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D4B85646-B1E1-4F6C-8363-93E7BEF99590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20" yWindow="-120" windowWidth="29040" windowHeight="15720" tabRatio="968" activeTab="11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5" i="24" l="1"/>
  <c r="D154" i="24"/>
  <c r="E93" i="24" l="1"/>
  <c r="C93" i="24"/>
  <c r="E92" i="24"/>
  <c r="CC90" i="24" l="1"/>
  <c r="E90" i="24"/>
  <c r="AJ90" i="24"/>
  <c r="AJ88" i="24" l="1"/>
  <c r="C87" i="24"/>
  <c r="BA66" i="24"/>
  <c r="CC66" i="24"/>
  <c r="C163" i="8" l="1"/>
  <c r="C162" i="8"/>
  <c r="C160" i="8"/>
  <c r="C159" i="8"/>
  <c r="CV2" i="30"/>
  <c r="CU2" i="30"/>
  <c r="C156" i="8"/>
  <c r="C155" i="8"/>
  <c r="C154" i="8"/>
  <c r="CG2" i="30"/>
  <c r="C151" i="8"/>
  <c r="CM2" i="30"/>
  <c r="CL2" i="30"/>
  <c r="CK2" i="30"/>
  <c r="CJ2" i="30"/>
  <c r="CF2" i="30"/>
  <c r="CE2" i="30"/>
  <c r="C141" i="8"/>
  <c r="CA2" i="30"/>
  <c r="BZ2" i="30"/>
  <c r="BY2" i="30"/>
  <c r="C131" i="8"/>
  <c r="C130" i="8"/>
  <c r="C129" i="8"/>
  <c r="C102" i="8"/>
  <c r="BC2" i="30"/>
  <c r="AY2" i="30"/>
  <c r="C67" i="8"/>
  <c r="C66" i="8"/>
  <c r="AL2" i="30"/>
  <c r="AK2" i="30"/>
  <c r="AJ2" i="30"/>
  <c r="P2" i="30"/>
  <c r="C15" i="8"/>
  <c r="L2" i="30"/>
  <c r="K2" i="30"/>
  <c r="I2" i="30"/>
  <c r="G2" i="30"/>
  <c r="F2" i="30"/>
  <c r="D26" i="7"/>
  <c r="D24" i="7"/>
  <c r="D19" i="7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L2" i="36"/>
  <c r="C28" i="6"/>
  <c r="BI2" i="36"/>
  <c r="BH2" i="36"/>
  <c r="BG2" i="36"/>
  <c r="E26" i="6"/>
  <c r="D26" i="6"/>
  <c r="C26" i="6"/>
  <c r="BC2" i="36"/>
  <c r="BB2" i="36"/>
  <c r="C25" i="6"/>
  <c r="AZ2" i="36"/>
  <c r="AY2" i="36"/>
  <c r="C24" i="6"/>
  <c r="AT2" i="36"/>
  <c r="AS2" i="36"/>
  <c r="AR2" i="36"/>
  <c r="AQ2" i="36"/>
  <c r="AP2" i="36"/>
  <c r="AO2" i="36"/>
  <c r="D13" i="6"/>
  <c r="AL2" i="36"/>
  <c r="E12" i="6"/>
  <c r="AJ2" i="36"/>
  <c r="AI2" i="36"/>
  <c r="AH2" i="36"/>
  <c r="D11" i="6"/>
  <c r="AF2" i="36"/>
  <c r="E10" i="6"/>
  <c r="AD2" i="36"/>
  <c r="C10" i="6"/>
  <c r="AB2" i="36"/>
  <c r="AA2" i="36"/>
  <c r="Z2" i="36"/>
  <c r="D8" i="6"/>
  <c r="C8" i="6"/>
  <c r="E7" i="6"/>
  <c r="D7" i="6"/>
  <c r="C7" i="6"/>
  <c r="S2" i="36"/>
  <c r="R2" i="36"/>
  <c r="Q2" i="36"/>
  <c r="P2" i="36"/>
  <c r="C31" i="5"/>
  <c r="N2" i="36"/>
  <c r="C25" i="5"/>
  <c r="L2" i="36"/>
  <c r="D193" i="24"/>
  <c r="C20" i="5" s="1"/>
  <c r="C12" i="5"/>
  <c r="C11" i="5"/>
  <c r="C10" i="5"/>
  <c r="C9" i="5"/>
  <c r="C8" i="5"/>
  <c r="C7" i="5"/>
  <c r="C6" i="5"/>
  <c r="AM2" i="29"/>
  <c r="AH2" i="29"/>
  <c r="F7" i="4"/>
  <c r="E9" i="4"/>
  <c r="AG2" i="29"/>
  <c r="AB2" i="29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C2" i="30"/>
  <c r="DB2" i="30"/>
  <c r="CZ2" i="30"/>
  <c r="CY2" i="30"/>
  <c r="CH2" i="30"/>
  <c r="CD2" i="30"/>
  <c r="CC2" i="30"/>
  <c r="BX2" i="30"/>
  <c r="BU2" i="30"/>
  <c r="BS2" i="30"/>
  <c r="BR2" i="30"/>
  <c r="BJ2" i="30"/>
  <c r="BI2" i="30"/>
  <c r="BH2" i="30"/>
  <c r="BG2" i="30"/>
  <c r="BF2" i="30"/>
  <c r="BD2" i="30"/>
  <c r="BB2" i="30"/>
  <c r="BA2" i="30"/>
  <c r="AX2" i="30"/>
  <c r="AW2" i="30"/>
  <c r="AV2" i="30"/>
  <c r="AU2" i="30"/>
  <c r="AT2" i="30"/>
  <c r="AS2" i="30"/>
  <c r="AP2" i="30"/>
  <c r="AO2" i="30"/>
  <c r="AN2" i="30"/>
  <c r="AM2" i="30"/>
  <c r="AI2" i="30"/>
  <c r="AH2" i="30"/>
  <c r="AG2" i="30"/>
  <c r="AF2" i="30"/>
  <c r="AC2" i="30"/>
  <c r="AB2" i="30"/>
  <c r="AA2" i="30"/>
  <c r="Y2" i="30"/>
  <c r="N2" i="30"/>
  <c r="J2" i="30"/>
  <c r="H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L2" i="29"/>
  <c r="AK2" i="29"/>
  <c r="AJ2" i="29"/>
  <c r="AI2" i="29"/>
  <c r="AF2" i="29"/>
  <c r="AE2" i="29"/>
  <c r="AD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D2" i="36"/>
  <c r="BN2" i="36"/>
  <c r="BM2" i="36"/>
  <c r="BK2" i="36"/>
  <c r="AN2" i="36"/>
  <c r="V2" i="36"/>
  <c r="U2" i="36"/>
  <c r="T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6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6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C614" i="25"/>
  <c r="L612" i="25"/>
  <c r="K612" i="25"/>
  <c r="J612" i="25"/>
  <c r="I612" i="25"/>
  <c r="H612" i="25"/>
  <c r="G612" i="25"/>
  <c r="F612" i="25"/>
  <c r="D612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5" i="8"/>
  <c r="C164" i="8"/>
  <c r="C161" i="8"/>
  <c r="C145" i="8"/>
  <c r="C136" i="8"/>
  <c r="C128" i="8"/>
  <c r="C126" i="8"/>
  <c r="C125" i="8"/>
  <c r="C108" i="8"/>
  <c r="A108" i="8"/>
  <c r="C101" i="8"/>
  <c r="C98" i="8"/>
  <c r="C96" i="8"/>
  <c r="C94" i="8"/>
  <c r="C92" i="8"/>
  <c r="C83" i="8"/>
  <c r="C82" i="8"/>
  <c r="C79" i="8"/>
  <c r="C78" i="8"/>
  <c r="C77" i="8"/>
  <c r="C73" i="8"/>
  <c r="C72" i="8"/>
  <c r="C71" i="8"/>
  <c r="C65" i="8"/>
  <c r="C64" i="8"/>
  <c r="C63" i="8"/>
  <c r="C62" i="8"/>
  <c r="C58" i="8"/>
  <c r="C55" i="8"/>
  <c r="A55" i="8"/>
  <c r="C48" i="8"/>
  <c r="C47" i="8"/>
  <c r="C46" i="8"/>
  <c r="C40" i="8"/>
  <c r="C39" i="8"/>
  <c r="C38" i="8"/>
  <c r="C33" i="8"/>
  <c r="C19" i="8"/>
  <c r="C12" i="8"/>
  <c r="C10" i="8"/>
  <c r="C7" i="8"/>
  <c r="C3" i="8"/>
  <c r="A3" i="8"/>
  <c r="D2" i="7"/>
  <c r="A2" i="7"/>
  <c r="D29" i="6"/>
  <c r="C29" i="6"/>
  <c r="E28" i="6"/>
  <c r="D28" i="6"/>
  <c r="C15" i="6"/>
  <c r="E14" i="6"/>
  <c r="E13" i="6"/>
  <c r="F3" i="6"/>
  <c r="A3" i="6"/>
  <c r="C13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D9" i="4"/>
  <c r="C9" i="4"/>
  <c r="B9" i="4"/>
  <c r="F8" i="4"/>
  <c r="D8" i="4"/>
  <c r="C8" i="4"/>
  <c r="B8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E57" i="15"/>
  <c r="D57" i="15"/>
  <c r="B57" i="15"/>
  <c r="H57" i="15" s="1"/>
  <c r="I57" i="15" s="1"/>
  <c r="E56" i="15"/>
  <c r="D56" i="15"/>
  <c r="F56" i="15" s="1"/>
  <c r="B56" i="15"/>
  <c r="E55" i="15"/>
  <c r="D55" i="15"/>
  <c r="B55" i="15"/>
  <c r="H55" i="15" s="1"/>
  <c r="I55" i="15" s="1"/>
  <c r="H54" i="15"/>
  <c r="I54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H24" i="15" s="1"/>
  <c r="I24" i="15" s="1"/>
  <c r="E23" i="15"/>
  <c r="D23" i="15"/>
  <c r="B23" i="15"/>
  <c r="E22" i="15"/>
  <c r="D22" i="15"/>
  <c r="B22" i="15"/>
  <c r="H22" i="15" s="1"/>
  <c r="I22" i="15" s="1"/>
  <c r="E21" i="15"/>
  <c r="D21" i="15"/>
  <c r="B21" i="15"/>
  <c r="E20" i="15"/>
  <c r="D20" i="15"/>
  <c r="B20" i="15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I612" i="24"/>
  <c r="H612" i="24"/>
  <c r="D420" i="24"/>
  <c r="D329" i="24"/>
  <c r="C74" i="8" s="1"/>
  <c r="D256" i="24"/>
  <c r="D27" i="7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4" s="1"/>
  <c r="CE91" i="24"/>
  <c r="CF91" i="2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E34" i="31" s="1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BQ62" i="24"/>
  <c r="BP62" i="24"/>
  <c r="AK62" i="24"/>
  <c r="AB62" i="24"/>
  <c r="CE61" i="24"/>
  <c r="I363" i="34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P48" i="24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H52" i="15" l="1"/>
  <c r="I52" i="15" s="1"/>
  <c r="F58" i="15"/>
  <c r="F65" i="15"/>
  <c r="H59" i="15"/>
  <c r="I59" i="15" s="1"/>
  <c r="F64" i="15"/>
  <c r="F43" i="15"/>
  <c r="F46" i="15"/>
  <c r="CE89" i="24"/>
  <c r="K612" i="24" s="1"/>
  <c r="E211" i="24"/>
  <c r="Q2" i="30" s="1"/>
  <c r="CE2" i="36"/>
  <c r="C14" i="6"/>
  <c r="AK2" i="36"/>
  <c r="C33" i="5"/>
  <c r="C19" i="5"/>
  <c r="C26" i="5"/>
  <c r="J2" i="36"/>
  <c r="G2" i="36"/>
  <c r="W2" i="36"/>
  <c r="C118" i="8"/>
  <c r="E232" i="24"/>
  <c r="F31" i="6" s="1"/>
  <c r="AG2" i="36"/>
  <c r="C233" i="24"/>
  <c r="D32" i="6" s="1"/>
  <c r="D31" i="6"/>
  <c r="D237" i="24"/>
  <c r="CF2" i="36" s="1"/>
  <c r="CE69" i="24"/>
  <c r="I371" i="34" s="1"/>
  <c r="E27" i="6"/>
  <c r="AC2" i="29"/>
  <c r="D16" i="7"/>
  <c r="CT2" i="30"/>
  <c r="AM2" i="36"/>
  <c r="D281" i="24"/>
  <c r="C22" i="8" s="1"/>
  <c r="C12" i="6"/>
  <c r="E227" i="24"/>
  <c r="F26" i="6" s="1"/>
  <c r="D12" i="6"/>
  <c r="BJ2" i="36"/>
  <c r="E217" i="24"/>
  <c r="F13" i="6" s="1"/>
  <c r="E229" i="24"/>
  <c r="F28" i="6" s="1"/>
  <c r="C13" i="6"/>
  <c r="O2" i="36"/>
  <c r="E216" i="24"/>
  <c r="F12" i="6" s="1"/>
  <c r="D381" i="24"/>
  <c r="BQ2" i="30" s="1"/>
  <c r="C38" i="5"/>
  <c r="D30" i="6"/>
  <c r="E212" i="24"/>
  <c r="R2" i="30" s="1"/>
  <c r="DA2" i="30"/>
  <c r="CW2" i="30"/>
  <c r="CX2" i="30"/>
  <c r="C132" i="8"/>
  <c r="C142" i="8"/>
  <c r="C143" i="8"/>
  <c r="C60" i="8"/>
  <c r="AE2" i="30"/>
  <c r="C61" i="8"/>
  <c r="C11" i="8"/>
  <c r="AR2" i="30"/>
  <c r="C59" i="8"/>
  <c r="AQ2" i="30"/>
  <c r="C84" i="8"/>
  <c r="BO2" i="30"/>
  <c r="D245" i="24"/>
  <c r="D13" i="7" s="1"/>
  <c r="D202" i="24"/>
  <c r="C34" i="5" s="1"/>
  <c r="C32" i="5"/>
  <c r="I2" i="36"/>
  <c r="K2" i="36"/>
  <c r="C116" i="8"/>
  <c r="CO2" i="30"/>
  <c r="E30" i="6"/>
  <c r="C13" i="8"/>
  <c r="C147" i="8"/>
  <c r="E31" i="6"/>
  <c r="C148" i="8"/>
  <c r="C146" i="8"/>
  <c r="D10" i="7"/>
  <c r="D10" i="6"/>
  <c r="AC2" i="36"/>
  <c r="BD2" i="36"/>
  <c r="M2" i="30"/>
  <c r="CN2" i="30"/>
  <c r="D197" i="24"/>
  <c r="C27" i="5" s="1"/>
  <c r="E219" i="24"/>
  <c r="C11" i="6"/>
  <c r="BE2" i="36"/>
  <c r="C20" i="8"/>
  <c r="D7" i="7"/>
  <c r="D340" i="24"/>
  <c r="C86" i="8" s="1"/>
  <c r="B220" i="24"/>
  <c r="C16" i="6" s="1"/>
  <c r="C8" i="8"/>
  <c r="E2" i="36"/>
  <c r="AE2" i="36"/>
  <c r="BF2" i="36"/>
  <c r="O2" i="30"/>
  <c r="CR2" i="30"/>
  <c r="D276" i="24"/>
  <c r="C16" i="8" s="1"/>
  <c r="E15" i="6"/>
  <c r="C150" i="8"/>
  <c r="E226" i="24"/>
  <c r="F25" i="6" s="1"/>
  <c r="C18" i="5"/>
  <c r="C9" i="8"/>
  <c r="C80" i="8"/>
  <c r="F2" i="36"/>
  <c r="CS2" i="30"/>
  <c r="D233" i="24"/>
  <c r="E32" i="6" s="1"/>
  <c r="E231" i="24"/>
  <c r="F30" i="6" s="1"/>
  <c r="H2" i="36"/>
  <c r="C14" i="8"/>
  <c r="D9" i="7"/>
  <c r="C153" i="8"/>
  <c r="E8" i="6"/>
  <c r="E25" i="6"/>
  <c r="D11" i="7"/>
  <c r="X2" i="36"/>
  <c r="AX2" i="36"/>
  <c r="D9" i="6"/>
  <c r="Y2" i="36"/>
  <c r="BA2" i="36"/>
  <c r="E157" i="24"/>
  <c r="C89" i="8"/>
  <c r="C31" i="6"/>
  <c r="D324" i="24"/>
  <c r="C68" i="8" s="1"/>
  <c r="D15" i="6"/>
  <c r="C149" i="8"/>
  <c r="D25" i="6"/>
  <c r="E9" i="6"/>
  <c r="D252" i="24"/>
  <c r="D22" i="7" s="1"/>
  <c r="D189" i="24"/>
  <c r="C14" i="5" s="1"/>
  <c r="CQ2" i="30"/>
  <c r="C157" i="8"/>
  <c r="C158" i="8"/>
  <c r="C144" i="8"/>
  <c r="C133" i="8"/>
  <c r="BV2" i="30"/>
  <c r="C134" i="8"/>
  <c r="BW2" i="30"/>
  <c r="C127" i="8"/>
  <c r="BT2" i="30"/>
  <c r="BE2" i="30"/>
  <c r="D299" i="24"/>
  <c r="C42" i="8" s="1"/>
  <c r="AD2" i="30"/>
  <c r="C45" i="8"/>
  <c r="D306" i="24"/>
  <c r="C49" i="8" s="1"/>
  <c r="C41" i="8"/>
  <c r="C21" i="8"/>
  <c r="C6" i="8"/>
  <c r="D18" i="7"/>
  <c r="D12" i="7"/>
  <c r="D8" i="7"/>
  <c r="E225" i="24"/>
  <c r="F24" i="6" s="1"/>
  <c r="B233" i="24"/>
  <c r="C32" i="6" s="1"/>
  <c r="E228" i="24"/>
  <c r="F27" i="6" s="1"/>
  <c r="D24" i="6"/>
  <c r="C27" i="6"/>
  <c r="E24" i="6"/>
  <c r="D27" i="6"/>
  <c r="E29" i="6"/>
  <c r="BO2" i="36"/>
  <c r="E230" i="24"/>
  <c r="F29" i="6" s="1"/>
  <c r="C30" i="6"/>
  <c r="BP2" i="36"/>
  <c r="E218" i="24"/>
  <c r="C9" i="6"/>
  <c r="E11" i="6"/>
  <c r="D14" i="6"/>
  <c r="E213" i="24"/>
  <c r="C220" i="24"/>
  <c r="D16" i="6" s="1"/>
  <c r="E214" i="24"/>
  <c r="D220" i="24"/>
  <c r="E16" i="6" s="1"/>
  <c r="E215" i="24"/>
  <c r="D206" i="24"/>
  <c r="C40" i="5" s="1"/>
  <c r="C39" i="5"/>
  <c r="M2" i="36"/>
  <c r="D2" i="36"/>
  <c r="G7" i="4"/>
  <c r="E7" i="4"/>
  <c r="G8" i="4"/>
  <c r="E8" i="4"/>
  <c r="F63" i="15"/>
  <c r="F33" i="15"/>
  <c r="F41" i="15"/>
  <c r="F57" i="15"/>
  <c r="F55" i="15"/>
  <c r="F45" i="15"/>
  <c r="F50" i="15"/>
  <c r="F49" i="15"/>
  <c r="F35" i="15"/>
  <c r="F38" i="15"/>
  <c r="F47" i="15"/>
  <c r="F53" i="15"/>
  <c r="F36" i="15"/>
  <c r="F34" i="15"/>
  <c r="F39" i="15"/>
  <c r="F44" i="15"/>
  <c r="F48" i="15"/>
  <c r="F37" i="15"/>
  <c r="H2" i="31"/>
  <c r="C12" i="34"/>
  <c r="CE62" i="24"/>
  <c r="I364" i="34" s="1"/>
  <c r="H34" i="31"/>
  <c r="G140" i="34"/>
  <c r="H66" i="31"/>
  <c r="D300" i="34"/>
  <c r="H10" i="31"/>
  <c r="D44" i="34"/>
  <c r="H42" i="31"/>
  <c r="H172" i="34"/>
  <c r="H74" i="31"/>
  <c r="E332" i="34"/>
  <c r="H13" i="31"/>
  <c r="G44" i="34"/>
  <c r="H37" i="31"/>
  <c r="C172" i="34"/>
  <c r="H53" i="31"/>
  <c r="E236" i="34"/>
  <c r="H61" i="31"/>
  <c r="F268" i="34"/>
  <c r="H69" i="31"/>
  <c r="G300" i="34"/>
  <c r="H77" i="31"/>
  <c r="H332" i="34"/>
  <c r="H29" i="31"/>
  <c r="I108" i="34"/>
  <c r="H14" i="31"/>
  <c r="H44" i="34"/>
  <c r="H30" i="31"/>
  <c r="C140" i="34"/>
  <c r="H54" i="31"/>
  <c r="F236" i="34"/>
  <c r="H70" i="31"/>
  <c r="H300" i="34"/>
  <c r="H5" i="31"/>
  <c r="F12" i="34"/>
  <c r="H21" i="31"/>
  <c r="H76" i="34"/>
  <c r="H45" i="31"/>
  <c r="D204" i="34"/>
  <c r="H6" i="31"/>
  <c r="G12" i="34"/>
  <c r="H22" i="31"/>
  <c r="I76" i="34"/>
  <c r="H38" i="31"/>
  <c r="D172" i="34"/>
  <c r="H46" i="31"/>
  <c r="E204" i="34"/>
  <c r="H62" i="31"/>
  <c r="G268" i="34"/>
  <c r="H78" i="31"/>
  <c r="I332" i="34"/>
  <c r="H7" i="31"/>
  <c r="H12" i="34"/>
  <c r="H15" i="31"/>
  <c r="I44" i="34"/>
  <c r="H23" i="31"/>
  <c r="C108" i="34"/>
  <c r="H31" i="31"/>
  <c r="D140" i="34"/>
  <c r="H39" i="31"/>
  <c r="E172" i="34"/>
  <c r="H47" i="31"/>
  <c r="F204" i="34"/>
  <c r="H55" i="31"/>
  <c r="G236" i="34"/>
  <c r="H63" i="31"/>
  <c r="H268" i="34"/>
  <c r="H71" i="31"/>
  <c r="I300" i="34"/>
  <c r="H79" i="31"/>
  <c r="C364" i="34"/>
  <c r="I378" i="34"/>
  <c r="H26" i="31"/>
  <c r="F108" i="34"/>
  <c r="H58" i="31"/>
  <c r="C268" i="34"/>
  <c r="H8" i="31"/>
  <c r="I12" i="34"/>
  <c r="H16" i="31"/>
  <c r="C76" i="34"/>
  <c r="H24" i="31"/>
  <c r="D108" i="34"/>
  <c r="H32" i="31"/>
  <c r="E140" i="34"/>
  <c r="H40" i="31"/>
  <c r="F172" i="34"/>
  <c r="H48" i="31"/>
  <c r="G204" i="34"/>
  <c r="H56" i="31"/>
  <c r="H236" i="34"/>
  <c r="H64" i="31"/>
  <c r="I268" i="34"/>
  <c r="H72" i="31"/>
  <c r="C332" i="34"/>
  <c r="H80" i="31"/>
  <c r="D364" i="34"/>
  <c r="H18" i="31"/>
  <c r="E76" i="34"/>
  <c r="H50" i="31"/>
  <c r="I204" i="34"/>
  <c r="H11" i="31"/>
  <c r="E44" i="34"/>
  <c r="O14" i="31"/>
  <c r="H51" i="34"/>
  <c r="H68" i="31"/>
  <c r="F300" i="34"/>
  <c r="O55" i="31"/>
  <c r="G243" i="34"/>
  <c r="H21" i="15"/>
  <c r="I21" i="15" s="1"/>
  <c r="F21" i="15"/>
  <c r="F29" i="15"/>
  <c r="CE48" i="24"/>
  <c r="H43" i="31"/>
  <c r="I172" i="34"/>
  <c r="O54" i="31"/>
  <c r="F243" i="34"/>
  <c r="AE23" i="31"/>
  <c r="C122" i="34"/>
  <c r="D147" i="34"/>
  <c r="O31" i="31"/>
  <c r="AE32" i="31"/>
  <c r="E154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CF90" i="24"/>
  <c r="AI52" i="24" s="1"/>
  <c r="AI67" i="24" s="1"/>
  <c r="H27" i="31"/>
  <c r="G108" i="34"/>
  <c r="H59" i="31"/>
  <c r="D268" i="34"/>
  <c r="O30" i="31"/>
  <c r="C147" i="34"/>
  <c r="O78" i="31"/>
  <c r="I339" i="34"/>
  <c r="H12" i="31"/>
  <c r="F44" i="34"/>
  <c r="H44" i="31"/>
  <c r="C204" i="34"/>
  <c r="O7" i="31"/>
  <c r="H19" i="34"/>
  <c r="O47" i="31"/>
  <c r="F211" i="34"/>
  <c r="O63" i="31"/>
  <c r="H275" i="34"/>
  <c r="AE40" i="31"/>
  <c r="F186" i="3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I381" i="34"/>
  <c r="G612" i="24"/>
  <c r="F19" i="15"/>
  <c r="H27" i="15"/>
  <c r="I27" i="15" s="1"/>
  <c r="F27" i="15"/>
  <c r="H3" i="31"/>
  <c r="D12" i="34"/>
  <c r="H67" i="31"/>
  <c r="E300" i="34"/>
  <c r="O6" i="31"/>
  <c r="G19" i="34"/>
  <c r="O46" i="31"/>
  <c r="E211" i="34"/>
  <c r="O70" i="31"/>
  <c r="H307" i="34"/>
  <c r="AE7" i="31"/>
  <c r="H26" i="34"/>
  <c r="D154" i="34"/>
  <c r="AE31" i="31"/>
  <c r="F218" i="34"/>
  <c r="AE47" i="31"/>
  <c r="H76" i="31"/>
  <c r="G332" i="34"/>
  <c r="O15" i="31"/>
  <c r="I51" i="34"/>
  <c r="AE24" i="31"/>
  <c r="D122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H51" i="31"/>
  <c r="C236" i="34"/>
  <c r="I384" i="34"/>
  <c r="L612" i="24"/>
  <c r="H20" i="31"/>
  <c r="G76" i="34"/>
  <c r="H60" i="31"/>
  <c r="E268" i="34"/>
  <c r="O23" i="31"/>
  <c r="C115" i="34"/>
  <c r="AE16" i="31"/>
  <c r="C90" i="34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E307" i="34"/>
  <c r="O67" i="31"/>
  <c r="O75" i="31"/>
  <c r="F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F17" i="15"/>
  <c r="H25" i="15"/>
  <c r="I25" i="15" s="1"/>
  <c r="F25" i="15"/>
  <c r="H19" i="31"/>
  <c r="F76" i="34"/>
  <c r="I366" i="34"/>
  <c r="F612" i="24"/>
  <c r="O22" i="31"/>
  <c r="I83" i="34"/>
  <c r="O62" i="31"/>
  <c r="G275" i="34"/>
  <c r="AE39" i="31"/>
  <c r="E186" i="34"/>
  <c r="H36" i="31"/>
  <c r="I140" i="34"/>
  <c r="O71" i="31"/>
  <c r="I307" i="34"/>
  <c r="AE8" i="31"/>
  <c r="I26" i="34"/>
  <c r="H17" i="31"/>
  <c r="D76" i="34"/>
  <c r="H25" i="31"/>
  <c r="E108" i="34"/>
  <c r="H33" i="31"/>
  <c r="F140" i="34"/>
  <c r="H41" i="31"/>
  <c r="G172" i="34"/>
  <c r="H49" i="31"/>
  <c r="H204" i="34"/>
  <c r="H65" i="31"/>
  <c r="C300" i="34"/>
  <c r="H73" i="31"/>
  <c r="D332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3" i="34"/>
  <c r="J612" i="24"/>
  <c r="F7" i="6"/>
  <c r="DF2" i="30"/>
  <c r="C170" i="8"/>
  <c r="H35" i="31"/>
  <c r="H140" i="34"/>
  <c r="H75" i="31"/>
  <c r="F332" i="34"/>
  <c r="O38" i="31"/>
  <c r="D179" i="34"/>
  <c r="I58" i="34"/>
  <c r="AE15" i="31"/>
  <c r="H4" i="31"/>
  <c r="E12" i="34"/>
  <c r="H28" i="31"/>
  <c r="H108" i="34"/>
  <c r="H52" i="31"/>
  <c r="D236" i="34"/>
  <c r="O39" i="31"/>
  <c r="E179" i="34"/>
  <c r="O79" i="31"/>
  <c r="C371" i="34"/>
  <c r="H9" i="31"/>
  <c r="C44" i="34"/>
  <c r="H57" i="31"/>
  <c r="I236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G28" i="4"/>
  <c r="E28" i="4"/>
  <c r="F420" i="24"/>
  <c r="F15" i="15"/>
  <c r="H23" i="15"/>
  <c r="I23" i="15" s="1"/>
  <c r="F23" i="15"/>
  <c r="AE2" i="31"/>
  <c r="C26" i="34"/>
  <c r="AE10" i="31"/>
  <c r="D58" i="34"/>
  <c r="AE18" i="31"/>
  <c r="E90" i="34"/>
  <c r="AE26" i="31"/>
  <c r="F122" i="34"/>
  <c r="AE42" i="31"/>
  <c r="H186" i="34"/>
  <c r="G19" i="4"/>
  <c r="E19" i="4"/>
  <c r="G154" i="34"/>
  <c r="F69" i="15"/>
  <c r="F16" i="15"/>
  <c r="F18" i="15"/>
  <c r="F20" i="15"/>
  <c r="F22" i="15"/>
  <c r="F24" i="15"/>
  <c r="F26" i="15"/>
  <c r="F28" i="15"/>
  <c r="F30" i="15"/>
  <c r="C715" i="25"/>
  <c r="C648" i="25"/>
  <c r="M716" i="25" s="1"/>
  <c r="D615" i="25"/>
  <c r="C166" i="8" l="1"/>
  <c r="D25" i="33"/>
  <c r="V52" i="24"/>
  <c r="V67" i="24" s="1"/>
  <c r="V85" i="24" s="1"/>
  <c r="CB52" i="24"/>
  <c r="CB67" i="24" s="1"/>
  <c r="M79" i="31" s="1"/>
  <c r="BH52" i="24"/>
  <c r="BH67" i="24" s="1"/>
  <c r="BH85" i="24" s="1"/>
  <c r="AN52" i="24"/>
  <c r="AN67" i="24" s="1"/>
  <c r="BG52" i="24"/>
  <c r="BG67" i="24" s="1"/>
  <c r="C25" i="8"/>
  <c r="AI85" i="24"/>
  <c r="G145" i="34"/>
  <c r="M34" i="31"/>
  <c r="H81" i="34"/>
  <c r="M21" i="31"/>
  <c r="AN85" i="24"/>
  <c r="C52" i="15" s="1"/>
  <c r="G52" i="15" s="1"/>
  <c r="T52" i="24"/>
  <c r="T67" i="24" s="1"/>
  <c r="C273" i="34"/>
  <c r="CA52" i="24"/>
  <c r="CA67" i="24" s="1"/>
  <c r="BY52" i="24"/>
  <c r="BY67" i="24" s="1"/>
  <c r="BE52" i="24"/>
  <c r="BE67" i="24" s="1"/>
  <c r="CB85" i="24"/>
  <c r="C92" i="15" s="1"/>
  <c r="G92" i="15" s="1"/>
  <c r="D273" i="34"/>
  <c r="AK52" i="24"/>
  <c r="AK67" i="24" s="1"/>
  <c r="Q52" i="24"/>
  <c r="Q67" i="24" s="1"/>
  <c r="BW52" i="24"/>
  <c r="BW67" i="24" s="1"/>
  <c r="BC52" i="24"/>
  <c r="BC67" i="24" s="1"/>
  <c r="BI52" i="24"/>
  <c r="BI67" i="24" s="1"/>
  <c r="AO52" i="24"/>
  <c r="AO67" i="24" s="1"/>
  <c r="U52" i="24"/>
  <c r="U67" i="24" s="1"/>
  <c r="BF52" i="24"/>
  <c r="BF67" i="24" s="1"/>
  <c r="BD52" i="24"/>
  <c r="BD67" i="24" s="1"/>
  <c r="P52" i="24"/>
  <c r="P67" i="24" s="1"/>
  <c r="BQ52" i="24"/>
  <c r="BQ67" i="24" s="1"/>
  <c r="BP52" i="24"/>
  <c r="BP67" i="24" s="1"/>
  <c r="BN52" i="24"/>
  <c r="BN67" i="24" s="1"/>
  <c r="AT52" i="24"/>
  <c r="AT67" i="24" s="1"/>
  <c r="Z52" i="24"/>
  <c r="Z67" i="24" s="1"/>
  <c r="F52" i="24"/>
  <c r="F67" i="24" s="1"/>
  <c r="Y52" i="24"/>
  <c r="Y67" i="24" s="1"/>
  <c r="AR52" i="24"/>
  <c r="AR67" i="24" s="1"/>
  <c r="CC52" i="24"/>
  <c r="CC67" i="24" s="1"/>
  <c r="AJ52" i="24"/>
  <c r="AJ67" i="24" s="1"/>
  <c r="BB52" i="24"/>
  <c r="BB67" i="24" s="1"/>
  <c r="N52" i="24"/>
  <c r="N67" i="24" s="1"/>
  <c r="AY52" i="24"/>
  <c r="AY67" i="24" s="1"/>
  <c r="AV52" i="24"/>
  <c r="AV67" i="24" s="1"/>
  <c r="BO52" i="24"/>
  <c r="BO67" i="24" s="1"/>
  <c r="G52" i="24"/>
  <c r="G67" i="24" s="1"/>
  <c r="BM52" i="24"/>
  <c r="BM67" i="24" s="1"/>
  <c r="E52" i="24"/>
  <c r="E67" i="24" s="1"/>
  <c r="BL52" i="24"/>
  <c r="BL67" i="24" s="1"/>
  <c r="BK52" i="24"/>
  <c r="BK67" i="24" s="1"/>
  <c r="AQ52" i="24"/>
  <c r="AQ67" i="24" s="1"/>
  <c r="W52" i="24"/>
  <c r="W67" i="24" s="1"/>
  <c r="C52" i="24"/>
  <c r="AM52" i="24"/>
  <c r="AM67" i="24" s="1"/>
  <c r="S52" i="24"/>
  <c r="S67" i="24" s="1"/>
  <c r="AL52" i="24"/>
  <c r="AL67" i="24" s="1"/>
  <c r="BX52" i="24"/>
  <c r="BX67" i="24" s="1"/>
  <c r="BV52" i="24"/>
  <c r="BV67" i="24" s="1"/>
  <c r="BS52" i="24"/>
  <c r="BS67" i="24" s="1"/>
  <c r="AE52" i="24"/>
  <c r="AE67" i="24" s="1"/>
  <c r="K52" i="24"/>
  <c r="K67" i="24" s="1"/>
  <c r="X52" i="24"/>
  <c r="X67" i="24" s="1"/>
  <c r="R52" i="24"/>
  <c r="R67" i="24" s="1"/>
  <c r="BZ52" i="24"/>
  <c r="BZ67" i="24" s="1"/>
  <c r="AU52" i="24"/>
  <c r="AU67" i="24" s="1"/>
  <c r="D52" i="24"/>
  <c r="D67" i="24" s="1"/>
  <c r="I52" i="24"/>
  <c r="I67" i="24" s="1"/>
  <c r="AW52" i="24"/>
  <c r="AW67" i="24" s="1"/>
  <c r="AH52" i="24"/>
  <c r="AH67" i="24" s="1"/>
  <c r="AB52" i="24"/>
  <c r="AB67" i="24" s="1"/>
  <c r="BU52" i="24"/>
  <c r="BU67" i="24" s="1"/>
  <c r="BA52" i="24"/>
  <c r="BA67" i="24" s="1"/>
  <c r="AG52" i="24"/>
  <c r="AG67" i="24" s="1"/>
  <c r="M52" i="24"/>
  <c r="M67" i="24" s="1"/>
  <c r="H52" i="24"/>
  <c r="H67" i="24" s="1"/>
  <c r="AA52" i="24"/>
  <c r="AA67" i="24" s="1"/>
  <c r="AS52" i="24"/>
  <c r="AS67" i="24" s="1"/>
  <c r="BT52" i="24"/>
  <c r="BT67" i="24" s="1"/>
  <c r="AZ52" i="24"/>
  <c r="AZ67" i="24" s="1"/>
  <c r="AF52" i="24"/>
  <c r="AF67" i="24" s="1"/>
  <c r="L52" i="24"/>
  <c r="L67" i="24" s="1"/>
  <c r="AC52" i="24"/>
  <c r="AC67" i="24" s="1"/>
  <c r="AX52" i="24"/>
  <c r="AX67" i="24" s="1"/>
  <c r="AD52" i="24"/>
  <c r="AD67" i="24" s="1"/>
  <c r="J52" i="24"/>
  <c r="J67" i="24" s="1"/>
  <c r="O52" i="24"/>
  <c r="O67" i="24" s="1"/>
  <c r="C369" i="34"/>
  <c r="BJ52" i="24"/>
  <c r="BJ67" i="24" s="1"/>
  <c r="BR52" i="24"/>
  <c r="BR67" i="24" s="1"/>
  <c r="AP52" i="24"/>
  <c r="AP67" i="24" s="1"/>
  <c r="CD52" i="24"/>
  <c r="F8" i="6"/>
  <c r="C26" i="8"/>
  <c r="D5" i="7"/>
  <c r="D415" i="24"/>
  <c r="CP2" i="30" s="1"/>
  <c r="G403" i="24"/>
  <c r="DD2" i="30"/>
  <c r="V2" i="30"/>
  <c r="D366" i="24"/>
  <c r="C120" i="8" s="1"/>
  <c r="E233" i="24"/>
  <c r="F32" i="6" s="1"/>
  <c r="CB2" i="30"/>
  <c r="D11" i="33"/>
  <c r="C135" i="8"/>
  <c r="D258" i="24"/>
  <c r="CI2" i="30"/>
  <c r="F15" i="6"/>
  <c r="E10" i="4"/>
  <c r="G10" i="4" s="1"/>
  <c r="D360" i="24"/>
  <c r="F14" i="6"/>
  <c r="F11" i="6"/>
  <c r="C119" i="8"/>
  <c r="BP2" i="30"/>
  <c r="D383" i="24"/>
  <c r="C137" i="8" s="1"/>
  <c r="C81" i="8"/>
  <c r="AZ2" i="30"/>
  <c r="F9" i="6"/>
  <c r="D339" i="24"/>
  <c r="F10" i="6"/>
  <c r="E220" i="24"/>
  <c r="F16" i="6" s="1"/>
  <c r="C112" i="8"/>
  <c r="BM2" i="30"/>
  <c r="G149" i="34"/>
  <c r="C47" i="15"/>
  <c r="G47" i="15" s="1"/>
  <c r="C700" i="24"/>
  <c r="H85" i="34"/>
  <c r="C687" i="24"/>
  <c r="C34" i="15"/>
  <c r="E373" i="34"/>
  <c r="C94" i="15"/>
  <c r="G94" i="15" s="1"/>
  <c r="D712" i="25"/>
  <c r="D704" i="25"/>
  <c r="D696" i="25"/>
  <c r="D688" i="25"/>
  <c r="D680" i="25"/>
  <c r="D695" i="25"/>
  <c r="D686" i="25"/>
  <c r="D678" i="25"/>
  <c r="D670" i="25"/>
  <c r="D647" i="25"/>
  <c r="D646" i="25"/>
  <c r="D645" i="25"/>
  <c r="D629" i="25"/>
  <c r="D626" i="25"/>
  <c r="D621" i="25"/>
  <c r="D617" i="25"/>
  <c r="D713" i="25"/>
  <c r="D708" i="25"/>
  <c r="D699" i="25"/>
  <c r="D690" i="25"/>
  <c r="D685" i="25"/>
  <c r="D681" i="25"/>
  <c r="D67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30" i="25"/>
  <c r="D624" i="25"/>
  <c r="D707" i="25"/>
  <c r="D698" i="25"/>
  <c r="D693" i="25"/>
  <c r="D689" i="25"/>
  <c r="D684" i="25"/>
  <c r="D677" i="25"/>
  <c r="D669" i="25"/>
  <c r="D711" i="25"/>
  <c r="D702" i="25"/>
  <c r="D674" i="25"/>
  <c r="D623" i="25"/>
  <c r="D619" i="25"/>
  <c r="D703" i="25"/>
  <c r="D700" i="25"/>
  <c r="D697" i="25"/>
  <c r="D694" i="25"/>
  <c r="D620" i="25"/>
  <c r="D691" i="25"/>
  <c r="D682" i="25"/>
  <c r="D679" i="25"/>
  <c r="D671" i="25"/>
  <c r="D710" i="25"/>
  <c r="D701" i="25"/>
  <c r="D716" i="25"/>
  <c r="D692" i="25"/>
  <c r="D683" i="25"/>
  <c r="D672" i="25"/>
  <c r="D618" i="25"/>
  <c r="D676" i="25"/>
  <c r="D668" i="25"/>
  <c r="D628" i="25"/>
  <c r="D705" i="25"/>
  <c r="D673" i="25"/>
  <c r="D622" i="25"/>
  <c r="D687" i="25"/>
  <c r="D616" i="25"/>
  <c r="D709" i="25"/>
  <c r="D706" i="25"/>
  <c r="D627" i="25"/>
  <c r="D625" i="25"/>
  <c r="D277" i="34"/>
  <c r="C72" i="15"/>
  <c r="G72" i="15" s="1"/>
  <c r="C636" i="24"/>
  <c r="M59" i="31" l="1"/>
  <c r="C622" i="24"/>
  <c r="C373" i="34"/>
  <c r="M58" i="31"/>
  <c r="BG85" i="24"/>
  <c r="C705" i="24"/>
  <c r="E181" i="34"/>
  <c r="M39" i="31"/>
  <c r="E177" i="34"/>
  <c r="M31" i="31"/>
  <c r="D145" i="34"/>
  <c r="AF85" i="24"/>
  <c r="M30" i="31"/>
  <c r="C145" i="34"/>
  <c r="AE85" i="24"/>
  <c r="M35" i="31"/>
  <c r="H145" i="34"/>
  <c r="AJ85" i="24"/>
  <c r="I145" i="34"/>
  <c r="M36" i="31"/>
  <c r="AK85" i="24"/>
  <c r="AZ85" i="24"/>
  <c r="M51" i="31"/>
  <c r="C241" i="34"/>
  <c r="BS85" i="24"/>
  <c r="M70" i="31"/>
  <c r="H305" i="34"/>
  <c r="CC85" i="24"/>
  <c r="M80" i="31"/>
  <c r="D369" i="34"/>
  <c r="M44" i="31"/>
  <c r="AS85" i="24"/>
  <c r="C209" i="34"/>
  <c r="BX85" i="24"/>
  <c r="F337" i="34"/>
  <c r="M75" i="31"/>
  <c r="M24" i="31"/>
  <c r="D113" i="34"/>
  <c r="Y85" i="24"/>
  <c r="M56" i="31"/>
  <c r="H241" i="34"/>
  <c r="BE85" i="24"/>
  <c r="G85" i="24"/>
  <c r="M6" i="31"/>
  <c r="G17" i="34"/>
  <c r="M77" i="31"/>
  <c r="H337" i="34"/>
  <c r="BZ85" i="24"/>
  <c r="AY85" i="24"/>
  <c r="M50" i="31"/>
  <c r="I209" i="34"/>
  <c r="N85" i="24"/>
  <c r="M13" i="31"/>
  <c r="G49" i="34"/>
  <c r="L85" i="24"/>
  <c r="E49" i="34"/>
  <c r="M11" i="31"/>
  <c r="M26" i="31"/>
  <c r="F113" i="34"/>
  <c r="AA85" i="24"/>
  <c r="M37" i="31"/>
  <c r="C177" i="34"/>
  <c r="AL85" i="24"/>
  <c r="F85" i="24"/>
  <c r="M5" i="31"/>
  <c r="F17" i="34"/>
  <c r="BY85" i="24"/>
  <c r="M76" i="31"/>
  <c r="G337" i="34"/>
  <c r="M40" i="31"/>
  <c r="F177" i="34"/>
  <c r="AO85" i="24"/>
  <c r="M9" i="31"/>
  <c r="C49" i="34"/>
  <c r="J85" i="24"/>
  <c r="H85" i="24"/>
  <c r="M7" i="31"/>
  <c r="H17" i="34"/>
  <c r="E81" i="34"/>
  <c r="S85" i="24"/>
  <c r="M18" i="31"/>
  <c r="M25" i="31"/>
  <c r="E113" i="34"/>
  <c r="Z85" i="24"/>
  <c r="I337" i="34"/>
  <c r="CA85" i="24"/>
  <c r="M78" i="31"/>
  <c r="D85" i="24"/>
  <c r="M3" i="31"/>
  <c r="D17" i="34"/>
  <c r="BI85" i="24"/>
  <c r="M60" i="31"/>
  <c r="E273" i="34"/>
  <c r="M71" i="31"/>
  <c r="I305" i="34"/>
  <c r="BT85" i="24"/>
  <c r="M12" i="31"/>
  <c r="M85" i="24"/>
  <c r="F49" i="34"/>
  <c r="M38" i="31"/>
  <c r="D177" i="34"/>
  <c r="AM85" i="24"/>
  <c r="AT85" i="24"/>
  <c r="M45" i="31"/>
  <c r="D209" i="34"/>
  <c r="M32" i="31"/>
  <c r="E145" i="34"/>
  <c r="AG85" i="24"/>
  <c r="C67" i="24"/>
  <c r="CE52" i="24"/>
  <c r="M65" i="31"/>
  <c r="C305" i="34"/>
  <c r="BN85" i="24"/>
  <c r="M19" i="31"/>
  <c r="T85" i="24"/>
  <c r="F81" i="34"/>
  <c r="M54" i="31"/>
  <c r="BC85" i="24"/>
  <c r="F241" i="34"/>
  <c r="M10" i="31"/>
  <c r="D49" i="34"/>
  <c r="K85" i="24"/>
  <c r="D241" i="34"/>
  <c r="M52" i="31"/>
  <c r="BA85" i="24"/>
  <c r="M22" i="31"/>
  <c r="W85" i="24"/>
  <c r="I81" i="34"/>
  <c r="M67" i="31"/>
  <c r="E305" i="34"/>
  <c r="BP85" i="24"/>
  <c r="M46" i="31"/>
  <c r="E209" i="34"/>
  <c r="AU85" i="24"/>
  <c r="BW85" i="24"/>
  <c r="E337" i="34"/>
  <c r="M74" i="31"/>
  <c r="AC85" i="24"/>
  <c r="M28" i="31"/>
  <c r="H113" i="34"/>
  <c r="M43" i="31"/>
  <c r="AR85" i="24"/>
  <c r="I177" i="34"/>
  <c r="M72" i="31"/>
  <c r="C337" i="34"/>
  <c r="BU85" i="24"/>
  <c r="AQ85" i="24"/>
  <c r="M42" i="31"/>
  <c r="H177" i="34"/>
  <c r="M68" i="31"/>
  <c r="F305" i="34"/>
  <c r="BQ85" i="24"/>
  <c r="O85" i="24"/>
  <c r="M14" i="31"/>
  <c r="H49" i="34"/>
  <c r="F209" i="34"/>
  <c r="AV85" i="24"/>
  <c r="M47" i="31"/>
  <c r="M53" i="31"/>
  <c r="E241" i="34"/>
  <c r="BB85" i="24"/>
  <c r="M73" i="31"/>
  <c r="D337" i="34"/>
  <c r="BV85" i="24"/>
  <c r="G177" i="34"/>
  <c r="M41" i="31"/>
  <c r="AP85" i="24"/>
  <c r="AB85" i="24"/>
  <c r="M27" i="31"/>
  <c r="G113" i="34"/>
  <c r="M62" i="31"/>
  <c r="G273" i="34"/>
  <c r="BK85" i="24"/>
  <c r="M15" i="31"/>
  <c r="P85" i="24"/>
  <c r="I49" i="34"/>
  <c r="C30" i="8"/>
  <c r="M69" i="31"/>
  <c r="G305" i="34"/>
  <c r="BR85" i="24"/>
  <c r="AH85" i="24"/>
  <c r="F145" i="34"/>
  <c r="M33" i="31"/>
  <c r="BL85" i="24"/>
  <c r="M63" i="31"/>
  <c r="H273" i="34"/>
  <c r="BD85" i="24"/>
  <c r="M55" i="31"/>
  <c r="G241" i="34"/>
  <c r="BO85" i="24"/>
  <c r="M66" i="31"/>
  <c r="D305" i="34"/>
  <c r="I113" i="34"/>
  <c r="AD85" i="24"/>
  <c r="M29" i="31"/>
  <c r="D81" i="34"/>
  <c r="R85" i="24"/>
  <c r="M17" i="31"/>
  <c r="X85" i="24"/>
  <c r="M23" i="31"/>
  <c r="C113" i="34"/>
  <c r="M16" i="31"/>
  <c r="C81" i="34"/>
  <c r="Q85" i="24"/>
  <c r="M61" i="31"/>
  <c r="F273" i="34"/>
  <c r="BJ85" i="24"/>
  <c r="AW85" i="24"/>
  <c r="M48" i="31"/>
  <c r="G209" i="34"/>
  <c r="M4" i="31"/>
  <c r="E17" i="34"/>
  <c r="E85" i="24"/>
  <c r="M57" i="31"/>
  <c r="I241" i="34"/>
  <c r="BF85" i="24"/>
  <c r="M49" i="31"/>
  <c r="H209" i="34"/>
  <c r="AX85" i="24"/>
  <c r="M8" i="31"/>
  <c r="I17" i="34"/>
  <c r="I85" i="24"/>
  <c r="BM85" i="24"/>
  <c r="M64" i="31"/>
  <c r="I273" i="34"/>
  <c r="U85" i="24"/>
  <c r="M20" i="31"/>
  <c r="G81" i="34"/>
  <c r="D416" i="24"/>
  <c r="BN2" i="30"/>
  <c r="C34" i="8"/>
  <c r="D291" i="24"/>
  <c r="C117" i="8"/>
  <c r="F234" i="24"/>
  <c r="D293" i="24"/>
  <c r="C35" i="8" s="1"/>
  <c r="D12" i="33"/>
  <c r="E380" i="24"/>
  <c r="C85" i="8"/>
  <c r="D341" i="24"/>
  <c r="C29" i="8"/>
  <c r="U2" i="30"/>
  <c r="C31" i="8"/>
  <c r="W2" i="30"/>
  <c r="C27" i="8"/>
  <c r="S2" i="30"/>
  <c r="BL2" i="30"/>
  <c r="C111" i="8"/>
  <c r="T2" i="30"/>
  <c r="C28" i="8"/>
  <c r="C32" i="8"/>
  <c r="X2" i="30"/>
  <c r="D367" i="24"/>
  <c r="C113" i="8"/>
  <c r="E612" i="25"/>
  <c r="G34" i="15"/>
  <c r="H34" i="15" s="1"/>
  <c r="I34" i="15" s="1"/>
  <c r="D715" i="25"/>
  <c r="E623" i="25"/>
  <c r="C167" i="8" l="1"/>
  <c r="D26" i="33"/>
  <c r="Z2" i="30"/>
  <c r="C71" i="15"/>
  <c r="G71" i="15" s="1"/>
  <c r="C277" i="34"/>
  <c r="C618" i="24"/>
  <c r="G341" i="34"/>
  <c r="C89" i="15"/>
  <c r="G89" i="15" s="1"/>
  <c r="C645" i="24"/>
  <c r="C85" i="34"/>
  <c r="C29" i="15"/>
  <c r="C682" i="24"/>
  <c r="D341" i="34"/>
  <c r="C86" i="15"/>
  <c r="G86" i="15" s="1"/>
  <c r="C642" i="24"/>
  <c r="C181" i="34"/>
  <c r="C50" i="15"/>
  <c r="C703" i="24"/>
  <c r="D181" i="34"/>
  <c r="C51" i="15"/>
  <c r="C704" i="24"/>
  <c r="C69" i="15"/>
  <c r="H245" i="34"/>
  <c r="C614" i="24"/>
  <c r="C245" i="34"/>
  <c r="C628" i="24"/>
  <c r="C64" i="15"/>
  <c r="C45" i="15"/>
  <c r="E149" i="34"/>
  <c r="C698" i="24"/>
  <c r="I85" i="34"/>
  <c r="C35" i="15"/>
  <c r="C688" i="24"/>
  <c r="C641" i="24"/>
  <c r="C341" i="34"/>
  <c r="C85" i="15"/>
  <c r="G85" i="15" s="1"/>
  <c r="H277" i="34"/>
  <c r="C76" i="15"/>
  <c r="G76" i="15" s="1"/>
  <c r="C637" i="24"/>
  <c r="C671" i="24"/>
  <c r="C18" i="15"/>
  <c r="G18" i="15" s="1"/>
  <c r="F21" i="34"/>
  <c r="C632" i="24"/>
  <c r="E245" i="34"/>
  <c r="C66" i="15"/>
  <c r="G66" i="15" s="1"/>
  <c r="C82" i="15"/>
  <c r="G82" i="15" s="1"/>
  <c r="G309" i="34"/>
  <c r="C626" i="24"/>
  <c r="C684" i="24"/>
  <c r="E85" i="34"/>
  <c r="C31" i="15"/>
  <c r="G31" i="15" s="1"/>
  <c r="F117" i="34"/>
  <c r="C692" i="24"/>
  <c r="C39" i="15"/>
  <c r="C63" i="15"/>
  <c r="C625" i="24"/>
  <c r="I213" i="34"/>
  <c r="C61" i="15"/>
  <c r="C631" i="24"/>
  <c r="G213" i="34"/>
  <c r="C40" i="15"/>
  <c r="G40" i="15" s="1"/>
  <c r="C693" i="24"/>
  <c r="G117" i="34"/>
  <c r="H341" i="34"/>
  <c r="C646" i="24"/>
  <c r="C90" i="15"/>
  <c r="G90" i="15" s="1"/>
  <c r="C54" i="15"/>
  <c r="G54" i="15" s="1"/>
  <c r="G181" i="34"/>
  <c r="C707" i="24"/>
  <c r="C91" i="15"/>
  <c r="G91" i="15" s="1"/>
  <c r="I341" i="34"/>
  <c r="C647" i="24"/>
  <c r="C639" i="24"/>
  <c r="H309" i="34"/>
  <c r="C83" i="15"/>
  <c r="G83" i="15" s="1"/>
  <c r="C19" i="15"/>
  <c r="G21" i="34"/>
  <c r="C672" i="24"/>
  <c r="C674" i="24"/>
  <c r="I21" i="34"/>
  <c r="C21" i="15"/>
  <c r="G21" i="15" s="1"/>
  <c r="D53" i="34"/>
  <c r="C676" i="24"/>
  <c r="C23" i="15"/>
  <c r="G23" i="15" s="1"/>
  <c r="I149" i="34"/>
  <c r="C49" i="15"/>
  <c r="C702" i="24"/>
  <c r="C62" i="15"/>
  <c r="H213" i="34"/>
  <c r="C616" i="24"/>
  <c r="C36" i="15"/>
  <c r="C689" i="24"/>
  <c r="C117" i="34"/>
  <c r="D117" i="34"/>
  <c r="C690" i="24"/>
  <c r="C37" i="15"/>
  <c r="C93" i="15"/>
  <c r="G93" i="15" s="1"/>
  <c r="C620" i="24"/>
  <c r="D373" i="34"/>
  <c r="C68" i="15"/>
  <c r="G68" i="15" s="1"/>
  <c r="G245" i="34"/>
  <c r="C624" i="24"/>
  <c r="C686" i="24"/>
  <c r="C33" i="15"/>
  <c r="G85" i="34"/>
  <c r="E117" i="34"/>
  <c r="C691" i="24"/>
  <c r="C38" i="15"/>
  <c r="C638" i="24"/>
  <c r="C77" i="15"/>
  <c r="G77" i="15" s="1"/>
  <c r="I277" i="34"/>
  <c r="D308" i="24"/>
  <c r="F309" i="24" s="1"/>
  <c r="H117" i="34"/>
  <c r="C41" i="15"/>
  <c r="C694" i="24"/>
  <c r="F245" i="34"/>
  <c r="C67" i="15"/>
  <c r="G67" i="15" s="1"/>
  <c r="C633" i="24"/>
  <c r="C25" i="15"/>
  <c r="G25" i="15" s="1"/>
  <c r="F53" i="34"/>
  <c r="C678" i="24"/>
  <c r="H149" i="34"/>
  <c r="C701" i="24"/>
  <c r="C48" i="15"/>
  <c r="C58" i="15"/>
  <c r="C711" i="24"/>
  <c r="D213" i="34"/>
  <c r="C699" i="24"/>
  <c r="C46" i="15"/>
  <c r="F149" i="34"/>
  <c r="D85" i="34"/>
  <c r="C30" i="15"/>
  <c r="C683" i="24"/>
  <c r="C60" i="15"/>
  <c r="F213" i="34"/>
  <c r="C713" i="24"/>
  <c r="C669" i="24"/>
  <c r="C16" i="15"/>
  <c r="G16" i="15" s="1"/>
  <c r="D21" i="34"/>
  <c r="F277" i="34"/>
  <c r="C74" i="15"/>
  <c r="G74" i="15" s="1"/>
  <c r="C617" i="24"/>
  <c r="C55" i="15"/>
  <c r="G55" i="15" s="1"/>
  <c r="H181" i="34"/>
  <c r="C708" i="24"/>
  <c r="C65" i="15"/>
  <c r="C630" i="24"/>
  <c r="D245" i="34"/>
  <c r="C56" i="15"/>
  <c r="I181" i="34"/>
  <c r="C709" i="24"/>
  <c r="C629" i="24"/>
  <c r="I245" i="34"/>
  <c r="C70" i="15"/>
  <c r="G70" i="15" s="1"/>
  <c r="C84" i="15"/>
  <c r="G84" i="15" s="1"/>
  <c r="I309" i="34"/>
  <c r="C640" i="24"/>
  <c r="H21" i="34"/>
  <c r="C673" i="24"/>
  <c r="C20" i="15"/>
  <c r="I53" i="34"/>
  <c r="C681" i="24"/>
  <c r="C28" i="15"/>
  <c r="E341" i="34"/>
  <c r="C87" i="15"/>
  <c r="G87" i="15" s="1"/>
  <c r="C643" i="24"/>
  <c r="C685" i="24"/>
  <c r="F85" i="34"/>
  <c r="C32" i="15"/>
  <c r="G32" i="15" s="1"/>
  <c r="C22" i="15"/>
  <c r="G22" i="15" s="1"/>
  <c r="C675" i="24"/>
  <c r="C53" i="34"/>
  <c r="E53" i="34"/>
  <c r="C677" i="24"/>
  <c r="C24" i="15"/>
  <c r="G24" i="15" s="1"/>
  <c r="C43" i="15"/>
  <c r="C149" i="34"/>
  <c r="C696" i="24"/>
  <c r="C42" i="15"/>
  <c r="I117" i="34"/>
  <c r="C695" i="24"/>
  <c r="C59" i="15"/>
  <c r="G59" i="15" s="1"/>
  <c r="E213" i="34"/>
  <c r="C712" i="24"/>
  <c r="C88" i="15"/>
  <c r="G88" i="15" s="1"/>
  <c r="C644" i="24"/>
  <c r="F341" i="34"/>
  <c r="C17" i="15"/>
  <c r="E21" i="34"/>
  <c r="C670" i="24"/>
  <c r="C635" i="24"/>
  <c r="G277" i="34"/>
  <c r="C75" i="15"/>
  <c r="G75" i="15" s="1"/>
  <c r="H53" i="34"/>
  <c r="C27" i="15"/>
  <c r="G27" i="15" s="1"/>
  <c r="C680" i="24"/>
  <c r="C78" i="15"/>
  <c r="G78" i="15" s="1"/>
  <c r="C619" i="24"/>
  <c r="C309" i="34"/>
  <c r="F181" i="34"/>
  <c r="C53" i="15"/>
  <c r="G53" i="15" s="1"/>
  <c r="C706" i="24"/>
  <c r="G53" i="34"/>
  <c r="C26" i="15"/>
  <c r="G26" i="15" s="1"/>
  <c r="C679" i="24"/>
  <c r="C710" i="24"/>
  <c r="C57" i="15"/>
  <c r="G57" i="15" s="1"/>
  <c r="C213" i="34"/>
  <c r="D149" i="34"/>
  <c r="C697" i="24"/>
  <c r="C44" i="15"/>
  <c r="CE67" i="24"/>
  <c r="I369" i="34" s="1"/>
  <c r="M2" i="31"/>
  <c r="C17" i="34"/>
  <c r="C85" i="24"/>
  <c r="C81" i="15"/>
  <c r="G81" i="15" s="1"/>
  <c r="F309" i="34"/>
  <c r="C623" i="24"/>
  <c r="E309" i="34"/>
  <c r="C80" i="15"/>
  <c r="G80" i="15" s="1"/>
  <c r="C621" i="24"/>
  <c r="C634" i="24"/>
  <c r="C73" i="15"/>
  <c r="G73" i="15" s="1"/>
  <c r="E277" i="34"/>
  <c r="C627" i="24"/>
  <c r="C79" i="15"/>
  <c r="G79" i="15" s="1"/>
  <c r="D309" i="34"/>
  <c r="E414" i="24"/>
  <c r="C87" i="8"/>
  <c r="D350" i="24"/>
  <c r="C121" i="8"/>
  <c r="D384" i="24"/>
  <c r="E709" i="25"/>
  <c r="E701" i="25"/>
  <c r="E693" i="25"/>
  <c r="E685" i="25"/>
  <c r="E713" i="25"/>
  <c r="E708" i="25"/>
  <c r="E704" i="25"/>
  <c r="E699" i="25"/>
  <c r="E690" i="25"/>
  <c r="E681" i="25"/>
  <c r="E67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30" i="25"/>
  <c r="E624" i="25"/>
  <c r="E703" i="25"/>
  <c r="E694" i="25"/>
  <c r="E672" i="25"/>
  <c r="E712" i="25"/>
  <c r="E711" i="25"/>
  <c r="E702" i="25"/>
  <c r="E674" i="25"/>
  <c r="E716" i="25"/>
  <c r="E706" i="25"/>
  <c r="E697" i="25"/>
  <c r="E692" i="25"/>
  <c r="E688" i="25"/>
  <c r="E683" i="25"/>
  <c r="E679" i="25"/>
  <c r="E671" i="25"/>
  <c r="E625" i="25"/>
  <c r="E691" i="25"/>
  <c r="E682" i="25"/>
  <c r="E646" i="25"/>
  <c r="E710" i="25"/>
  <c r="E707" i="25"/>
  <c r="E698" i="25"/>
  <c r="E695" i="25"/>
  <c r="E647" i="25"/>
  <c r="E689" i="25"/>
  <c r="E686" i="25"/>
  <c r="E680" i="25"/>
  <c r="E676" i="25"/>
  <c r="E668" i="25"/>
  <c r="E628" i="25"/>
  <c r="E626" i="25"/>
  <c r="E705" i="25"/>
  <c r="E673" i="25"/>
  <c r="E696" i="25"/>
  <c r="E687" i="25"/>
  <c r="E684" i="25"/>
  <c r="E677" i="25"/>
  <c r="E669" i="25"/>
  <c r="E645" i="25"/>
  <c r="E627" i="25"/>
  <c r="E700" i="25"/>
  <c r="E678" i="25"/>
  <c r="E670" i="25"/>
  <c r="E629" i="25"/>
  <c r="C50" i="8" l="1"/>
  <c r="D352" i="24"/>
  <c r="C103" i="8" s="1"/>
  <c r="G50" i="15"/>
  <c r="H50" i="15" s="1"/>
  <c r="I50" i="15" s="1"/>
  <c r="G51" i="15"/>
  <c r="H51" i="15"/>
  <c r="I51" i="15" s="1"/>
  <c r="G42" i="15"/>
  <c r="H42" i="15" s="1"/>
  <c r="G43" i="15"/>
  <c r="H43" i="15" s="1"/>
  <c r="I43" i="15" s="1"/>
  <c r="G37" i="15"/>
  <c r="H37" i="15" s="1"/>
  <c r="G19" i="15"/>
  <c r="H19" i="15" s="1"/>
  <c r="I19" i="15" s="1"/>
  <c r="C21" i="34"/>
  <c r="C15" i="15"/>
  <c r="CE85" i="24"/>
  <c r="C668" i="24"/>
  <c r="G63" i="15"/>
  <c r="H63" i="15" s="1"/>
  <c r="I63" i="15" s="1"/>
  <c r="G69" i="15"/>
  <c r="H69" i="15" s="1"/>
  <c r="G20" i="15"/>
  <c r="H20" i="15" s="1"/>
  <c r="I20" i="15" s="1"/>
  <c r="H41" i="15"/>
  <c r="I41" i="15" s="1"/>
  <c r="G41" i="15"/>
  <c r="G39" i="15"/>
  <c r="H39" i="15" s="1"/>
  <c r="I39" i="15" s="1"/>
  <c r="G65" i="15"/>
  <c r="H65" i="15"/>
  <c r="I65" i="15" s="1"/>
  <c r="G48" i="15"/>
  <c r="H48" i="15" s="1"/>
  <c r="G30" i="15"/>
  <c r="H30" i="15" s="1"/>
  <c r="I30" i="15" s="1"/>
  <c r="G35" i="15"/>
  <c r="H35" i="15" s="1"/>
  <c r="I35" i="15" s="1"/>
  <c r="G44" i="15"/>
  <c r="H44" i="15"/>
  <c r="I44" i="15" s="1"/>
  <c r="G36" i="15"/>
  <c r="H36" i="15" s="1"/>
  <c r="I36" i="15" s="1"/>
  <c r="G29" i="15"/>
  <c r="H29" i="15" s="1"/>
  <c r="I29" i="15" s="1"/>
  <c r="G58" i="15"/>
  <c r="H58" i="15" s="1"/>
  <c r="G28" i="15"/>
  <c r="H28" i="15" s="1"/>
  <c r="I28" i="15" s="1"/>
  <c r="G49" i="15"/>
  <c r="H49" i="15" s="1"/>
  <c r="I49" i="15" s="1"/>
  <c r="G33" i="15"/>
  <c r="H33" i="15" s="1"/>
  <c r="I33" i="15" s="1"/>
  <c r="D615" i="24"/>
  <c r="C648" i="24"/>
  <c r="M716" i="24" s="1"/>
  <c r="H56" i="15"/>
  <c r="I56" i="15" s="1"/>
  <c r="G56" i="15"/>
  <c r="H46" i="15"/>
  <c r="I46" i="15" s="1"/>
  <c r="G46" i="15"/>
  <c r="G45" i="15"/>
  <c r="H45" i="15" s="1"/>
  <c r="I45" i="15" s="1"/>
  <c r="G17" i="15"/>
  <c r="H17" i="15" s="1"/>
  <c r="I17" i="15" s="1"/>
  <c r="G38" i="15"/>
  <c r="H38" i="15" s="1"/>
  <c r="G64" i="15"/>
  <c r="H64" i="15"/>
  <c r="I64" i="15" s="1"/>
  <c r="D417" i="24"/>
  <c r="C138" i="8"/>
  <c r="E715" i="25"/>
  <c r="F624" i="25"/>
  <c r="G15" i="15" l="1"/>
  <c r="H15" i="15" s="1"/>
  <c r="I15" i="15" s="1"/>
  <c r="C715" i="24"/>
  <c r="I373" i="34"/>
  <c r="C716" i="24"/>
  <c r="D706" i="24"/>
  <c r="D622" i="24"/>
  <c r="D644" i="24"/>
  <c r="D686" i="24"/>
  <c r="D700" i="24"/>
  <c r="D618" i="24"/>
  <c r="D643" i="24"/>
  <c r="D620" i="24"/>
  <c r="D710" i="24"/>
  <c r="D642" i="24"/>
  <c r="D682" i="24"/>
  <c r="D684" i="24"/>
  <c r="D699" i="24"/>
  <c r="D641" i="24"/>
  <c r="D703" i="24"/>
  <c r="D676" i="24"/>
  <c r="D695" i="24"/>
  <c r="D640" i="24"/>
  <c r="D671" i="24"/>
  <c r="D698" i="24"/>
  <c r="D692" i="24"/>
  <c r="D685" i="24"/>
  <c r="D694" i="24"/>
  <c r="D639" i="24"/>
  <c r="D616" i="24"/>
  <c r="D707" i="24"/>
  <c r="D687" i="24"/>
  <c r="D702" i="24"/>
  <c r="D716" i="24"/>
  <c r="D638" i="24"/>
  <c r="D696" i="24"/>
  <c r="D626" i="24"/>
  <c r="D631" i="24"/>
  <c r="D624" i="24"/>
  <c r="D674" i="24"/>
  <c r="D693" i="24"/>
  <c r="D697" i="24"/>
  <c r="D701" i="24"/>
  <c r="D617" i="24"/>
  <c r="D708" i="24"/>
  <c r="D691" i="24"/>
  <c r="D690" i="24"/>
  <c r="D709" i="24"/>
  <c r="D673" i="24"/>
  <c r="D637" i="24"/>
  <c r="D681" i="24"/>
  <c r="D670" i="24"/>
  <c r="D636" i="24"/>
  <c r="D627" i="24"/>
  <c r="D647" i="24"/>
  <c r="D623" i="24"/>
  <c r="D688" i="24"/>
  <c r="D630" i="24"/>
  <c r="D679" i="24"/>
  <c r="D633" i="24"/>
  <c r="D625" i="24"/>
  <c r="D712" i="24"/>
  <c r="D668" i="24"/>
  <c r="D711" i="24"/>
  <c r="D689" i="24"/>
  <c r="D669" i="24"/>
  <c r="D678" i="24"/>
  <c r="D635" i="24"/>
  <c r="D705" i="24"/>
  <c r="D645" i="24"/>
  <c r="D704" i="24"/>
  <c r="D619" i="24"/>
  <c r="D629" i="24"/>
  <c r="D632" i="24"/>
  <c r="D675" i="24"/>
  <c r="D680" i="24"/>
  <c r="D628" i="24"/>
  <c r="D713" i="24"/>
  <c r="D677" i="24"/>
  <c r="D646" i="24"/>
  <c r="D634" i="24"/>
  <c r="D621" i="24"/>
  <c r="D672" i="24"/>
  <c r="D683" i="24"/>
  <c r="C168" i="8"/>
  <c r="D421" i="24"/>
  <c r="F706" i="25"/>
  <c r="F698" i="25"/>
  <c r="F690" i="25"/>
  <c r="F682" i="25"/>
  <c r="F703" i="25"/>
  <c r="F694" i="25"/>
  <c r="F685" i="25"/>
  <c r="F672" i="25"/>
  <c r="F712" i="25"/>
  <c r="F707" i="25"/>
  <c r="F689" i="25"/>
  <c r="F684" i="25"/>
  <c r="F680" i="25"/>
  <c r="F677" i="25"/>
  <c r="F669" i="25"/>
  <c r="F627" i="25"/>
  <c r="F716" i="25"/>
  <c r="F697" i="25"/>
  <c r="F692" i="25"/>
  <c r="F688" i="25"/>
  <c r="F683" i="25"/>
  <c r="F679" i="25"/>
  <c r="F671" i="25"/>
  <c r="F710" i="25"/>
  <c r="F701" i="25"/>
  <c r="F687" i="25"/>
  <c r="F676" i="25"/>
  <c r="F668" i="25"/>
  <c r="F628" i="25"/>
  <c r="F640" i="25"/>
  <c r="F632" i="25"/>
  <c r="F695" i="25"/>
  <c r="F675" i="25"/>
  <c r="F647" i="25"/>
  <c r="F643" i="25"/>
  <c r="F635" i="25"/>
  <c r="F704" i="25"/>
  <c r="F686" i="25"/>
  <c r="F638" i="25"/>
  <c r="F630" i="25"/>
  <c r="F626" i="25"/>
  <c r="F713" i="25"/>
  <c r="F705" i="25"/>
  <c r="F673" i="25"/>
  <c r="F641" i="25"/>
  <c r="F633" i="25"/>
  <c r="F711" i="25"/>
  <c r="F708" i="25"/>
  <c r="F696" i="25"/>
  <c r="F644" i="25"/>
  <c r="F636" i="25"/>
  <c r="F702" i="25"/>
  <c r="F699" i="25"/>
  <c r="F693" i="25"/>
  <c r="F645" i="25"/>
  <c r="F639" i="25"/>
  <c r="F631" i="25"/>
  <c r="F709" i="25"/>
  <c r="F700" i="25"/>
  <c r="F681" i="25"/>
  <c r="F678" i="25"/>
  <c r="F674" i="25"/>
  <c r="F670" i="25"/>
  <c r="F642" i="25"/>
  <c r="F634" i="25"/>
  <c r="F629" i="25"/>
  <c r="F625" i="25"/>
  <c r="F691" i="25"/>
  <c r="F646" i="25"/>
  <c r="F637" i="25"/>
  <c r="D715" i="24" l="1"/>
  <c r="E623" i="24"/>
  <c r="E612" i="24"/>
  <c r="D424" i="24"/>
  <c r="C177" i="8" s="1"/>
  <c r="C172" i="8"/>
  <c r="F715" i="25"/>
  <c r="G625" i="25"/>
  <c r="E699" i="24" l="1"/>
  <c r="E645" i="24"/>
  <c r="E631" i="24"/>
  <c r="E630" i="24"/>
  <c r="E626" i="24"/>
  <c r="E624" i="24"/>
  <c r="E675" i="24"/>
  <c r="E672" i="24"/>
  <c r="E708" i="24"/>
  <c r="E642" i="24"/>
  <c r="E628" i="24"/>
  <c r="E677" i="24"/>
  <c r="E680" i="24"/>
  <c r="E694" i="24"/>
  <c r="E704" i="24"/>
  <c r="E629" i="24"/>
  <c r="E696" i="24"/>
  <c r="E688" i="24"/>
  <c r="E690" i="24"/>
  <c r="E693" i="24"/>
  <c r="E703" i="24"/>
  <c r="E713" i="24"/>
  <c r="E635" i="24"/>
  <c r="E647" i="24"/>
  <c r="E676" i="24"/>
  <c r="E641" i="24"/>
  <c r="E639" i="24"/>
  <c r="E638" i="24"/>
  <c r="E684" i="24"/>
  <c r="E706" i="24"/>
  <c r="E700" i="24"/>
  <c r="E682" i="24"/>
  <c r="E678" i="24"/>
  <c r="E689" i="24"/>
  <c r="E681" i="24"/>
  <c r="E633" i="24"/>
  <c r="E671" i="24"/>
  <c r="E692" i="24"/>
  <c r="E687" i="24"/>
  <c r="E674" i="24"/>
  <c r="E625" i="24"/>
  <c r="E691" i="24"/>
  <c r="E686" i="24"/>
  <c r="E643" i="24"/>
  <c r="E683" i="24"/>
  <c r="E705" i="24"/>
  <c r="E702" i="24"/>
  <c r="E695" i="24"/>
  <c r="E707" i="24"/>
  <c r="E668" i="24"/>
  <c r="E711" i="24"/>
  <c r="E637" i="24"/>
  <c r="E697" i="24"/>
  <c r="E673" i="24"/>
  <c r="E670" i="24"/>
  <c r="E716" i="24"/>
  <c r="E632" i="24"/>
  <c r="E710" i="24"/>
  <c r="E698" i="24"/>
  <c r="E644" i="24"/>
  <c r="E701" i="24"/>
  <c r="E646" i="24"/>
  <c r="E627" i="24"/>
  <c r="E669" i="24"/>
  <c r="E709" i="24"/>
  <c r="E685" i="24"/>
  <c r="E712" i="24"/>
  <c r="E640" i="24"/>
  <c r="E679" i="24"/>
  <c r="E636" i="24"/>
  <c r="E634" i="24"/>
  <c r="G711" i="25"/>
  <c r="G703" i="25"/>
  <c r="G695" i="25"/>
  <c r="G687" i="25"/>
  <c r="G712" i="25"/>
  <c r="G707" i="25"/>
  <c r="G689" i="25"/>
  <c r="G684" i="25"/>
  <c r="G680" i="25"/>
  <c r="G677" i="25"/>
  <c r="G669" i="25"/>
  <c r="G627" i="25"/>
  <c r="G702" i="25"/>
  <c r="G698" i="25"/>
  <c r="G693" i="25"/>
  <c r="G674" i="25"/>
  <c r="G716" i="25"/>
  <c r="G710" i="25"/>
  <c r="G706" i="25"/>
  <c r="G701" i="25"/>
  <c r="G676" i="25"/>
  <c r="G668" i="25"/>
  <c r="G705" i="25"/>
  <c r="G700" i="25"/>
  <c r="G696" i="25"/>
  <c r="G691" i="25"/>
  <c r="G673" i="25"/>
  <c r="G688" i="25"/>
  <c r="G685" i="25"/>
  <c r="G679" i="25"/>
  <c r="G675" i="25"/>
  <c r="G671" i="25"/>
  <c r="G647" i="25"/>
  <c r="G643" i="25"/>
  <c r="G635" i="25"/>
  <c r="G704" i="25"/>
  <c r="G686" i="25"/>
  <c r="G638" i="25"/>
  <c r="G630" i="25"/>
  <c r="G626" i="25"/>
  <c r="G715" i="25" s="1"/>
  <c r="G713" i="25"/>
  <c r="G692" i="25"/>
  <c r="G683" i="25"/>
  <c r="G672" i="25"/>
  <c r="G641" i="25"/>
  <c r="G633" i="25"/>
  <c r="G628" i="25"/>
  <c r="G708" i="25"/>
  <c r="G644" i="25"/>
  <c r="G636" i="25"/>
  <c r="G699" i="25"/>
  <c r="G645" i="25"/>
  <c r="G639" i="25"/>
  <c r="G631" i="25"/>
  <c r="G709" i="25"/>
  <c r="G681" i="25"/>
  <c r="G678" i="25"/>
  <c r="G670" i="25"/>
  <c r="G642" i="25"/>
  <c r="G634" i="25"/>
  <c r="G629" i="25"/>
  <c r="G690" i="25"/>
  <c r="G646" i="25"/>
  <c r="G637" i="25"/>
  <c r="G697" i="25"/>
  <c r="G694" i="25"/>
  <c r="G682" i="25"/>
  <c r="G640" i="25"/>
  <c r="G632" i="25"/>
  <c r="F624" i="24" l="1"/>
  <c r="E715" i="24"/>
  <c r="H628" i="25"/>
  <c r="F707" i="24" l="1"/>
  <c r="F695" i="24"/>
  <c r="F636" i="24"/>
  <c r="F676" i="24"/>
  <c r="F673" i="24"/>
  <c r="F635" i="24"/>
  <c r="F670" i="24"/>
  <c r="F634" i="24"/>
  <c r="F682" i="24"/>
  <c r="F625" i="24"/>
  <c r="F677" i="24"/>
  <c r="F708" i="24"/>
  <c r="F687" i="24"/>
  <c r="F703" i="24"/>
  <c r="F627" i="24"/>
  <c r="F675" i="24"/>
  <c r="F698" i="24"/>
  <c r="F671" i="24"/>
  <c r="F690" i="24"/>
  <c r="F697" i="24"/>
  <c r="F633" i="24"/>
  <c r="F632" i="24"/>
  <c r="F626" i="24"/>
  <c r="F693" i="24"/>
  <c r="F644" i="24"/>
  <c r="F643" i="24"/>
  <c r="F681" i="24"/>
  <c r="F711" i="24"/>
  <c r="F688" i="24"/>
  <c r="F704" i="24"/>
  <c r="F637" i="24"/>
  <c r="F647" i="24"/>
  <c r="F694" i="24"/>
  <c r="F639" i="24"/>
  <c r="F674" i="24"/>
  <c r="F646" i="24"/>
  <c r="F630" i="24"/>
  <c r="F680" i="24"/>
  <c r="F641" i="24"/>
  <c r="F716" i="24"/>
  <c r="F712" i="24"/>
  <c r="F645" i="24"/>
  <c r="F631" i="24"/>
  <c r="F709" i="24"/>
  <c r="F706" i="24"/>
  <c r="F699" i="24"/>
  <c r="F710" i="24"/>
  <c r="F692" i="24"/>
  <c r="F686" i="24"/>
  <c r="F669" i="24"/>
  <c r="F638" i="24"/>
  <c r="F629" i="24"/>
  <c r="F700" i="24"/>
  <c r="F705" i="24"/>
  <c r="F679" i="24"/>
  <c r="F689" i="24"/>
  <c r="F642" i="24"/>
  <c r="F678" i="24"/>
  <c r="F668" i="24"/>
  <c r="F696" i="24"/>
  <c r="F701" i="24"/>
  <c r="F713" i="24"/>
  <c r="F702" i="24"/>
  <c r="F691" i="24"/>
  <c r="F672" i="24"/>
  <c r="F685" i="24"/>
  <c r="F684" i="24"/>
  <c r="F683" i="24"/>
  <c r="F640" i="24"/>
  <c r="F628" i="24"/>
  <c r="H708" i="25"/>
  <c r="H700" i="25"/>
  <c r="H692" i="25"/>
  <c r="H684" i="25"/>
  <c r="H716" i="25"/>
  <c r="H702" i="25"/>
  <c r="H698" i="25"/>
  <c r="H693" i="25"/>
  <c r="H674" i="25"/>
  <c r="H711" i="25"/>
  <c r="H697" i="25"/>
  <c r="H688" i="25"/>
  <c r="H683" i="25"/>
  <c r="H679" i="25"/>
  <c r="H671" i="25"/>
  <c r="H705" i="25"/>
  <c r="H696" i="25"/>
  <c r="H691" i="25"/>
  <c r="H687" i="25"/>
  <c r="H673" i="25"/>
  <c r="H709" i="25"/>
  <c r="H686" i="25"/>
  <c r="H682" i="25"/>
  <c r="H678" i="25"/>
  <c r="H670" i="25"/>
  <c r="H647" i="25"/>
  <c r="H646" i="25"/>
  <c r="H645" i="25"/>
  <c r="H629" i="25"/>
  <c r="H710" i="25"/>
  <c r="H707" i="25"/>
  <c r="H704" i="25"/>
  <c r="H695" i="25"/>
  <c r="H638" i="25"/>
  <c r="H630" i="25"/>
  <c r="H713" i="25"/>
  <c r="H701" i="25"/>
  <c r="H672" i="25"/>
  <c r="H641" i="25"/>
  <c r="H633" i="25"/>
  <c r="H689" i="25"/>
  <c r="H680" i="25"/>
  <c r="H676" i="25"/>
  <c r="H668" i="25"/>
  <c r="H644" i="25"/>
  <c r="H636" i="25"/>
  <c r="H699" i="25"/>
  <c r="H639" i="25"/>
  <c r="H631" i="25"/>
  <c r="H681" i="25"/>
  <c r="H677" i="25"/>
  <c r="H669" i="25"/>
  <c r="H642" i="25"/>
  <c r="H634" i="25"/>
  <c r="H690" i="25"/>
  <c r="H637" i="25"/>
  <c r="H706" i="25"/>
  <c r="H694" i="25"/>
  <c r="H640" i="25"/>
  <c r="H632" i="25"/>
  <c r="H712" i="25"/>
  <c r="H703" i="25"/>
  <c r="H685" i="25"/>
  <c r="H675" i="25"/>
  <c r="H643" i="25"/>
  <c r="H635" i="25"/>
  <c r="F715" i="24" l="1"/>
  <c r="G625" i="24"/>
  <c r="H715" i="25"/>
  <c r="I629" i="25"/>
  <c r="G697" i="24" l="1"/>
  <c r="G680" i="24"/>
  <c r="G701" i="24"/>
  <c r="G694" i="24"/>
  <c r="G712" i="24"/>
  <c r="G640" i="24"/>
  <c r="G644" i="24"/>
  <c r="G709" i="24"/>
  <c r="G634" i="24"/>
  <c r="G668" i="24"/>
  <c r="G710" i="24"/>
  <c r="G636" i="24"/>
  <c r="G689" i="24"/>
  <c r="G645" i="24"/>
  <c r="G627" i="24"/>
  <c r="G699" i="24"/>
  <c r="G626" i="24"/>
  <c r="G630" i="24"/>
  <c r="G700" i="24"/>
  <c r="G692" i="24"/>
  <c r="G628" i="24"/>
  <c r="G633" i="24"/>
  <c r="G647" i="24"/>
  <c r="G713" i="24"/>
  <c r="G675" i="24"/>
  <c r="G681" i="24"/>
  <c r="G677" i="24"/>
  <c r="G691" i="24"/>
  <c r="G706" i="24"/>
  <c r="G635" i="24"/>
  <c r="G671" i="24"/>
  <c r="G646" i="24"/>
  <c r="G642" i="24"/>
  <c r="G693" i="24"/>
  <c r="G672" i="24"/>
  <c r="G632" i="24"/>
  <c r="G676" i="24"/>
  <c r="G716" i="24"/>
  <c r="G704" i="24"/>
  <c r="G673" i="24"/>
  <c r="G674" i="24"/>
  <c r="G669" i="24"/>
  <c r="G683" i="24"/>
  <c r="G698" i="24"/>
  <c r="G711" i="24"/>
  <c r="G679" i="24"/>
  <c r="G708" i="24"/>
  <c r="G641" i="24"/>
  <c r="G643" i="24"/>
  <c r="G690" i="24"/>
  <c r="G670" i="24"/>
  <c r="G703" i="24"/>
  <c r="G682" i="24"/>
  <c r="G696" i="24"/>
  <c r="G685" i="24"/>
  <c r="G639" i="24"/>
  <c r="G705" i="24"/>
  <c r="G686" i="24"/>
  <c r="G687" i="24"/>
  <c r="G629" i="24"/>
  <c r="G638" i="24"/>
  <c r="G637" i="24"/>
  <c r="G707" i="24"/>
  <c r="G631" i="24"/>
  <c r="G684" i="24"/>
  <c r="G702" i="24"/>
  <c r="G688" i="24"/>
  <c r="G678" i="24"/>
  <c r="G695" i="24"/>
  <c r="I713" i="25"/>
  <c r="I705" i="25"/>
  <c r="I697" i="25"/>
  <c r="I689" i="25"/>
  <c r="I681" i="25"/>
  <c r="I711" i="25"/>
  <c r="I688" i="25"/>
  <c r="I683" i="25"/>
  <c r="I679" i="25"/>
  <c r="I671" i="25"/>
  <c r="I716" i="25"/>
  <c r="I710" i="25"/>
  <c r="I706" i="25"/>
  <c r="I701" i="25"/>
  <c r="I692" i="25"/>
  <c r="I676" i="25"/>
  <c r="I668" i="25"/>
  <c r="I709" i="25"/>
  <c r="I700" i="25"/>
  <c r="I686" i="25"/>
  <c r="I682" i="25"/>
  <c r="I678" i="25"/>
  <c r="I670" i="25"/>
  <c r="I704" i="25"/>
  <c r="I699" i="25"/>
  <c r="I695" i="25"/>
  <c r="I67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30" i="25"/>
  <c r="I672" i="25"/>
  <c r="I698" i="25"/>
  <c r="I680" i="25"/>
  <c r="I708" i="25"/>
  <c r="I673" i="25"/>
  <c r="I696" i="25"/>
  <c r="I677" i="25"/>
  <c r="I669" i="25"/>
  <c r="I645" i="25"/>
  <c r="I702" i="25"/>
  <c r="I693" i="25"/>
  <c r="I690" i="25"/>
  <c r="I687" i="25"/>
  <c r="I684" i="25"/>
  <c r="I694" i="25"/>
  <c r="I674" i="25"/>
  <c r="I646" i="25"/>
  <c r="I712" i="25"/>
  <c r="I703" i="25"/>
  <c r="I691" i="25"/>
  <c r="I685" i="25"/>
  <c r="I707" i="25"/>
  <c r="I647" i="25"/>
  <c r="G715" i="24" l="1"/>
  <c r="H628" i="24"/>
  <c r="I715" i="25"/>
  <c r="J630" i="25"/>
  <c r="H647" i="24" l="1"/>
  <c r="H669" i="24"/>
  <c r="H672" i="24"/>
  <c r="H708" i="24"/>
  <c r="H703" i="24"/>
  <c r="H696" i="24"/>
  <c r="H680" i="24"/>
  <c r="H713" i="24"/>
  <c r="H675" i="24"/>
  <c r="H686" i="24"/>
  <c r="H676" i="24"/>
  <c r="H704" i="24"/>
  <c r="H643" i="24"/>
  <c r="H710" i="24"/>
  <c r="H706" i="24"/>
  <c r="H695" i="24"/>
  <c r="H630" i="24"/>
  <c r="H692" i="24"/>
  <c r="H694" i="24"/>
  <c r="H637" i="24"/>
  <c r="H642" i="24"/>
  <c r="H712" i="24"/>
  <c r="H670" i="24"/>
  <c r="H636" i="24"/>
  <c r="H707" i="24"/>
  <c r="H702" i="24"/>
  <c r="H691" i="24"/>
  <c r="H646" i="24"/>
  <c r="H671" i="24"/>
  <c r="H682" i="24"/>
  <c r="H701" i="24"/>
  <c r="H635" i="24"/>
  <c r="H641" i="24"/>
  <c r="H668" i="24"/>
  <c r="H674" i="24"/>
  <c r="H698" i="24"/>
  <c r="H640" i="24"/>
  <c r="H699" i="24"/>
  <c r="H633" i="24"/>
  <c r="H697" i="24"/>
  <c r="H685" i="24"/>
  <c r="H687" i="24"/>
  <c r="H683" i="24"/>
  <c r="H677" i="24"/>
  <c r="H644" i="24"/>
  <c r="H678" i="24"/>
  <c r="H639" i="24"/>
  <c r="H638" i="24"/>
  <c r="H679" i="24"/>
  <c r="H689" i="24"/>
  <c r="H681" i="24"/>
  <c r="H716" i="24"/>
  <c r="H709" i="24"/>
  <c r="H700" i="24"/>
  <c r="H705" i="24"/>
  <c r="H632" i="24"/>
  <c r="H629" i="24"/>
  <c r="H688" i="24"/>
  <c r="H631" i="24"/>
  <c r="H690" i="24"/>
  <c r="H634" i="24"/>
  <c r="H711" i="24"/>
  <c r="H684" i="24"/>
  <c r="H673" i="24"/>
  <c r="H645" i="24"/>
  <c r="H693" i="24"/>
  <c r="J710" i="25"/>
  <c r="J702" i="25"/>
  <c r="J694" i="25"/>
  <c r="J686" i="25"/>
  <c r="J716" i="25"/>
  <c r="J706" i="25"/>
  <c r="J701" i="25"/>
  <c r="J697" i="25"/>
  <c r="J692" i="25"/>
  <c r="J676" i="25"/>
  <c r="J668" i="25"/>
  <c r="J696" i="25"/>
  <c r="J691" i="25"/>
  <c r="J687" i="25"/>
  <c r="J673" i="25"/>
  <c r="J704" i="25"/>
  <c r="J699" i="25"/>
  <c r="J695" i="25"/>
  <c r="J675" i="25"/>
  <c r="J713" i="25"/>
  <c r="J708" i="25"/>
  <c r="J690" i="25"/>
  <c r="J685" i="25"/>
  <c r="J681" i="25"/>
  <c r="J672" i="25"/>
  <c r="J698" i="25"/>
  <c r="J680" i="25"/>
  <c r="J641" i="25"/>
  <c r="J633" i="25"/>
  <c r="J689" i="25"/>
  <c r="J683" i="25"/>
  <c r="J644" i="25"/>
  <c r="K644" i="25" s="1"/>
  <c r="J636" i="25"/>
  <c r="J705" i="25"/>
  <c r="J677" i="25"/>
  <c r="J669" i="25"/>
  <c r="J645" i="25"/>
  <c r="J639" i="25"/>
  <c r="J631" i="25"/>
  <c r="J715" i="25" s="1"/>
  <c r="J711" i="25"/>
  <c r="J693" i="25"/>
  <c r="J684" i="25"/>
  <c r="J642" i="25"/>
  <c r="J634" i="25"/>
  <c r="J709" i="25"/>
  <c r="J678" i="25"/>
  <c r="J674" i="25"/>
  <c r="J670" i="25"/>
  <c r="J646" i="25"/>
  <c r="J637" i="25"/>
  <c r="J712" i="25"/>
  <c r="J703" i="25"/>
  <c r="J700" i="25"/>
  <c r="J640" i="25"/>
  <c r="J632" i="25"/>
  <c r="J707" i="25"/>
  <c r="J682" i="25"/>
  <c r="J647" i="25"/>
  <c r="L647" i="25" s="1"/>
  <c r="J643" i="25"/>
  <c r="J635" i="25"/>
  <c r="J688" i="25"/>
  <c r="J679" i="25"/>
  <c r="J671" i="25"/>
  <c r="J638" i="25"/>
  <c r="H715" i="24" l="1"/>
  <c r="I629" i="24"/>
  <c r="K716" i="25"/>
  <c r="K707" i="25"/>
  <c r="K699" i="25"/>
  <c r="K691" i="25"/>
  <c r="K683" i="25"/>
  <c r="K710" i="25"/>
  <c r="K696" i="25"/>
  <c r="K687" i="25"/>
  <c r="K673" i="25"/>
  <c r="K709" i="25"/>
  <c r="K705" i="25"/>
  <c r="K700" i="25"/>
  <c r="K682" i="25"/>
  <c r="K678" i="25"/>
  <c r="K670" i="25"/>
  <c r="K713" i="25"/>
  <c r="K708" i="25"/>
  <c r="K690" i="25"/>
  <c r="K685" i="25"/>
  <c r="K681" i="25"/>
  <c r="K672" i="25"/>
  <c r="K712" i="25"/>
  <c r="K703" i="25"/>
  <c r="K694" i="25"/>
  <c r="K680" i="25"/>
  <c r="K677" i="25"/>
  <c r="K669" i="25"/>
  <c r="K701" i="25"/>
  <c r="K689" i="25"/>
  <c r="K686" i="25"/>
  <c r="K692" i="25"/>
  <c r="K676" i="25"/>
  <c r="K668" i="25"/>
  <c r="K715" i="25" s="1"/>
  <c r="K711" i="25"/>
  <c r="K693" i="25"/>
  <c r="K684" i="25"/>
  <c r="K702" i="25"/>
  <c r="K674" i="25"/>
  <c r="K706" i="25"/>
  <c r="K697" i="25"/>
  <c r="K688" i="25"/>
  <c r="K679" i="25"/>
  <c r="K675" i="25"/>
  <c r="K671" i="25"/>
  <c r="K704" i="25"/>
  <c r="K698" i="25"/>
  <c r="K695" i="25"/>
  <c r="L712" i="25"/>
  <c r="M712" i="25" s="1"/>
  <c r="L704" i="25"/>
  <c r="M704" i="25" s="1"/>
  <c r="L696" i="25"/>
  <c r="M696" i="25" s="1"/>
  <c r="L688" i="25"/>
  <c r="M688" i="25" s="1"/>
  <c r="L680" i="25"/>
  <c r="M680" i="25" s="1"/>
  <c r="L709" i="25"/>
  <c r="M709" i="25" s="1"/>
  <c r="L705" i="25"/>
  <c r="M705" i="25" s="1"/>
  <c r="L700" i="25"/>
  <c r="M700" i="25" s="1"/>
  <c r="L691" i="25"/>
  <c r="M691" i="25" s="1"/>
  <c r="L682" i="25"/>
  <c r="M682" i="25" s="1"/>
  <c r="L678" i="25"/>
  <c r="M678" i="25" s="1"/>
  <c r="L670" i="25"/>
  <c r="M670" i="25" s="1"/>
  <c r="L695" i="25"/>
  <c r="M695" i="25" s="1"/>
  <c r="L686" i="25"/>
  <c r="M686" i="25" s="1"/>
  <c r="L675" i="25"/>
  <c r="M675" i="25" s="1"/>
  <c r="L713" i="25"/>
  <c r="M713" i="25" s="1"/>
  <c r="L703" i="25"/>
  <c r="M703" i="25" s="1"/>
  <c r="L694" i="25"/>
  <c r="M694" i="25" s="1"/>
  <c r="L677" i="25"/>
  <c r="M677" i="25" s="1"/>
  <c r="L669" i="25"/>
  <c r="M669" i="25" s="1"/>
  <c r="L707" i="25"/>
  <c r="M707" i="25" s="1"/>
  <c r="L698" i="25"/>
  <c r="M698" i="25" s="1"/>
  <c r="L693" i="25"/>
  <c r="M693" i="25" s="1"/>
  <c r="L689" i="25"/>
  <c r="M689" i="25" s="1"/>
  <c r="L684" i="25"/>
  <c r="M684" i="25" s="1"/>
  <c r="L674" i="25"/>
  <c r="M674" i="25" s="1"/>
  <c r="L692" i="25"/>
  <c r="M692" i="25" s="1"/>
  <c r="L683" i="25"/>
  <c r="M683" i="25" s="1"/>
  <c r="L676" i="25"/>
  <c r="M676" i="25" s="1"/>
  <c r="L668" i="25"/>
  <c r="L711" i="25"/>
  <c r="M711" i="25" s="1"/>
  <c r="L708" i="25"/>
  <c r="M708" i="25" s="1"/>
  <c r="L673" i="25"/>
  <c r="M673" i="25" s="1"/>
  <c r="L716" i="25"/>
  <c r="L702" i="25"/>
  <c r="M702" i="25" s="1"/>
  <c r="L699" i="25"/>
  <c r="M699" i="25" s="1"/>
  <c r="L690" i="25"/>
  <c r="M690" i="25" s="1"/>
  <c r="L687" i="25"/>
  <c r="M687" i="25" s="1"/>
  <c r="L681" i="25"/>
  <c r="M681" i="25" s="1"/>
  <c r="L706" i="25"/>
  <c r="M706" i="25" s="1"/>
  <c r="L697" i="25"/>
  <c r="M697" i="25" s="1"/>
  <c r="L685" i="25"/>
  <c r="M685" i="25" s="1"/>
  <c r="L679" i="25"/>
  <c r="M679" i="25" s="1"/>
  <c r="L671" i="25"/>
  <c r="M671" i="25" s="1"/>
  <c r="L710" i="25"/>
  <c r="M710" i="25" s="1"/>
  <c r="L701" i="25"/>
  <c r="M701" i="25" s="1"/>
  <c r="L672" i="25"/>
  <c r="M672" i="25" s="1"/>
  <c r="I671" i="24" l="1"/>
  <c r="I694" i="24"/>
  <c r="I689" i="24"/>
  <c r="I695" i="24"/>
  <c r="I691" i="24"/>
  <c r="I681" i="24"/>
  <c r="I670" i="24"/>
  <c r="I639" i="24"/>
  <c r="I712" i="24"/>
  <c r="I685" i="24"/>
  <c r="I701" i="24"/>
  <c r="I686" i="24"/>
  <c r="I645" i="24"/>
  <c r="I669" i="24"/>
  <c r="I631" i="24"/>
  <c r="I711" i="24"/>
  <c r="I632" i="24"/>
  <c r="I688" i="24"/>
  <c r="I699" i="24"/>
  <c r="I697" i="24"/>
  <c r="I716" i="24"/>
  <c r="I642" i="24"/>
  <c r="I641" i="24"/>
  <c r="I680" i="24"/>
  <c r="I647" i="24"/>
  <c r="I635" i="24"/>
  <c r="I640" i="24"/>
  <c r="I705" i="24"/>
  <c r="I646" i="24"/>
  <c r="I710" i="24"/>
  <c r="I713" i="24"/>
  <c r="I682" i="24"/>
  <c r="I687" i="24"/>
  <c r="I702" i="24"/>
  <c r="I676" i="24"/>
  <c r="I636" i="24"/>
  <c r="I644" i="24"/>
  <c r="I709" i="24"/>
  <c r="I698" i="24"/>
  <c r="I637" i="24"/>
  <c r="I675" i="24"/>
  <c r="I673" i="24"/>
  <c r="I683" i="24"/>
  <c r="I668" i="24"/>
  <c r="I708" i="24"/>
  <c r="I690" i="24"/>
  <c r="I703" i="24"/>
  <c r="I696" i="24"/>
  <c r="I677" i="24"/>
  <c r="I706" i="24"/>
  <c r="I707" i="24"/>
  <c r="I704" i="24"/>
  <c r="I674" i="24"/>
  <c r="I678" i="24"/>
  <c r="I633" i="24"/>
  <c r="I693" i="24"/>
  <c r="I638" i="24"/>
  <c r="I634" i="24"/>
  <c r="I643" i="24"/>
  <c r="I692" i="24"/>
  <c r="I700" i="24"/>
  <c r="I630" i="24"/>
  <c r="I679" i="24"/>
  <c r="I684" i="24"/>
  <c r="I672" i="24"/>
  <c r="L715" i="25"/>
  <c r="M668" i="25"/>
  <c r="M715" i="25" s="1"/>
  <c r="I715" i="24" l="1"/>
  <c r="J630" i="24"/>
  <c r="J638" i="24" l="1"/>
  <c r="J632" i="24"/>
  <c r="J682" i="24"/>
  <c r="J635" i="24"/>
  <c r="J644" i="24"/>
  <c r="J670" i="24"/>
  <c r="J671" i="24"/>
  <c r="J702" i="24"/>
  <c r="J637" i="24"/>
  <c r="J683" i="24"/>
  <c r="J685" i="24"/>
  <c r="J636" i="24"/>
  <c r="J647" i="24"/>
  <c r="L647" i="24" s="1"/>
  <c r="J701" i="24"/>
  <c r="J696" i="24"/>
  <c r="J695" i="24"/>
  <c r="J633" i="24"/>
  <c r="J681" i="24"/>
  <c r="J693" i="24"/>
  <c r="J707" i="24"/>
  <c r="J642" i="24"/>
  <c r="J680" i="24"/>
  <c r="J710" i="24"/>
  <c r="J705" i="24"/>
  <c r="J699" i="24"/>
  <c r="J675" i="24"/>
  <c r="J676" i="24"/>
  <c r="J643" i="24"/>
  <c r="J641" i="24"/>
  <c r="J646" i="24"/>
  <c r="J711" i="24"/>
  <c r="J634" i="24"/>
  <c r="J677" i="24"/>
  <c r="J674" i="24"/>
  <c r="J716" i="24"/>
  <c r="J704" i="24"/>
  <c r="J672" i="24"/>
  <c r="J692" i="24"/>
  <c r="J700" i="24"/>
  <c r="J690" i="24"/>
  <c r="J689" i="24"/>
  <c r="J645" i="24"/>
  <c r="J713" i="24"/>
  <c r="J686" i="24"/>
  <c r="J708" i="24"/>
  <c r="J706" i="24"/>
  <c r="J684" i="24"/>
  <c r="J631" i="24"/>
  <c r="J678" i="24"/>
  <c r="J679" i="24"/>
  <c r="J668" i="24"/>
  <c r="J669" i="24"/>
  <c r="J709" i="24"/>
  <c r="J691" i="24"/>
  <c r="J688" i="24"/>
  <c r="J703" i="24"/>
  <c r="J712" i="24"/>
  <c r="J687" i="24"/>
  <c r="J639" i="24"/>
  <c r="J694" i="24"/>
  <c r="J640" i="24"/>
  <c r="J673" i="24"/>
  <c r="J698" i="24"/>
  <c r="J697" i="24"/>
  <c r="K644" i="24" l="1"/>
  <c r="L702" i="24"/>
  <c r="L691" i="24"/>
  <c r="L711" i="24"/>
  <c r="L707" i="24"/>
  <c r="L671" i="24"/>
  <c r="L708" i="24"/>
  <c r="L680" i="24"/>
  <c r="L695" i="24"/>
  <c r="L677" i="24"/>
  <c r="L709" i="24"/>
  <c r="L693" i="24"/>
  <c r="L712" i="24"/>
  <c r="L690" i="24"/>
  <c r="L710" i="24"/>
  <c r="L682" i="24"/>
  <c r="L683" i="24"/>
  <c r="L687" i="24"/>
  <c r="L676" i="24"/>
  <c r="L674" i="24"/>
  <c r="L681" i="24"/>
  <c r="L716" i="24"/>
  <c r="L701" i="24"/>
  <c r="L698" i="24"/>
  <c r="L679" i="24"/>
  <c r="L706" i="24"/>
  <c r="L713" i="24"/>
  <c r="L689" i="24"/>
  <c r="L684" i="24"/>
  <c r="L668" i="24"/>
  <c r="L704" i="24"/>
  <c r="L678" i="24"/>
  <c r="L700" i="24"/>
  <c r="L685" i="24"/>
  <c r="L670" i="24"/>
  <c r="L675" i="24"/>
  <c r="L699" i="24"/>
  <c r="L703" i="24"/>
  <c r="L672" i="24"/>
  <c r="L673" i="24"/>
  <c r="L697" i="24"/>
  <c r="L688" i="24"/>
  <c r="L696" i="24"/>
  <c r="L694" i="24"/>
  <c r="L705" i="24"/>
  <c r="L692" i="24"/>
  <c r="L686" i="24"/>
  <c r="L669" i="24"/>
  <c r="J715" i="24"/>
  <c r="L715" i="24" l="1"/>
  <c r="K703" i="24"/>
  <c r="M703" i="24" s="1"/>
  <c r="C183" i="34" s="1"/>
  <c r="K686" i="24"/>
  <c r="M686" i="24" s="1"/>
  <c r="G87" i="34" s="1"/>
  <c r="K708" i="24"/>
  <c r="M708" i="24" s="1"/>
  <c r="H183" i="34" s="1"/>
  <c r="K673" i="24"/>
  <c r="M673" i="24" s="1"/>
  <c r="H23" i="34" s="1"/>
  <c r="K670" i="24"/>
  <c r="M670" i="24" s="1"/>
  <c r="E23" i="34" s="1"/>
  <c r="K672" i="24"/>
  <c r="M672" i="24" s="1"/>
  <c r="G23" i="34" s="1"/>
  <c r="K687" i="24"/>
  <c r="M687" i="24" s="1"/>
  <c r="H87" i="34" s="1"/>
  <c r="K689" i="24"/>
  <c r="M689" i="24" s="1"/>
  <c r="C119" i="34" s="1"/>
  <c r="K681" i="24"/>
  <c r="M681" i="24" s="1"/>
  <c r="I55" i="34" s="1"/>
  <c r="K705" i="24"/>
  <c r="M705" i="24" s="1"/>
  <c r="E183" i="34" s="1"/>
  <c r="K694" i="24"/>
  <c r="M694" i="24" s="1"/>
  <c r="H119" i="34" s="1"/>
  <c r="K677" i="24"/>
  <c r="M677" i="24" s="1"/>
  <c r="K697" i="24"/>
  <c r="M697" i="24" s="1"/>
  <c r="D151" i="34" s="1"/>
  <c r="K692" i="24"/>
  <c r="M692" i="24" s="1"/>
  <c r="K707" i="24"/>
  <c r="M707" i="24" s="1"/>
  <c r="G183" i="34" s="1"/>
  <c r="K702" i="24"/>
  <c r="M702" i="24" s="1"/>
  <c r="I151" i="34" s="1"/>
  <c r="K679" i="24"/>
  <c r="M679" i="24" s="1"/>
  <c r="K678" i="24"/>
  <c r="M678" i="24" s="1"/>
  <c r="K683" i="24"/>
  <c r="M683" i="24" s="1"/>
  <c r="D87" i="34" s="1"/>
  <c r="K713" i="24"/>
  <c r="M713" i="24" s="1"/>
  <c r="F215" i="34" s="1"/>
  <c r="K693" i="24"/>
  <c r="M693" i="24" s="1"/>
  <c r="K668" i="24"/>
  <c r="K712" i="24"/>
  <c r="M712" i="24" s="1"/>
  <c r="E215" i="34" s="1"/>
  <c r="K685" i="24"/>
  <c r="M685" i="24" s="1"/>
  <c r="F87" i="34" s="1"/>
  <c r="K709" i="24"/>
  <c r="M709" i="24" s="1"/>
  <c r="I183" i="34" s="1"/>
  <c r="K698" i="24"/>
  <c r="M698" i="24" s="1"/>
  <c r="E151" i="34" s="1"/>
  <c r="K704" i="24"/>
  <c r="M704" i="24" s="1"/>
  <c r="D183" i="34" s="1"/>
  <c r="K676" i="24"/>
  <c r="M676" i="24" s="1"/>
  <c r="D55" i="34" s="1"/>
  <c r="K675" i="24"/>
  <c r="M675" i="24" s="1"/>
  <c r="C55" i="34" s="1"/>
  <c r="K701" i="24"/>
  <c r="M701" i="24" s="1"/>
  <c r="H151" i="34" s="1"/>
  <c r="K688" i="24"/>
  <c r="M688" i="24" s="1"/>
  <c r="I87" i="34" s="1"/>
  <c r="K691" i="24"/>
  <c r="M691" i="24" s="1"/>
  <c r="K700" i="24"/>
  <c r="M700" i="24" s="1"/>
  <c r="G151" i="34" s="1"/>
  <c r="K669" i="24"/>
  <c r="M669" i="24" s="1"/>
  <c r="D23" i="34" s="1"/>
  <c r="K680" i="24"/>
  <c r="M680" i="24" s="1"/>
  <c r="H55" i="34" s="1"/>
  <c r="K710" i="24"/>
  <c r="M710" i="24" s="1"/>
  <c r="C215" i="34" s="1"/>
  <c r="K716" i="24"/>
  <c r="K711" i="24"/>
  <c r="M711" i="24" s="1"/>
  <c r="D215" i="34" s="1"/>
  <c r="K706" i="24"/>
  <c r="M706" i="24" s="1"/>
  <c r="F183" i="34" s="1"/>
  <c r="K674" i="24"/>
  <c r="M674" i="24" s="1"/>
  <c r="I23" i="34" s="1"/>
  <c r="K695" i="24"/>
  <c r="M695" i="24" s="1"/>
  <c r="I119" i="34" s="1"/>
  <c r="K682" i="24"/>
  <c r="M682" i="24" s="1"/>
  <c r="C87" i="34" s="1"/>
  <c r="K699" i="24"/>
  <c r="M699" i="24" s="1"/>
  <c r="F151" i="34" s="1"/>
  <c r="K671" i="24"/>
  <c r="M671" i="24" s="1"/>
  <c r="F23" i="34" s="1"/>
  <c r="K690" i="24"/>
  <c r="M690" i="24" s="1"/>
  <c r="D119" i="34" s="1"/>
  <c r="K684" i="24"/>
  <c r="M684" i="24" s="1"/>
  <c r="E87" i="34" s="1"/>
  <c r="K696" i="24"/>
  <c r="M696" i="24" s="1"/>
  <c r="C151" i="34" s="1"/>
  <c r="K715" i="24" l="1"/>
  <c r="M668" i="24"/>
  <c r="C23" i="34" s="1"/>
  <c r="F55" i="34"/>
  <c r="F119" i="34"/>
  <c r="E119" i="34"/>
  <c r="E55" i="34"/>
  <c r="G55" i="34"/>
  <c r="G119" i="34"/>
  <c r="M715" i="24" l="1"/>
</calcChain>
</file>

<file path=xl/sharedStrings.xml><?xml version="1.0" encoding="utf-8"?>
<sst xmlns="http://schemas.openxmlformats.org/spreadsheetml/2006/main" count="4911" uniqueCount="1391">
  <si>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</si>
  <si>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</si>
  <si>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</si>
  <si>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</si>
  <si>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</si>
  <si>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</si>
  <si>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</si>
  <si>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</si>
  <si>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</si>
  <si>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</si>
  <si>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</si>
  <si>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</si>
  <si>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</si>
  <si>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</si>
  <si>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</si>
  <si>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</si>
  <si>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</si>
  <si>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</si>
  <si>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</si>
  <si>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</si>
  <si>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</si>
  <si>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</si>
  <si>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</si>
  <si>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</si>
  <si>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</si>
  <si>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</si>
  <si>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</si>
  <si>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</si>
  <si>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</si>
  <si>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</si>
  <si>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</si>
  <si>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</si>
  <si>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</si>
  <si>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</si>
  <si>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</si>
  <si>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</si>
  <si>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</si>
  <si>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</si>
  <si>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</si>
  <si>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</si>
  <si>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</si>
  <si>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</si>
  <si>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</si>
  <si>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</si>
  <si>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</si>
  <si>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</si>
  <si>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</si>
  <si>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</si>
  <si>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</si>
  <si>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</si>
  <si>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</si>
  <si>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</si>
  <si>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</si>
  <si>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</si>
  <si>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</si>
  <si>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</si>
  <si>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</si>
  <si>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</si>
  <si>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</si>
  <si>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</si>
  <si>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</si>
  <si>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</si>
  <si>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</si>
  <si>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</si>
  <si>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</si>
  <si>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</si>
  <si>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</si>
  <si>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</si>
  <si>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</si>
  <si>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</si>
  <si>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</si>
  <si>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</si>
  <si>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</si>
  <si>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</si>
  <si>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</si>
  <si>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</si>
  <si>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</si>
  <si>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</si>
  <si>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</si>
  <si>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</si>
  <si>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</si>
  <si>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</si>
  <si>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</si>
  <si>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</si>
  <si>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</si>
  <si>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</si>
  <si>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</si>
  <si>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</si>
  <si>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</si>
  <si>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</si>
  <si>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</si>
  <si>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</si>
  <si>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</si>
  <si>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</si>
  <si>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</si>
  <si>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</si>
  <si>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</si>
  <si>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</si>
  <si>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</si>
  <si>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</si>
  <si>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</si>
  <si>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</si>
  <si>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</si>
  <si>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</si>
  <si>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</si>
  <si>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</si>
  <si>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</si>
  <si>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</si>
  <si>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</si>
  <si>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</si>
  <si>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</si>
  <si>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</si>
  <si>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</si>
  <si>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</si>
  <si>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</si>
  <si>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</si>
  <si>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</si>
  <si>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</si>
  <si>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</si>
  <si>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</si>
  <si>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</si>
  <si>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</si>
  <si>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</si>
  <si>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</si>
  <si>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</si>
  <si>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</si>
  <si>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</si>
  <si>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</si>
  <si>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</si>
  <si>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</si>
  <si>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</si>
  <si>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</si>
  <si>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</si>
  <si>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</si>
  <si>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</si>
  <si>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</si>
  <si>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</si>
  <si>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</si>
  <si>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</si>
  <si>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</si>
  <si>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</si>
  <si>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</si>
  <si>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</si>
  <si>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</si>
  <si>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</si>
  <si>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</si>
  <si>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</si>
  <si>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</si>
  <si>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</si>
  <si>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</si>
  <si>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</si>
  <si>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</si>
  <si>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</si>
  <si>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</si>
  <si>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</si>
  <si>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</si>
  <si>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</si>
  <si>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</si>
  <si>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</si>
  <si>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</si>
  <si>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</si>
  <si>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</si>
  <si>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</si>
  <si>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</si>
  <si>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</si>
  <si>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</si>
  <si>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</si>
  <si>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</si>
  <si>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</si>
  <si>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</si>
  <si>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</si>
  <si>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</si>
  <si>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</si>
  <si>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</si>
  <si>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</si>
  <si>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</si>
  <si>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</si>
  <si>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</si>
  <si>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</si>
  <si>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</si>
  <si>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</si>
  <si>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</si>
  <si>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</si>
  <si>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</si>
  <si>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</si>
  <si>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</si>
  <si>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</si>
  <si>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</si>
  <si>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</si>
  <si>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</si>
  <si>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</si>
  <si>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</si>
  <si>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</si>
  <si>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</si>
  <si>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</si>
  <si>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</si>
  <si>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</si>
  <si>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</si>
  <si>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</si>
  <si>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</si>
  <si>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</si>
  <si>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</si>
  <si>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</si>
  <si>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</si>
  <si>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</si>
  <si>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</si>
  <si>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</si>
  <si>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</si>
  <si>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</si>
  <si>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</si>
  <si>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</si>
  <si>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</si>
  <si>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</si>
  <si>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</si>
  <si>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</si>
  <si>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</si>
  <si>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</si>
  <si>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</si>
  <si>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</si>
  <si>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</si>
  <si>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</si>
  <si>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</si>
  <si>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</si>
  <si>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</si>
  <si>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</si>
  <si>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</si>
  <si>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</si>
  <si>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</si>
  <si>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</si>
  <si>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</si>
  <si>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</si>
  <si>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</si>
  <si>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</si>
  <si>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</si>
  <si>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</si>
  <si>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</si>
  <si>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</si>
  <si>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</si>
  <si>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</si>
  <si>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</si>
  <si>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</si>
  <si>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</si>
  <si>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</si>
  <si>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</si>
  <si>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</si>
  <si>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</si>
  <si>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</si>
  <si>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</si>
  <si>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</si>
  <si>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</si>
  <si>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</si>
  <si>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</si>
  <si>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</si>
  <si>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</si>
  <si>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</si>
  <si>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</si>
  <si>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</si>
  <si>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</si>
  <si>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</si>
  <si>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</si>
  <si>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</si>
  <si>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</si>
  <si>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</si>
  <si>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</si>
  <si>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</si>
  <si>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</si>
  <si>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</si>
  <si>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</si>
  <si>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</si>
  <si>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</si>
  <si>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</si>
  <si>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</si>
  <si>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</si>
  <si>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</si>
  <si>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</si>
  <si>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</si>
  <si>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</si>
  <si>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</si>
  <si>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</si>
  <si>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</si>
  <si>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</si>
  <si>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</si>
  <si>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</si>
  <si>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</si>
  <si>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</si>
  <si>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</si>
  <si>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</si>
  <si>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</si>
  <si>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</si>
  <si>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</si>
  <si>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</si>
  <si>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</si>
  <si>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</si>
  <si>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</si>
  <si>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</si>
  <si>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09/30/2023</t>
  </si>
  <si>
    <t>License Number</t>
  </si>
  <si>
    <t>:</t>
  </si>
  <si>
    <t>014</t>
  </si>
  <si>
    <t>Hospital Name</t>
  </si>
  <si>
    <t>Seattle Children's Hospital</t>
  </si>
  <si>
    <t>Mailing Address</t>
  </si>
  <si>
    <t>PO Box 5371</t>
  </si>
  <si>
    <t>City</t>
  </si>
  <si>
    <t>Seattle</t>
  </si>
  <si>
    <t>State</t>
  </si>
  <si>
    <t>WA</t>
  </si>
  <si>
    <t>Zip</t>
  </si>
  <si>
    <t>98145-5005</t>
  </si>
  <si>
    <t>County</t>
  </si>
  <si>
    <t>King</t>
  </si>
  <si>
    <t>Chief Executive Officer</t>
  </si>
  <si>
    <t>Dr. Jeff Sperring</t>
  </si>
  <si>
    <t>Chief Financial Officer</t>
  </si>
  <si>
    <t>Suzanne Beitel</t>
  </si>
  <si>
    <t>Chair of Governing Board</t>
  </si>
  <si>
    <t>Joel French</t>
  </si>
  <si>
    <t>Telephone Number</t>
  </si>
  <si>
    <t>206-987-2000</t>
  </si>
  <si>
    <t>Facsimile Number</t>
  </si>
  <si>
    <t>Name of Submitter</t>
  </si>
  <si>
    <t xml:space="preserve">Jenette Turman </t>
  </si>
  <si>
    <t>Email of Submitter</t>
  </si>
  <si>
    <t>jenette.turman@seattlechildrens.org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</si>
  <si>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</si>
  <si>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</si>
  <si>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</si>
  <si>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</si>
  <si>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</si>
  <si>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</si>
  <si>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</si>
  <si>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</si>
  <si>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</si>
  <si>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</si>
  <si>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</si>
  <si>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</si>
  <si>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</si>
  <si>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</si>
  <si>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</si>
  <si>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</si>
  <si>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</si>
  <si>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</si>
  <si>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</si>
  <si>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</si>
  <si>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</si>
  <si>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</si>
  <si>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</si>
  <si>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</si>
  <si>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</si>
  <si>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</si>
  <si>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</si>
  <si>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</si>
  <si>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</si>
  <si>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</si>
  <si>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</si>
  <si>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</si>
  <si>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</si>
  <si>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</si>
  <si>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</si>
  <si>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</si>
  <si>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</si>
  <si>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</si>
  <si>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</si>
  <si>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</si>
  <si>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</si>
  <si>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</si>
  <si>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</si>
  <si>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</si>
  <si>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</si>
  <si>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</si>
  <si>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</si>
  <si>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</si>
  <si>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</si>
  <si>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</si>
  <si>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</si>
  <si>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</si>
  <si>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</si>
  <si>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</si>
  <si>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</si>
  <si>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</si>
  <si>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</si>
  <si>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</si>
  <si>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</si>
  <si>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</si>
  <si>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</si>
  <si>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</si>
  <si>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</si>
  <si>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</si>
  <si>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</si>
  <si>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</si>
  <si>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</si>
  <si>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</si>
  <si>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</si>
  <si>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</si>
  <si>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</si>
  <si>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</si>
  <si>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</si>
  <si>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</si>
  <si>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</si>
  <si>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</si>
  <si>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</si>
  <si>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</si>
  <si>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</si>
  <si>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</si>
  <si>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</si>
  <si>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</si>
  <si>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</si>
  <si>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</si>
  <si>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</si>
  <si>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</si>
  <si>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</si>
  <si>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</si>
  <si>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</si>
  <si>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</si>
  <si>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</si>
  <si>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</si>
  <si>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</si>
  <si>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</si>
  <si>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</si>
  <si>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</si>
  <si>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</si>
  <si>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</si>
  <si>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</si>
  <si>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update Joo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</si>
  <si>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</si>
  <si>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</si>
  <si>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</si>
  <si>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</si>
  <si>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</si>
  <si>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</si>
  <si>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</si>
  <si>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</si>
  <si>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</si>
  <si>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</si>
  <si>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</si>
  <si>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</si>
  <si>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</si>
  <si>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</si>
  <si>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</si>
  <si>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</si>
  <si>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</si>
  <si>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</si>
  <si>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</si>
  <si>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</si>
  <si>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</si>
  <si>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</si>
  <si>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</si>
  <si>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</si>
  <si>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</si>
  <si>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</si>
  <si>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</si>
  <si>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</si>
  <si>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</si>
  <si>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</si>
  <si>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</si>
  <si>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</si>
  <si>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</si>
  <si>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</si>
  <si>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</si>
  <si>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</si>
  <si>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</si>
  <si>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</si>
  <si>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</si>
  <si>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</si>
  <si>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 xml:space="preserve"> 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</si>
  <si>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</si>
  <si>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</si>
  <si>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</si>
  <si>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</si>
  <si>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</si>
  <si>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</si>
  <si>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</si>
  <si>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</si>
  <si>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</si>
  <si>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</si>
  <si>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</si>
  <si>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</si>
  <si>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</si>
  <si>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</si>
  <si>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</si>
  <si>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</si>
  <si>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</si>
  <si>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</si>
  <si>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</si>
  <si>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</si>
  <si>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</si>
  <si>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</si>
  <si>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</si>
  <si>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</si>
  <si>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</si>
  <si>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</si>
  <si>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</si>
  <si>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</si>
  <si>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</si>
  <si>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</si>
  <si>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</si>
  <si>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</si>
  <si>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</si>
  <si>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</si>
  <si>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</si>
  <si>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</si>
  <si>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</si>
  <si>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</si>
  <si>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</si>
  <si>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</si>
  <si>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</si>
  <si>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</si>
  <si>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</si>
  <si>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</si>
  <si>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</si>
  <si>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</si>
  <si>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</si>
  <si>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</si>
  <si>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</si>
  <si>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</si>
  <si>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</si>
  <si>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</si>
  <si>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</si>
  <si>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</si>
  <si>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</si>
  <si>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</si>
  <si>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</si>
  <si>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</si>
  <si>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</si>
  <si>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</si>
  <si>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</si>
  <si>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</si>
  <si>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</si>
  <si>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</si>
  <si>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</si>
  <si>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</si>
  <si>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</si>
  <si>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</si>
  <si>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</si>
  <si>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</si>
  <si>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</si>
  <si>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</si>
  <si>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</si>
  <si>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</si>
  <si>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</si>
  <si>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</si>
  <si>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</si>
  <si>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</si>
  <si>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</si>
  <si>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</si>
  <si>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</si>
  <si>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</si>
  <si>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</si>
  <si>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</si>
  <si>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</si>
  <si>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</si>
  <si>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</si>
  <si>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</si>
  <si>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</si>
  <si>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</si>
  <si>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</si>
  <si>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</si>
  <si>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</si>
  <si>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</si>
  <si>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</si>
  <si>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</si>
  <si>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</si>
  <si>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</si>
  <si>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</si>
  <si>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</si>
  <si>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</si>
  <si>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</si>
  <si>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</si>
  <si>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</si>
  <si>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</si>
  <si>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</si>
  <si>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</si>
  <si>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</si>
  <si>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</si>
  <si>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</si>
  <si>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</si>
  <si>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</si>
  <si>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</si>
  <si>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</si>
  <si>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</si>
  <si>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</si>
  <si>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</si>
  <si>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</si>
  <si>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</si>
  <si>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</si>
  <si>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</si>
  <si>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</si>
  <si>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</si>
  <si>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</si>
  <si>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</si>
  <si>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</si>
  <si>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</si>
  <si>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</si>
  <si>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</si>
  <si>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</si>
  <si>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</si>
  <si>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</si>
  <si>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</si>
  <si>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</si>
  <si>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</si>
  <si>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</si>
  <si>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</si>
  <si>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</si>
  <si>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</si>
  <si>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</si>
  <si>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</si>
  <si>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</si>
  <si>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</si>
  <si>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</si>
  <si>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</si>
  <si>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</si>
  <si>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</si>
  <si>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</si>
  <si>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</si>
  <si>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</si>
  <si>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</si>
  <si>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</si>
  <si>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</si>
  <si>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</si>
  <si>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</si>
  <si>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</si>
  <si>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</si>
  <si>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</si>
  <si>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</si>
  <si>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</si>
  <si>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</si>
  <si>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</si>
  <si>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</si>
  <si>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</si>
  <si>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</si>
  <si>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</si>
  <si>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</si>
  <si>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</si>
  <si>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</si>
  <si>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</si>
  <si>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</si>
  <si>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</si>
  <si>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</si>
  <si>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</si>
  <si>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</si>
  <si>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</si>
  <si>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</si>
  <si>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</si>
  <si>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</si>
  <si>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</si>
  <si>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</si>
  <si>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</si>
  <si>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</si>
  <si>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</si>
  <si>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</si>
  <si>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</si>
  <si>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</si>
  <si>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</si>
  <si>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</si>
  <si>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</si>
  <si>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</si>
  <si>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</si>
  <si>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</si>
  <si>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</si>
  <si>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</si>
  <si>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</si>
  <si>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</si>
  <si>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</si>
  <si>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</si>
  <si>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</si>
  <si>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</si>
  <si>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</si>
  <si>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</si>
  <si>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</si>
  <si>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</si>
  <si>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</si>
  <si>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</si>
  <si>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</si>
  <si>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</si>
  <si>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</si>
  <si>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</si>
  <si>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</si>
  <si>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</si>
  <si>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</si>
  <si>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</si>
  <si>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</si>
  <si>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</si>
  <si>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</si>
  <si>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</si>
  <si>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</si>
  <si>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</si>
  <si>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</si>
  <si>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</si>
  <si>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</si>
  <si>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</si>
  <si>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</si>
  <si>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</si>
  <si>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</si>
  <si>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</si>
  <si>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</si>
  <si>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</si>
  <si>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</si>
  <si>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</si>
  <si>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</si>
  <si>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</si>
  <si>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</si>
  <si>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</si>
  <si>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</si>
  <si>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</si>
  <si>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</si>
  <si>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</si>
  <si>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</si>
  <si>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</si>
  <si>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</si>
  <si>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</si>
  <si>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</si>
  <si>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</si>
  <si>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</si>
  <si>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</si>
  <si>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</si>
  <si>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</si>
  <si>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</si>
  <si>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</si>
  <si>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 Jeffrey Sperring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</si>
  <si>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</si>
  <si>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</si>
  <si>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</si>
  <si>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</si>
  <si>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</si>
  <si>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</si>
  <si>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</si>
  <si>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</si>
  <si>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</si>
  <si>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</si>
  <si>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</si>
  <si>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</si>
  <si>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</si>
  <si>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</si>
  <si>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</si>
  <si>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</si>
  <si>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</si>
  <si>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</si>
  <si>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</si>
  <si>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</si>
  <si>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</si>
  <si>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</si>
  <si>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</si>
  <si>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</si>
  <si>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</si>
  <si>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</si>
  <si>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</si>
  <si>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</si>
  <si>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</si>
  <si>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</si>
  <si>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</si>
  <si>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</si>
  <si>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</si>
  <si>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</si>
  <si>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</si>
  <si>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</si>
  <si>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</si>
  <si>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</si>
  <si>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</si>
  <si>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</si>
  <si>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</si>
  <si>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</si>
  <si>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</si>
  <si>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</si>
  <si>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</si>
  <si>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</si>
  <si>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</si>
  <si>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</si>
  <si>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</si>
  <si>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</si>
  <si>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</si>
  <si>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</si>
  <si>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</si>
  <si>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</si>
  <si>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</si>
  <si>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</si>
  <si>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</si>
  <si>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</si>
  <si>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</si>
  <si>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</si>
  <si>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</si>
  <si>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</si>
  <si>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</si>
  <si>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</si>
  <si>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</si>
  <si>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</si>
  <si>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</si>
  <si>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</si>
  <si>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</si>
  <si>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</si>
  <si>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</si>
  <si>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</si>
  <si>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</si>
  <si>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</si>
  <si>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</si>
  <si>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</si>
  <si>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</si>
  <si>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</si>
  <si>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</si>
  <si>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</si>
  <si>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</si>
  <si>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</si>
  <si>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</si>
  <si>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</si>
  <si>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</si>
  <si>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</si>
  <si>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</si>
  <si>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</si>
  <si>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</si>
  <si>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</si>
  <si>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</si>
  <si>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</si>
  <si>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</si>
  <si>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</si>
  <si>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</si>
  <si>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</si>
  <si>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</si>
  <si>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</si>
  <si>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</si>
  <si>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</si>
  <si>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</si>
  <si>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</si>
  <si>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</si>
  <si>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</si>
  <si>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</si>
  <si>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</si>
  <si>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</si>
  <si>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</si>
  <si>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</si>
  <si>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</si>
  <si>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</si>
  <si>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</si>
  <si>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</si>
  <si>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</si>
  <si>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</si>
  <si>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</si>
  <si>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</si>
  <si>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</si>
  <si>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</si>
  <si>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</si>
  <si>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</si>
  <si>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</si>
  <si>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</si>
  <si>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</si>
  <si>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</si>
  <si>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</si>
  <si>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</si>
  <si>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</si>
  <si>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</si>
  <si>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</si>
  <si>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</si>
  <si>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</si>
  <si>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</si>
  <si>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</si>
  <si>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</si>
  <si>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</si>
  <si>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</si>
  <si>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</si>
  <si>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</si>
  <si>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</si>
  <si>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</si>
  <si>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</si>
  <si>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</si>
  <si>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</si>
  <si>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</si>
  <si>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</si>
  <si>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</si>
  <si>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</si>
  <si>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</si>
  <si>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</si>
  <si>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</si>
  <si>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</si>
  <si>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</si>
  <si>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</si>
  <si>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</si>
  <si>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</si>
  <si>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</si>
  <si>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</si>
  <si>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</si>
  <si>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</si>
  <si>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</si>
  <si>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</si>
  <si>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</si>
  <si>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</si>
  <si>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</si>
  <si>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</si>
  <si>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</si>
  <si>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</si>
  <si>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</si>
  <si>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</si>
  <si>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</si>
  <si>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</si>
  <si>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</si>
  <si>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</si>
  <si>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</si>
  <si>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</si>
  <si>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</si>
  <si>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</si>
  <si>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</si>
  <si>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</si>
  <si>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</si>
  <si>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</si>
  <si>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</si>
  <si>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</si>
  <si>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</si>
  <si>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</si>
  <si>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</si>
  <si>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</si>
  <si>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</si>
  <si>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</si>
  <si>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</si>
  <si>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</si>
  <si>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</si>
  <si>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</si>
  <si>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</si>
  <si>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</si>
  <si>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</si>
  <si>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</si>
  <si>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</si>
  <si>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</si>
  <si>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</si>
  <si>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</si>
  <si>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</si>
  <si>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</si>
  <si>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</si>
  <si>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</si>
  <si>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</si>
  <si>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</si>
  <si>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</si>
  <si>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</si>
  <si>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</si>
  <si>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</si>
  <si>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</si>
  <si>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</si>
  <si>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</si>
  <si>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</si>
  <si>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</si>
  <si>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</si>
  <si>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</si>
  <si>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</si>
  <si>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</si>
  <si>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</si>
  <si>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</si>
  <si>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</si>
  <si>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</si>
  <si>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</si>
  <si>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</si>
  <si>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</si>
  <si>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</si>
  <si>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</si>
  <si>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</si>
  <si>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</si>
  <si>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</si>
  <si>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</si>
  <si>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</si>
  <si>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</si>
  <si>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</si>
  <si>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</si>
  <si>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</si>
  <si>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</si>
  <si>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</si>
  <si>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</si>
  <si>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</si>
  <si>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</si>
  <si>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</si>
  <si>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</si>
  <si>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</si>
  <si>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</si>
  <si>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</si>
  <si>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</si>
  <si>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</si>
  <si>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</si>
  <si>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</si>
  <si>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</si>
  <si>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</si>
  <si>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</si>
  <si>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</si>
  <si>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</si>
  <si>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</si>
  <si>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</si>
  <si>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</si>
  <si>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</si>
  <si>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</si>
  <si>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</si>
  <si>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</si>
  <si>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</si>
  <si>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</si>
  <si>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</si>
  <si>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</si>
  <si>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</si>
  <si>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</si>
  <si>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</si>
  <si>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</si>
  <si>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</si>
  <si>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</si>
  <si>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</si>
  <si>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</si>
  <si>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</si>
  <si>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</si>
  <si>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</si>
  <si>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</si>
  <si>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</si>
  <si>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</si>
  <si>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</si>
  <si>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</si>
  <si>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</si>
  <si>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</si>
  <si>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</si>
  <si>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</si>
  <si>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</si>
  <si>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</si>
  <si>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</si>
  <si>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</si>
  <si>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</si>
  <si>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</si>
  <si>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</si>
  <si>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</si>
  <si>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</si>
  <si>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</si>
  <si>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</si>
  <si>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</si>
  <si>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</si>
  <si>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</si>
  <si>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</si>
  <si>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</si>
  <si>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</si>
  <si>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</si>
  <si>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</si>
  <si>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</si>
  <si>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</si>
  <si>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</si>
  <si>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</si>
  <si>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</si>
  <si>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</si>
  <si>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</si>
  <si>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</si>
  <si>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</si>
  <si>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</si>
  <si>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</si>
  <si>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</si>
  <si>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</si>
  <si>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</si>
  <si>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</si>
  <si>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</si>
  <si>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</si>
  <si>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</si>
  <si>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</si>
  <si>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</si>
  <si>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</si>
  <si>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</si>
  <si>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</si>
  <si>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</si>
  <si>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</si>
  <si>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</si>
  <si>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</si>
  <si>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</si>
  <si>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</si>
  <si>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</si>
  <si>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</si>
  <si>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</si>
  <si>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</si>
  <si>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</si>
  <si>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</si>
  <si>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</si>
  <si>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</si>
  <si>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</si>
  <si>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</si>
  <si>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</si>
  <si>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</si>
  <si>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</si>
  <si>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</si>
  <si>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</si>
  <si>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</si>
  <si>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</si>
  <si>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</si>
  <si>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</si>
  <si>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</si>
  <si>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</si>
  <si>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</si>
  <si>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</si>
  <si>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</si>
  <si>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</si>
  <si>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</si>
  <si>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</si>
  <si>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</si>
  <si>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</si>
  <si>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</si>
  <si>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</si>
  <si>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</si>
  <si>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</si>
  <si>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</si>
  <si>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</si>
  <si>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</si>
  <si>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</si>
  <si>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</si>
  <si>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</si>
  <si>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</si>
  <si>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</si>
  <si>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</si>
  <si>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</si>
  <si>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</si>
  <si>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</si>
  <si>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</si>
  <si>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</si>
  <si>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</si>
  <si>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</si>
  <si>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</si>
  <si>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</si>
  <si>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</si>
  <si>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</si>
  <si>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</si>
  <si>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</si>
  <si>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</si>
  <si>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</si>
  <si>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</si>
  <si>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</si>
  <si>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</si>
  <si>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</si>
  <si>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</si>
  <si>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</si>
  <si>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</si>
  <si>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</si>
  <si>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</si>
  <si>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</si>
  <si>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</si>
  <si>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</si>
  <si>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</si>
  <si>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</si>
  <si>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</si>
  <si>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</si>
  <si>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</si>
  <si>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</si>
  <si>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</si>
  <si>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</si>
  <si>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</si>
  <si>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</si>
  <si>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</si>
  <si>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</si>
  <si>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</si>
  <si>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</si>
  <si>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</si>
  <si>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</si>
  <si>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</si>
  <si>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</si>
  <si>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</si>
  <si>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</si>
  <si>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</si>
  <si>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</si>
  <si>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</si>
  <si>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</si>
  <si>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</si>
  <si>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</si>
  <si>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</si>
  <si>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</si>
  <si>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</si>
  <si>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</si>
  <si>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</si>
  <si>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</si>
  <si>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</si>
  <si>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</si>
  <si>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</si>
  <si>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</si>
  <si>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</si>
  <si>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</si>
  <si>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</si>
  <si>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</si>
  <si>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</si>
  <si>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</si>
  <si>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</si>
  <si>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</si>
  <si>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</si>
  <si>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</si>
  <si>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</si>
  <si>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</si>
  <si>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</si>
  <si>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</si>
  <si>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</si>
  <si>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</si>
  <si>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</si>
  <si>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</si>
  <si>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</si>
  <si>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</si>
  <si>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</si>
  <si>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</si>
  <si>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</si>
  <si>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</si>
  <si>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</si>
  <si>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</si>
  <si>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</si>
  <si>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</si>
  <si>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</si>
  <si>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</si>
  <si>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</si>
  <si>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</si>
  <si>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</si>
  <si>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</si>
  <si>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</si>
  <si>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</si>
  <si>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</si>
  <si>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</si>
  <si>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</si>
  <si>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</si>
  <si>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</si>
  <si>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</si>
  <si>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</si>
  <si>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</si>
  <si>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</si>
  <si>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</si>
  <si>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</si>
  <si>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</si>
  <si>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</si>
  <si>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</si>
  <si>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</si>
  <si>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</si>
  <si>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</si>
  <si>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</si>
  <si>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</si>
  <si>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</si>
  <si>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</si>
  <si>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</si>
  <si>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</si>
  <si>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</si>
  <si>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</si>
  <si>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</si>
  <si>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</si>
  <si>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</si>
  <si>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</si>
  <si>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</si>
  <si>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</si>
  <si>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</si>
  <si>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</si>
  <si>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</si>
  <si>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</si>
  <si>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</si>
  <si>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</si>
  <si>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</si>
  <si>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</si>
  <si>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</si>
  <si>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</si>
  <si>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</si>
  <si>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</si>
  <si>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</si>
  <si>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</si>
  <si>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</si>
  <si>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</si>
  <si>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</si>
  <si>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</si>
  <si>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</si>
  <si>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</si>
  <si>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</si>
  <si>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</si>
  <si>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</si>
  <si>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</si>
  <si>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</si>
  <si>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</si>
  <si>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</si>
  <si>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YREC</t>
  </si>
  <si>
    <t>YREV</t>
  </si>
  <si>
    <t>YIRV</t>
  </si>
  <si>
    <t>SPSF</t>
  </si>
  <si>
    <t>SDMS</t>
  </si>
  <si>
    <t>SHHS</t>
  </si>
  <si>
    <t>SLDP</t>
  </si>
  <si>
    <t>SHNF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</si>
  <si>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</si>
  <si>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</si>
  <si>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</si>
  <si>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</si>
  <si>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</si>
  <si>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</si>
  <si>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</si>
  <si>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</si>
  <si>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</si>
  <si>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</si>
  <si>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</si>
  <si>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</si>
  <si>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</si>
  <si>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</si>
  <si>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</si>
  <si>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</si>
  <si>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</si>
  <si>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</si>
  <si>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</si>
  <si>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</si>
  <si>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</si>
  <si>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</si>
  <si>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</si>
  <si>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</si>
  <si>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</si>
  <si>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</si>
  <si>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</si>
  <si>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</si>
  <si>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</si>
  <si>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</si>
  <si>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</si>
  <si>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</si>
  <si>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</si>
  <si>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</si>
  <si>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</si>
  <si>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</si>
  <si>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</si>
  <si>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</si>
  <si>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</si>
  <si>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</si>
  <si>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</si>
  <si>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</si>
  <si>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</si>
  <si>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</si>
  <si>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</si>
  <si>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</si>
  <si>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</si>
  <si>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</si>
  <si>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</si>
  <si>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</si>
  <si>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</si>
  <si>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</si>
  <si>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</si>
  <si>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</si>
  <si>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</si>
  <si>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</si>
  <si>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</si>
  <si>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</si>
  <si>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</si>
  <si>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</si>
  <si>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</si>
  <si>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</si>
  <si>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</si>
  <si>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</si>
  <si>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</si>
  <si>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</si>
  <si>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</si>
  <si>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</si>
  <si>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</si>
  <si>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</si>
  <si>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</si>
  <si>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</si>
  <si>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</si>
  <si>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</si>
  <si>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</si>
  <si>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</si>
  <si>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</si>
  <si>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</si>
  <si>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</si>
  <si>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</si>
  <si>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</si>
  <si>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</si>
  <si>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</si>
  <si>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</si>
  <si>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</si>
  <si>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</si>
  <si>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</si>
  <si>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</si>
  <si>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</si>
  <si>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</si>
  <si>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</si>
  <si>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</si>
  <si>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</si>
  <si>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</si>
  <si>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YCSEFR</t>
  </si>
  <si>
    <t>YCSNORNE</t>
  </si>
  <si>
    <t>YCSEI</t>
  </si>
  <si>
    <t>YCSFIT</t>
  </si>
  <si>
    <t>09/30/2024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</si>
  <si>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</si>
  <si>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</si>
  <si>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</si>
  <si>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t xml:space="preserve">Other operating income </t>
  </si>
  <si>
    <t xml:space="preserve">Research grant and contribution </t>
  </si>
  <si>
    <t xml:space="preserve">Other releas from restrictions </t>
  </si>
  <si>
    <t xml:space="preserve">Uncompensated care </t>
  </si>
  <si>
    <t>Indemnity Payments</t>
  </si>
  <si>
    <t>Bank Fees</t>
  </si>
  <si>
    <t>Dues-Subscriptions-Memberships</t>
  </si>
  <si>
    <t>Travel</t>
  </si>
  <si>
    <t>Other Miscellaneous Expense</t>
  </si>
  <si>
    <t>Non-Patient Bad Debt</t>
  </si>
  <si>
    <t>Community Building - Contribut</t>
  </si>
  <si>
    <t>Workforce Dev &amp; Planning</t>
  </si>
  <si>
    <t>CUMG Phys-Other Miscellaneous</t>
  </si>
  <si>
    <t>Gift Cards</t>
  </si>
  <si>
    <t>IDC</t>
  </si>
  <si>
    <t>Community Event Sponsorship</t>
  </si>
  <si>
    <t>Community Benefits-Contributio</t>
  </si>
  <si>
    <t>Updated our square fottage per medicare cost report</t>
  </si>
  <si>
    <t>We had an increase in the number of transplants</t>
  </si>
  <si>
    <t>increase in volume operating expenses stayed flat</t>
  </si>
  <si>
    <t>drop in volumes</t>
  </si>
  <si>
    <t>significant drop in volume</t>
  </si>
  <si>
    <t>Date: 3/28/2025</t>
  </si>
  <si>
    <t>Date:3/28/2025</t>
  </si>
  <si>
    <t>Name/Title: Kurt Shintaffer</t>
  </si>
  <si>
    <t>E2SHB 1272 Requirements: This template has been updated to reflect E2SHB 1272 reporting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</si>
</sst>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4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37" fontId="0" fillId="0" borderId="0"/>
    <xf numFmtId="43" fontId="8" fillId="0" borderId="0"/>
    <xf numFmtId="43" fontId="33" fillId="0" borderId="0"/>
    <xf numFmtId="0" fontId="9" fillId="0" borderId="0">
      <alignment vertical="top"/>
      <protection locked="0"/>
    </xf>
    <xf numFmtId="0" fontId="11" fillId="0" borderId="0"/>
    <xf numFmtId="0" fontId="34" fillId="0" borderId="0"/>
    <xf numFmtId="0" fontId="33" fillId="0" borderId="0"/>
    <xf numFmtId="0" fontId="4" fillId="0" borderId="0"/>
    <xf numFmtId="9" fontId="8" fillId="0" borderId="0"/>
    <xf numFmtId="9" fontId="34" fillId="0" borderId="0"/>
    <xf numFmtId="0" fontId="4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44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3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1" applyFont="1" applyFill="1"/>
    <xf numFmtId="37" fontId="14" fillId="3" borderId="0" xfId="1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8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1" applyFont="1" applyFill="1"/>
    <xf numFmtId="37" fontId="19" fillId="7" borderId="0" xfId="0" applyFont="1" applyFill="1"/>
    <xf numFmtId="2" fontId="10" fillId="0" borderId="0" xfId="0" applyNumberFormat="1" applyFont="1"/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0" fontId="15" fillId="0" borderId="0" xfId="3" applyFont="1">
      <alignment vertical="top"/>
      <protection locked="0"/>
    </xf>
    <xf numFmtId="37" fontId="25" fillId="3" borderId="0" xfId="2" applyNumberFormat="1" applyFont="1" applyFill="1"/>
    <xf numFmtId="37" fontId="25" fillId="3" borderId="0" xfId="6" quotePrefix="1" applyNumberFormat="1" applyFont="1" applyFill="1" applyAlignment="1">
      <alignment horizontal="fill"/>
    </xf>
    <xf numFmtId="37" fontId="25" fillId="3" borderId="0" xfId="6" applyNumberFormat="1" applyFont="1" applyFill="1"/>
    <xf numFmtId="39" fontId="25" fillId="3" borderId="0" xfId="6" quotePrefix="1" applyNumberFormat="1" applyFont="1" applyFill="1" applyAlignment="1">
      <alignment horizontal="fill"/>
    </xf>
    <xf numFmtId="37" fontId="16" fillId="12" borderId="1" xfId="0" applyFont="1" applyFill="1" applyBorder="1" applyProtection="1">
      <protection locked="0"/>
    </xf>
    <xf numFmtId="37" fontId="16" fillId="12" borderId="1" xfId="0" quotePrefix="1" applyFont="1" applyFill="1" applyBorder="1" applyProtection="1">
      <protection locked="0"/>
    </xf>
    <xf numFmtId="37" fontId="31" fillId="12" borderId="1" xfId="0" applyFont="1" applyFill="1" applyBorder="1" applyProtection="1">
      <protection locked="0"/>
    </xf>
    <xf numFmtId="37" fontId="24" fillId="12" borderId="1" xfId="6" quotePrefix="1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24" fillId="12" borderId="1" xfId="6" applyNumberFormat="1" applyFont="1" applyFill="1" applyBorder="1" applyProtection="1">
      <protection locked="0"/>
    </xf>
    <xf numFmtId="169" fontId="24" fillId="12" borderId="1" xfId="2" quotePrefix="1" applyNumberFormat="1" applyFont="1" applyFill="1" applyBorder="1" applyProtection="1">
      <protection locked="0"/>
    </xf>
    <xf numFmtId="167" fontId="16" fillId="11" borderId="1" xfId="0" quotePrefix="1" applyNumberFormat="1" applyFont="1" applyFill="1" applyBorder="1" applyProtection="1">
      <protection locked="0"/>
    </xf>
    <xf numFmtId="38" fontId="16" fillId="11" borderId="8" xfId="0" applyNumberFormat="1" applyFont="1" applyFill="1" applyBorder="1" applyProtection="1">
      <protection locked="0"/>
    </xf>
    <xf numFmtId="38" fontId="16" fillId="11" borderId="2" xfId="0" applyNumberFormat="1" applyFont="1" applyFill="1" applyBorder="1" applyProtection="1">
      <protection locked="0"/>
    </xf>
    <xf numFmtId="38" fontId="16" fillId="11" borderId="1" xfId="0" quotePrefix="1" applyNumberFormat="1" applyFont="1" applyFill="1" applyBorder="1" applyAlignment="1" applyProtection="1">
      <alignment horizontal="left"/>
      <protection locked="0"/>
    </xf>
    <xf numFmtId="38" fontId="16" fillId="11" borderId="14" xfId="0" applyNumberFormat="1" applyFont="1" applyFill="1" applyBorder="1" applyProtection="1">
      <protection locked="0"/>
    </xf>
    <xf numFmtId="166" fontId="16" fillId="11" borderId="14" xfId="0" quotePrefix="1" applyNumberFormat="1" applyFont="1" applyFill="1" applyBorder="1" applyAlignment="1" applyProtection="1">
      <alignment horizontal="left"/>
      <protection locked="0"/>
    </xf>
    <xf numFmtId="49" fontId="16" fillId="11" borderId="1" xfId="0" quotePrefix="1" applyNumberFormat="1" applyFont="1" applyFill="1" applyBorder="1" applyProtection="1">
      <protection locked="0"/>
    </xf>
    <xf numFmtId="168" fontId="16" fillId="11" borderId="1" xfId="0" quotePrefix="1" applyNumberFormat="1" applyFont="1" applyFill="1" applyBorder="1" applyAlignment="1" applyProtection="1">
      <alignment horizontal="left"/>
      <protection locked="0"/>
    </xf>
    <xf numFmtId="0" fontId="9" fillId="12" borderId="0" xfId="3" applyFill="1">
      <alignment vertical="top"/>
      <protection locked="0"/>
    </xf>
    <xf numFmtId="38" fontId="16" fillId="11" borderId="1" xfId="0" applyNumberFormat="1" applyFont="1" applyFill="1" applyBorder="1" applyProtection="1">
      <protection locked="0"/>
    </xf>
    <xf numFmtId="38" fontId="16" fillId="11" borderId="1" xfId="0" applyNumberFormat="1" applyFont="1" applyFill="1" applyBorder="1" applyAlignment="1" applyProtection="1">
      <alignment horizontal="right"/>
      <protection locked="0"/>
    </xf>
    <xf numFmtId="37" fontId="16" fillId="11" borderId="1" xfId="0" applyFont="1" applyFill="1" applyBorder="1" applyProtection="1">
      <protection locked="0"/>
    </xf>
    <xf numFmtId="37" fontId="16" fillId="11" borderId="0" xfId="0" applyFont="1" applyFill="1" applyAlignment="1">
      <alignment horizontal="centerContinuous"/>
    </xf>
    <xf numFmtId="38" fontId="16" fillId="11" borderId="1" xfId="0" applyNumberFormat="1" applyFont="1" applyFill="1" applyBorder="1" applyAlignment="1" applyProtection="1">
      <alignment horizontal="center"/>
      <protection locked="0"/>
    </xf>
    <xf numFmtId="38" fontId="16" fillId="12" borderId="1" xfId="0" applyNumberFormat="1" applyFont="1" applyFill="1" applyBorder="1" applyProtection="1">
      <protection locked="0"/>
    </xf>
    <xf numFmtId="37" fontId="24" fillId="0" borderId="1" xfId="5" applyNumberFormat="1" applyFont="1" applyBorder="1" applyProtection="1">
      <protection locked="0"/>
    </xf>
    <xf numFmtId="39" fontId="24" fillId="0" borderId="1" xfId="9" applyNumberFormat="1" applyFont="1" applyBorder="1" applyProtection="1">
      <protection locked="0"/>
    </xf>
    <xf numFmtId="37" fontId="24" fillId="4" borderId="1" xfId="5" quotePrefix="1" applyNumberFormat="1" applyFont="1" applyFill="1" applyBorder="1" applyProtection="1">
      <protection locked="0"/>
    </xf>
    <xf numFmtId="39" fontId="24" fillId="0" borderId="1" xfId="5" quotePrefix="1" applyNumberFormat="1" applyFont="1" applyBorder="1" applyProtection="1">
      <protection locked="0"/>
    </xf>
    <xf numFmtId="37" fontId="24" fillId="0" borderId="1" xfId="7" applyNumberFormat="1" applyFont="1" applyBorder="1" applyProtection="1">
      <protection locked="0"/>
    </xf>
    <xf numFmtId="37" fontId="14" fillId="0" borderId="0" xfId="0" applyFont="1" applyProtection="1">
      <protection locked="0"/>
    </xf>
    <xf numFmtId="37" fontId="14" fillId="11" borderId="0" xfId="0" applyFont="1" applyFill="1" applyProtection="1">
      <protection locked="0"/>
    </xf>
    <xf numFmtId="37" fontId="35" fillId="0" borderId="0" xfId="0" applyFont="1"/>
    <xf numFmtId="37" fontId="36" fillId="0" borderId="0" xfId="0" applyFont="1"/>
    <xf numFmtId="37" fontId="37" fillId="0" borderId="0" xfId="0" applyFont="1"/>
    <xf numFmtId="37" fontId="38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14" fillId="12" borderId="0" xfId="0" applyFont="1" applyFill="1"/>
    <xf numFmtId="37" fontId="24" fillId="12" borderId="1" xfId="5" applyNumberFormat="1" applyFont="1" applyFill="1" applyBorder="1" applyProtection="1">
      <protection locked="0"/>
    </xf>
    <xf numFmtId="2" fontId="14" fillId="12" borderId="0" xfId="0" applyNumberFormat="1" applyFont="1" applyFill="1"/>
    <xf numFmtId="37" fontId="24" fillId="12" borderId="1" xfId="7" applyNumberFormat="1" applyFont="1" applyFill="1" applyBorder="1" applyProtection="1">
      <protection locked="0"/>
    </xf>
    <xf numFmtId="37" fontId="14" fillId="12" borderId="0" xfId="0" applyFont="1" applyFill="1" applyProtection="1">
      <protection locked="0"/>
    </xf>
    <xf numFmtId="37" fontId="41" fillId="0" borderId="0" xfId="0" applyFont="1" applyAlignment="1">
      <alignment vertical="center"/>
    </xf>
    <xf numFmtId="37" fontId="42" fillId="0" borderId="0" xfId="0" applyFont="1" applyAlignment="1">
      <alignment vertical="center"/>
    </xf>
    <xf numFmtId="37" fontId="32" fillId="0" borderId="0" xfId="0" quotePrefix="1" applyFont="1" applyAlignment="1">
      <alignment horizontal="left"/>
    </xf>
    <xf numFmtId="37" fontId="6" fillId="0" borderId="0" xfId="0" applyFont="1"/>
    <xf numFmtId="38" fontId="6" fillId="0" borderId="0" xfId="0" applyNumberFormat="1" applyFont="1"/>
    <xf numFmtId="37" fontId="6" fillId="0" borderId="0" xfId="0" quotePrefix="1" applyFont="1" applyAlignment="1">
      <alignment vertical="center" readingOrder="1"/>
    </xf>
    <xf numFmtId="37" fontId="6" fillId="0" borderId="0" xfId="0" quotePrefix="1" applyFont="1" applyAlignment="1">
      <alignment horizontal="left"/>
    </xf>
    <xf numFmtId="37" fontId="5" fillId="0" borderId="0" xfId="0" quotePrefix="1" applyFont="1"/>
    <xf numFmtId="37" fontId="6" fillId="0" borderId="0" xfId="0" applyFont="1" applyAlignment="1">
      <alignment vertical="center" readingOrder="1"/>
    </xf>
    <xf numFmtId="37" fontId="8" fillId="0" borderId="0" xfId="0" applyFont="1"/>
    <xf numFmtId="0" fontId="44" fillId="0" borderId="0" xfId="11" applyFont="1"/>
    <xf numFmtId="43" fontId="44" fillId="0" borderId="0" xfId="12" applyFont="1" applyFill="1"/>
    <xf numFmtId="0" fontId="43" fillId="0" borderId="0" xfId="10" applyAlignment="1">
      <alignment vertical="top"/>
    </xf>
    <xf numFmtId="43" fontId="44" fillId="0" borderId="0" xfId="12" applyFont="1" applyFill="1" applyBorder="1"/>
    <xf numFmtId="37" fontId="24" fillId="0" borderId="1" xfId="14" applyNumberFormat="1" applyFont="1" applyBorder="1" applyProtection="1">
      <protection locked="0"/>
    </xf>
    <xf numFmtId="37" fontId="24" fillId="4" borderId="1" xfId="14" quotePrefix="1" applyNumberFormat="1" applyFont="1" applyFill="1" applyBorder="1" applyProtection="1">
      <protection locked="0"/>
    </xf>
    <xf numFmtId="39" fontId="24" fillId="0" borderId="1" xfId="15" applyNumberFormat="1" applyFont="1" applyBorder="1" applyProtection="1">
      <protection locked="0"/>
    </xf>
    <xf numFmtId="37" fontId="24" fillId="0" borderId="1" xfId="14" quotePrefix="1" applyNumberFormat="1" applyFont="1" applyBorder="1" applyProtection="1">
      <protection locked="0"/>
    </xf>
    <xf numFmtId="169" fontId="24" fillId="0" borderId="1" xfId="13" quotePrefix="1" applyNumberFormat="1" applyFont="1" applyBorder="1" applyProtection="1">
      <protection locked="0"/>
    </xf>
    <xf numFmtId="39" fontId="24" fillId="0" borderId="1" xfId="14" quotePrefix="1" applyNumberFormat="1" applyFont="1" applyBorder="1" applyProtection="1">
      <protection locked="0"/>
    </xf>
    <xf numFmtId="37" fontId="16" fillId="3" borderId="0" xfId="0" applyFont="1" applyFill="1" applyAlignment="1">
      <alignment horizontal="center" vertical="center"/>
    </xf>
    <xf numFmtId="37" fontId="39" fillId="0" borderId="0" xfId="0" applyFont="1"/>
    <xf numFmtId="37" fontId="42" fillId="0" borderId="0" xfId="0" applyFont="1" applyAlignment="1">
      <alignment horizontal="left" vertical="center" wrapText="1"/>
    </xf>
    <xf numFmtId="37" fontId="32" fillId="0" borderId="35" xfId="0" quotePrefix="1" applyFont="1" applyFill="1" applyBorder="1" applyAlignment="1">
      <alignment horizontal="left"/>
    </xf>
    <xf numFmtId="37" fontId="6" fillId="0" borderId="33" xfId="0" applyFont="1" applyFill="1" applyBorder="1"/>
    <xf numFmtId="38" fontId="6" fillId="0" borderId="33" xfId="0" applyNumberFormat="1" applyFont="1" applyFill="1" applyBorder="1"/>
    <xf numFmtId="37" fontId="6" fillId="0" borderId="38" xfId="0" applyFont="1" applyFill="1" applyBorder="1"/>
    <xf numFmtId="37" fontId="6" fillId="0" borderId="36" xfId="0" quotePrefix="1" applyFont="1" applyFill="1" applyBorder="1" applyAlignment="1">
      <alignment vertical="center" readingOrder="1"/>
    </xf>
    <xf numFmtId="37" fontId="6" fillId="0" borderId="0" xfId="0" quotePrefix="1" applyFont="1" applyFill="1" applyAlignment="1">
      <alignment horizontal="left"/>
    </xf>
    <xf numFmtId="38" fontId="6" fillId="0" borderId="0" xfId="0" applyNumberFormat="1" applyFont="1" applyFill="1"/>
    <xf numFmtId="37" fontId="6" fillId="0" borderId="0" xfId="0" applyFont="1" applyFill="1"/>
    <xf numFmtId="37" fontId="6" fillId="0" borderId="39" xfId="0" applyFont="1" applyFill="1" applyBorder="1"/>
    <xf numFmtId="37" fontId="5" fillId="0" borderId="36" xfId="0" quotePrefix="1" applyFont="1" applyFill="1" applyBorder="1"/>
    <xf numFmtId="37" fontId="6" fillId="0" borderId="36" xfId="0" applyFont="1" applyFill="1" applyBorder="1" applyAlignment="1">
      <alignment vertical="center" readingOrder="1"/>
    </xf>
    <xf numFmtId="37" fontId="5" fillId="0" borderId="37" xfId="0" quotePrefix="1" applyFont="1" applyFill="1" applyBorder="1"/>
    <xf numFmtId="37" fontId="6" fillId="0" borderId="34" xfId="0" applyFont="1" applyFill="1" applyBorder="1"/>
    <xf numFmtId="38" fontId="6" fillId="0" borderId="34" xfId="0" applyNumberFormat="1" applyFont="1" applyFill="1" applyBorder="1"/>
    <xf numFmtId="37" fontId="6" fillId="0" borderId="40" xfId="0" applyFont="1" applyFill="1" applyBorder="1"/>
  </cellXfs>
  <cellStyles count="16">
    <cellStyle name="Comma" xfId="1" builtinId="3"/>
    <cellStyle name="Comma_data" xfId="2" xr:uid="{FC3EA968-3144-4522-8882-F7186E8B2F6D}"/>
    <cellStyle name="Comma_data_1" xfId="13" xr:uid="{EE321C8B-5328-4657-911C-1FEEEAFC8C92}"/>
    <cellStyle name="Comma_GL293" xfId="12" xr:uid="{FD7481C3-7138-4CFC-B2A3-A5E27392B48B}"/>
    <cellStyle name="Hyperlink" xfId="3" builtinId="8"/>
    <cellStyle name="Normal" xfId="0" builtinId="0"/>
    <cellStyle name="Normal 2" xfId="4" xr:uid="{B190D761-ADDB-4CFB-8149-54EEFCE0B1C0}"/>
    <cellStyle name="Normal_Crystal rpt" xfId="10" xr:uid="{F9A0E18A-5520-4FA3-BE9F-804A3834C1F4}"/>
    <cellStyle name="Normal_data" xfId="5" xr:uid="{103B8CAF-68D2-4341-819C-5F266375A2E8}"/>
    <cellStyle name="Normal_data_1" xfId="6" xr:uid="{F336D54E-4F35-44A4-819D-B1E8B8D7322D}"/>
    <cellStyle name="Normal_data_2" xfId="7" xr:uid="{0EA118B6-B8BE-4505-B34A-3E49EF4DDC0F}"/>
    <cellStyle name="Normal_data_3" xfId="14" xr:uid="{4626DBE4-57C3-4A90-83C9-ECAE3CF3F512}"/>
    <cellStyle name="Normal_GL293_1" xfId="11" xr:uid="{0F6653EE-65AA-44B0-9426-3980FFBDFC8D}"/>
    <cellStyle name="Percent" xfId="8" builtinId="5"/>
    <cellStyle name="Percent_data" xfId="15" xr:uid="{9484CE02-395D-48C6-A629-5D54F695FC7B}"/>
    <cellStyle name="Percent_data_1" xfId="9" xr:uid="{8A7E6E00-CD4A-4BAB-B598-3E8027E2A97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615950</xdr:colOff>
      <xdr:row>1</xdr:row>
      <xdr:rowOff>20955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0"/>
          <a:ext cx="1854200" cy="544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694103</xdr:colOff>
      <xdr:row>1</xdr:row>
      <xdr:rowOff>7522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028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B219-5974-4375-A441-1C4D14391C17}">
  <sheetPr syncVertical="1" syncRef="BS41" transitionEvaluation="1" transitionEntry="1" codeName="Sheet1">
    <tabColor rgb="FF92D050"/>
    <pageSetUpPr autoPageBreaks="0" fitToPage="1"/>
  </sheetPr>
  <dimension ref="A1:CF716"/>
  <sheetViews>
    <sheetView topLeftCell="BS41" zoomScale="80" zoomScaleNormal="80" workbookViewId="0">
      <selection activeCell="CB64" sqref="CB64"/>
    </sheetView>
  </sheetViews>
  <sheetFormatPr defaultColWidth="11.77734375" defaultRowHeight="15" x14ac:dyDescent="0.25"/>
  <cols>
    <col min="1" max="1" width="44.44140625" style="11" customWidth="1"/>
    <col min="2" max="82" width="13.5546875" style="11" customWidth="1"/>
    <col min="83" max="83" width="15.88671875" style="11" customWidth="1"/>
    <col min="84" max="84" width="13.5546875" style="11" customWidth="1"/>
    <col min="85" max="88" width="11.77734375" style="11" customWidth="1"/>
    <col min="89" max="16384" width="11.77734375" style="11"/>
  </cols>
  <sheetData>
    <row r="1" spans="1:5" ht="41.45" customHeight="1" x14ac:dyDescent="0.25">
      <c r="C1" s="13"/>
    </row>
    <row r="2" spans="1:5" x14ac:dyDescent="0.25">
      <c r="C2" s="13"/>
      <c r="E2" s="306" t="s">
        <v>1363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11" t="s">
        <v>1362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65" customHeight="1" x14ac:dyDescent="0.25">
      <c r="A18" s="14" t="s">
        <v>12</v>
      </c>
    </row>
    <row r="19" spans="1:10" ht="14.65" customHeight="1" x14ac:dyDescent="0.25">
      <c r="A19" s="14" t="s">
        <v>13</v>
      </c>
    </row>
    <row r="20" spans="1:10" ht="14.65" customHeight="1" x14ac:dyDescent="0.25">
      <c r="A20" s="12"/>
      <c r="E20" s="58"/>
      <c r="F20" s="58"/>
      <c r="G20" s="58"/>
    </row>
    <row r="21" spans="1:10" ht="14.6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29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4" x14ac:dyDescent="0.25">
      <c r="A33" s="14" t="s">
        <v>24</v>
      </c>
      <c r="B33" s="58"/>
      <c r="C33" s="58"/>
      <c r="D33" s="58"/>
    </row>
    <row r="34" spans="1:84" ht="16.5" x14ac:dyDescent="0.25">
      <c r="A34" s="14" t="s">
        <v>25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08" t="s">
        <v>26</v>
      </c>
      <c r="B36" s="309"/>
      <c r="C36" s="310"/>
      <c r="D36" s="309"/>
      <c r="E36" s="309"/>
      <c r="F36" s="309"/>
      <c r="G36" s="309"/>
    </row>
    <row r="37" spans="1:84" x14ac:dyDescent="0.25">
      <c r="A37" s="311" t="s">
        <v>27</v>
      </c>
      <c r="B37" s="312"/>
      <c r="C37" s="310"/>
      <c r="D37" s="309"/>
      <c r="E37" s="309"/>
      <c r="F37" s="309"/>
      <c r="G37" s="309"/>
    </row>
    <row r="38" spans="1:84" x14ac:dyDescent="0.25">
      <c r="A38" s="313" t="s">
        <v>28</v>
      </c>
      <c r="B38" s="312"/>
      <c r="C38" s="310"/>
      <c r="D38" s="309"/>
      <c r="E38" s="309"/>
      <c r="F38" s="309"/>
      <c r="G38" s="309"/>
    </row>
    <row r="39" spans="1:84" x14ac:dyDescent="0.25">
      <c r="A39" s="314" t="s">
        <v>29</v>
      </c>
      <c r="B39" s="309"/>
      <c r="C39" s="310"/>
      <c r="D39" s="309"/>
      <c r="E39" s="309"/>
      <c r="F39" s="309"/>
      <c r="G39" s="309"/>
    </row>
    <row r="40" spans="1:84" x14ac:dyDescent="0.25">
      <c r="A40" s="313" t="s">
        <v>30</v>
      </c>
      <c r="B40" s="309"/>
      <c r="C40" s="310"/>
      <c r="D40" s="309"/>
      <c r="E40" s="309"/>
      <c r="F40" s="309"/>
      <c r="G40" s="309"/>
    </row>
    <row r="41" spans="1:84" x14ac:dyDescent="0.25">
      <c r="C41" s="13"/>
    </row>
    <row r="42" spans="1:84" x14ac:dyDescent="0.25">
      <c r="A42" s="11" t="s">
        <v>31</v>
      </c>
      <c r="C42" s="13"/>
      <c r="F42" s="15" t="s">
        <v>32</v>
      </c>
    </row>
    <row r="43" spans="1:84" x14ac:dyDescent="0.25">
      <c r="A43" s="15" t="s">
        <v>33</v>
      </c>
      <c r="C43" s="13"/>
    </row>
    <row r="44" spans="1:84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4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4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4" x14ac:dyDescent="0.25">
      <c r="A47" s="16" t="s">
        <v>229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f>SUM(C47:CC47)</f>
        <v>0</v>
      </c>
      <c r="CF47" s="301">
        <v>0</v>
      </c>
    </row>
    <row r="48" spans="1:84" x14ac:dyDescent="0.25">
      <c r="A48" s="25" t="s">
        <v>230</v>
      </c>
      <c r="B48" s="234">
        <v>273407448.66000009</v>
      </c>
      <c r="C48" s="25">
        <f t="shared" ref="C48:AH48" si="0">IF($B$48,(ROUND((($B$48/$CE$61)*C61),0)))</f>
        <v>15565890</v>
      </c>
      <c r="D48" s="25">
        <f t="shared" si="0"/>
        <v>0</v>
      </c>
      <c r="E48" s="25">
        <f t="shared" si="0"/>
        <v>20307278</v>
      </c>
      <c r="F48" s="25">
        <f t="shared" si="0"/>
        <v>0</v>
      </c>
      <c r="G48" s="25">
        <f t="shared" si="0"/>
        <v>1196661</v>
      </c>
      <c r="H48" s="25">
        <f t="shared" si="0"/>
        <v>3935134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7567401</v>
      </c>
      <c r="Q48" s="25">
        <f t="shared" si="0"/>
        <v>3450246</v>
      </c>
      <c r="R48" s="25">
        <f t="shared" si="0"/>
        <v>1321862</v>
      </c>
      <c r="S48" s="25">
        <f t="shared" si="0"/>
        <v>2604392</v>
      </c>
      <c r="T48" s="25">
        <f t="shared" si="0"/>
        <v>518313</v>
      </c>
      <c r="U48" s="25">
        <f t="shared" si="0"/>
        <v>7632194</v>
      </c>
      <c r="V48" s="25">
        <f t="shared" si="0"/>
        <v>2119960</v>
      </c>
      <c r="W48" s="25">
        <f t="shared" si="0"/>
        <v>542389</v>
      </c>
      <c r="X48" s="25">
        <f t="shared" si="0"/>
        <v>492597</v>
      </c>
      <c r="Y48" s="25">
        <f t="shared" si="0"/>
        <v>4137053</v>
      </c>
      <c r="Z48" s="25">
        <f t="shared" si="0"/>
        <v>342474</v>
      </c>
      <c r="AA48" s="25">
        <f t="shared" si="0"/>
        <v>147477</v>
      </c>
      <c r="AB48" s="25">
        <f t="shared" si="0"/>
        <v>7985419</v>
      </c>
      <c r="AC48" s="25">
        <f t="shared" si="0"/>
        <v>3940082</v>
      </c>
      <c r="AD48" s="25">
        <f t="shared" si="0"/>
        <v>1208365</v>
      </c>
      <c r="AE48" s="25">
        <f t="shared" si="0"/>
        <v>3414470</v>
      </c>
      <c r="AF48" s="25">
        <f t="shared" si="0"/>
        <v>5373888</v>
      </c>
      <c r="AG48" s="25">
        <f t="shared" si="0"/>
        <v>6047317</v>
      </c>
      <c r="AH48" s="25">
        <f t="shared" si="0"/>
        <v>1113933</v>
      </c>
      <c r="AI48" s="25">
        <f t="shared" ref="AI48:BN48" si="1">IF($B$48,(ROUND((($B$48/$CE$61)*AI61),0)))</f>
        <v>0</v>
      </c>
      <c r="AJ48" s="25">
        <f t="shared" si="1"/>
        <v>41992795</v>
      </c>
      <c r="AK48" s="25">
        <f t="shared" si="1"/>
        <v>923196</v>
      </c>
      <c r="AL48" s="25">
        <f t="shared" si="1"/>
        <v>765975</v>
      </c>
      <c r="AM48" s="25">
        <f t="shared" si="1"/>
        <v>1075184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54</v>
      </c>
      <c r="AR48" s="25">
        <f t="shared" si="1"/>
        <v>1991559</v>
      </c>
      <c r="AS48" s="25">
        <f t="shared" si="1"/>
        <v>0</v>
      </c>
      <c r="AT48" s="25">
        <f t="shared" si="1"/>
        <v>203492</v>
      </c>
      <c r="AU48" s="25">
        <f t="shared" si="1"/>
        <v>0</v>
      </c>
      <c r="AV48" s="25">
        <f t="shared" si="1"/>
        <v>1708680</v>
      </c>
      <c r="AW48" s="25">
        <f t="shared" si="1"/>
        <v>37268569</v>
      </c>
      <c r="AX48" s="25">
        <f t="shared" si="1"/>
        <v>0</v>
      </c>
      <c r="AY48" s="25">
        <f t="shared" si="1"/>
        <v>3527285</v>
      </c>
      <c r="AZ48" s="25">
        <f t="shared" si="1"/>
        <v>29548</v>
      </c>
      <c r="BA48" s="25">
        <f t="shared" si="1"/>
        <v>106786</v>
      </c>
      <c r="BB48" s="25">
        <f t="shared" si="1"/>
        <v>4380587</v>
      </c>
      <c r="BC48" s="25">
        <f t="shared" si="1"/>
        <v>65666</v>
      </c>
      <c r="BD48" s="25">
        <f t="shared" si="1"/>
        <v>589689</v>
      </c>
      <c r="BE48" s="25">
        <f t="shared" si="1"/>
        <v>6566354</v>
      </c>
      <c r="BF48" s="25">
        <f t="shared" si="1"/>
        <v>3847395</v>
      </c>
      <c r="BG48" s="25">
        <f t="shared" si="1"/>
        <v>535934</v>
      </c>
      <c r="BH48" s="25">
        <f t="shared" si="1"/>
        <v>12275970</v>
      </c>
      <c r="BI48" s="25">
        <f t="shared" si="1"/>
        <v>1022557</v>
      </c>
      <c r="BJ48" s="25">
        <f t="shared" si="1"/>
        <v>1684677</v>
      </c>
      <c r="BK48" s="25">
        <f t="shared" si="1"/>
        <v>5319244</v>
      </c>
      <c r="BL48" s="25">
        <f t="shared" si="1"/>
        <v>2258396</v>
      </c>
      <c r="BM48" s="25">
        <f t="shared" si="1"/>
        <v>0</v>
      </c>
      <c r="BN48" s="25">
        <f t="shared" si="1"/>
        <v>5264104</v>
      </c>
      <c r="BO48" s="25">
        <f t="shared" ref="BO48:CD48" si="2">IF($B$48,(ROUND((($B$48/$CE$61)*BO61),0)))</f>
        <v>437973</v>
      </c>
      <c r="BP48" s="25">
        <f t="shared" si="2"/>
        <v>1477851</v>
      </c>
      <c r="BQ48" s="25">
        <f t="shared" si="2"/>
        <v>1765692</v>
      </c>
      <c r="BR48" s="25">
        <f t="shared" si="2"/>
        <v>4012729</v>
      </c>
      <c r="BS48" s="25">
        <f t="shared" si="2"/>
        <v>0</v>
      </c>
      <c r="BT48" s="25">
        <f t="shared" si="2"/>
        <v>238694</v>
      </c>
      <c r="BU48" s="25">
        <f t="shared" si="2"/>
        <v>84815</v>
      </c>
      <c r="BV48" s="25">
        <f t="shared" si="2"/>
        <v>658536</v>
      </c>
      <c r="BW48" s="25">
        <f t="shared" si="2"/>
        <v>1146932</v>
      </c>
      <c r="BX48" s="25">
        <f t="shared" si="2"/>
        <v>3977800</v>
      </c>
      <c r="BY48" s="25">
        <f t="shared" si="2"/>
        <v>4193012</v>
      </c>
      <c r="BZ48" s="25">
        <f t="shared" si="2"/>
        <v>2097950</v>
      </c>
      <c r="CA48" s="25">
        <f t="shared" si="2"/>
        <v>0</v>
      </c>
      <c r="CB48" s="25">
        <f t="shared" si="2"/>
        <v>0</v>
      </c>
      <c r="CC48" s="25">
        <f t="shared" si="2"/>
        <v>18946973</v>
      </c>
      <c r="CD48" s="25">
        <f t="shared" si="2"/>
        <v>0</v>
      </c>
      <c r="CE48" s="25">
        <f>SUM(C48:CD48)</f>
        <v>273407448</v>
      </c>
      <c r="CF48" s="301">
        <v>0</v>
      </c>
    </row>
    <row r="49" spans="1:84" x14ac:dyDescent="0.25">
      <c r="A49" s="16" t="s">
        <v>231</v>
      </c>
      <c r="B49" s="25">
        <f>B47+B48</f>
        <v>273407448.66000009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01">
        <v>0</v>
      </c>
    </row>
    <row r="50" spans="1:84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01">
        <v>0</v>
      </c>
    </row>
    <row r="51" spans="1:84" x14ac:dyDescent="0.25">
      <c r="A51" s="21" t="s">
        <v>232</v>
      </c>
      <c r="B51" s="234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0</v>
      </c>
      <c r="CF51" s="301">
        <v>0</v>
      </c>
    </row>
    <row r="52" spans="1:84" x14ac:dyDescent="0.25">
      <c r="A52" s="31" t="s">
        <v>233</v>
      </c>
      <c r="B52" s="236">
        <v>141473101.49000004</v>
      </c>
      <c r="C52" s="25">
        <f t="shared" ref="C52:AH52" si="3">IF($B$52,ROUND(($B$52/($CE$90+$CF$90)*C90),0))</f>
        <v>15179830</v>
      </c>
      <c r="D52" s="25">
        <f t="shared" si="3"/>
        <v>0</v>
      </c>
      <c r="E52" s="25">
        <f t="shared" si="3"/>
        <v>33849934</v>
      </c>
      <c r="F52" s="25">
        <f t="shared" si="3"/>
        <v>0</v>
      </c>
      <c r="G52" s="25">
        <f t="shared" si="3"/>
        <v>2099411</v>
      </c>
      <c r="H52" s="25">
        <f t="shared" si="3"/>
        <v>6236933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18385177</v>
      </c>
      <c r="Q52" s="25">
        <f t="shared" si="3"/>
        <v>2438853</v>
      </c>
      <c r="R52" s="25">
        <f t="shared" si="3"/>
        <v>1426942</v>
      </c>
      <c r="S52" s="25">
        <f t="shared" si="3"/>
        <v>6644895</v>
      </c>
      <c r="T52" s="25">
        <f t="shared" si="3"/>
        <v>76013</v>
      </c>
      <c r="U52" s="25">
        <f t="shared" si="3"/>
        <v>8165688</v>
      </c>
      <c r="V52" s="25">
        <f t="shared" si="3"/>
        <v>1634213</v>
      </c>
      <c r="W52" s="25">
        <f t="shared" si="3"/>
        <v>1918212</v>
      </c>
      <c r="X52" s="25">
        <f t="shared" si="3"/>
        <v>526534</v>
      </c>
      <c r="Y52" s="25">
        <f t="shared" si="3"/>
        <v>7004728</v>
      </c>
      <c r="Z52" s="25">
        <f t="shared" si="3"/>
        <v>385937</v>
      </c>
      <c r="AA52" s="25">
        <f t="shared" si="3"/>
        <v>240482</v>
      </c>
      <c r="AB52" s="25">
        <f t="shared" si="3"/>
        <v>4785362</v>
      </c>
      <c r="AC52" s="25">
        <f t="shared" si="3"/>
        <v>683364</v>
      </c>
      <c r="AD52" s="25">
        <f t="shared" si="3"/>
        <v>1430205</v>
      </c>
      <c r="AE52" s="25">
        <f t="shared" si="3"/>
        <v>1152174</v>
      </c>
      <c r="AF52" s="25">
        <f t="shared" si="3"/>
        <v>4184316</v>
      </c>
      <c r="AG52" s="25">
        <f t="shared" si="3"/>
        <v>6297932</v>
      </c>
      <c r="AH52" s="25">
        <f t="shared" si="3"/>
        <v>6875653</v>
      </c>
      <c r="AI52" s="25">
        <f t="shared" ref="AI52:BN52" si="4">IF($B$52,ROUND(($B$52/($CE$90+$CF$90)*AI90),0))</f>
        <v>0</v>
      </c>
      <c r="AJ52" s="25">
        <f t="shared" si="4"/>
        <v>29631336</v>
      </c>
      <c r="AK52" s="25">
        <f t="shared" si="4"/>
        <v>610614</v>
      </c>
      <c r="AL52" s="25">
        <f t="shared" si="4"/>
        <v>275026</v>
      </c>
      <c r="AM52" s="25">
        <f t="shared" si="4"/>
        <v>825666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3617</v>
      </c>
      <c r="AS52" s="25">
        <f t="shared" si="4"/>
        <v>0</v>
      </c>
      <c r="AT52" s="25">
        <f t="shared" si="4"/>
        <v>136326</v>
      </c>
      <c r="AU52" s="25">
        <f t="shared" si="4"/>
        <v>0</v>
      </c>
      <c r="AV52" s="25">
        <f t="shared" si="4"/>
        <v>68479</v>
      </c>
      <c r="AW52" s="25">
        <f t="shared" si="4"/>
        <v>563962</v>
      </c>
      <c r="AX52" s="25">
        <f t="shared" si="4"/>
        <v>0</v>
      </c>
      <c r="AY52" s="25">
        <f t="shared" si="4"/>
        <v>5324817</v>
      </c>
      <c r="AZ52" s="25">
        <f t="shared" si="4"/>
        <v>133307</v>
      </c>
      <c r="BA52" s="25">
        <f t="shared" si="4"/>
        <v>124591</v>
      </c>
      <c r="BB52" s="25">
        <f t="shared" si="4"/>
        <v>1919303</v>
      </c>
      <c r="BC52" s="25">
        <f t="shared" si="4"/>
        <v>94996</v>
      </c>
      <c r="BD52" s="25">
        <f t="shared" si="4"/>
        <v>0</v>
      </c>
      <c r="BE52" s="25">
        <f t="shared" si="4"/>
        <v>47307730</v>
      </c>
      <c r="BF52" s="25">
        <f t="shared" si="4"/>
        <v>896430</v>
      </c>
      <c r="BG52" s="25">
        <f t="shared" si="4"/>
        <v>202547</v>
      </c>
      <c r="BH52" s="25">
        <f t="shared" si="4"/>
        <v>1518895</v>
      </c>
      <c r="BI52" s="25">
        <f t="shared" si="4"/>
        <v>370393</v>
      </c>
      <c r="BJ52" s="25">
        <f t="shared" si="4"/>
        <v>0</v>
      </c>
      <c r="BK52" s="25">
        <f t="shared" si="4"/>
        <v>0</v>
      </c>
      <c r="BL52" s="25">
        <f t="shared" si="4"/>
        <v>526891</v>
      </c>
      <c r="BM52" s="25">
        <f t="shared" si="4"/>
        <v>0</v>
      </c>
      <c r="BN52" s="25">
        <f t="shared" si="4"/>
        <v>2278147</v>
      </c>
      <c r="BO52" s="25">
        <f t="shared" ref="BO52:CD52" si="5">IF($B$52,ROUND(($B$52/($CE$90+$CF$90)*BO90),0))</f>
        <v>66283</v>
      </c>
      <c r="BP52" s="25">
        <f t="shared" si="5"/>
        <v>367970</v>
      </c>
      <c r="BQ52" s="25">
        <f t="shared" si="5"/>
        <v>947758</v>
      </c>
      <c r="BR52" s="25">
        <f t="shared" si="5"/>
        <v>5830</v>
      </c>
      <c r="BS52" s="25">
        <f t="shared" si="5"/>
        <v>69634</v>
      </c>
      <c r="BT52" s="25">
        <f t="shared" si="5"/>
        <v>543692</v>
      </c>
      <c r="BU52" s="25">
        <f t="shared" si="5"/>
        <v>387153</v>
      </c>
      <c r="BV52" s="25">
        <f t="shared" si="5"/>
        <v>31421</v>
      </c>
      <c r="BW52" s="25">
        <f t="shared" si="5"/>
        <v>2637217</v>
      </c>
      <c r="BX52" s="25">
        <f t="shared" si="5"/>
        <v>658030</v>
      </c>
      <c r="BY52" s="25">
        <f t="shared" si="5"/>
        <v>545501</v>
      </c>
      <c r="BZ52" s="25">
        <f t="shared" si="5"/>
        <v>13581</v>
      </c>
      <c r="CA52" s="25">
        <f t="shared" si="5"/>
        <v>0</v>
      </c>
      <c r="CB52" s="25">
        <f t="shared" si="5"/>
        <v>0</v>
      </c>
      <c r="CC52" s="25">
        <f t="shared" si="5"/>
        <v>7111513</v>
      </c>
      <c r="CD52" s="25">
        <f t="shared" si="5"/>
        <v>0</v>
      </c>
      <c r="CE52" s="25">
        <f>SUM(C52:CD52)</f>
        <v>237821444</v>
      </c>
      <c r="CF52" s="301">
        <v>0</v>
      </c>
    </row>
    <row r="53" spans="1:84" x14ac:dyDescent="0.25">
      <c r="A53" s="16" t="s">
        <v>231</v>
      </c>
      <c r="B53" s="25">
        <f>B51+B52</f>
        <v>141473101.49000004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01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01">
        <v>0</v>
      </c>
    </row>
    <row r="55" spans="1:84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  <c r="CF55" s="301">
        <v>0</v>
      </c>
    </row>
    <row r="56" spans="1:84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  <c r="CF56" s="301">
        <v>0</v>
      </c>
    </row>
    <row r="57" spans="1:84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  <c r="CF57" s="301">
        <v>0</v>
      </c>
    </row>
    <row r="58" spans="1:84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  <c r="CF58" s="301">
        <v>0</v>
      </c>
    </row>
    <row r="59" spans="1:84" x14ac:dyDescent="0.25">
      <c r="A59" s="31" t="s">
        <v>259</v>
      </c>
      <c r="B59" s="25"/>
      <c r="C59" s="320">
        <v>28117.856849999996</v>
      </c>
      <c r="D59" s="320">
        <v>0</v>
      </c>
      <c r="E59" s="320">
        <v>70194.360050000018</v>
      </c>
      <c r="F59" s="320">
        <v>0</v>
      </c>
      <c r="G59" s="320">
        <v>3742.0019000000002</v>
      </c>
      <c r="H59" s="320">
        <v>10122.432249999998</v>
      </c>
      <c r="I59" s="320">
        <v>0</v>
      </c>
      <c r="J59" s="320">
        <v>0</v>
      </c>
      <c r="K59" s="320">
        <v>0</v>
      </c>
      <c r="L59" s="320">
        <v>0</v>
      </c>
      <c r="M59" s="320">
        <v>0</v>
      </c>
      <c r="N59" s="320">
        <v>0</v>
      </c>
      <c r="O59" s="320">
        <v>0</v>
      </c>
      <c r="P59" s="320">
        <v>1979616</v>
      </c>
      <c r="Q59" s="320">
        <v>1306940</v>
      </c>
      <c r="R59" s="320">
        <v>2524450</v>
      </c>
      <c r="S59" s="230"/>
      <c r="T59" s="230"/>
      <c r="U59" s="320">
        <v>1455386</v>
      </c>
      <c r="V59" s="320">
        <v>46667</v>
      </c>
      <c r="W59" s="320">
        <v>17044</v>
      </c>
      <c r="X59" s="320">
        <v>10491</v>
      </c>
      <c r="Y59" s="320">
        <v>297233</v>
      </c>
      <c r="Z59" s="320">
        <v>1101</v>
      </c>
      <c r="AA59" s="320">
        <v>1436</v>
      </c>
      <c r="AB59" s="230"/>
      <c r="AC59" s="320">
        <v>0</v>
      </c>
      <c r="AD59" s="320">
        <v>9863</v>
      </c>
      <c r="AE59" s="320">
        <v>193002</v>
      </c>
      <c r="AF59" s="320">
        <v>0</v>
      </c>
      <c r="AG59" s="320">
        <v>114310</v>
      </c>
      <c r="AH59" s="320">
        <v>0</v>
      </c>
      <c r="AI59" s="320">
        <v>0</v>
      </c>
      <c r="AJ59" s="320">
        <v>973</v>
      </c>
      <c r="AK59" s="320">
        <v>74242</v>
      </c>
      <c r="AL59" s="320">
        <v>64481</v>
      </c>
      <c r="AM59" s="320">
        <v>0</v>
      </c>
      <c r="AN59" s="320">
        <v>0</v>
      </c>
      <c r="AO59" s="320">
        <v>0</v>
      </c>
      <c r="AP59" s="320">
        <v>0</v>
      </c>
      <c r="AQ59" s="320">
        <v>0</v>
      </c>
      <c r="AR59" s="320">
        <v>0</v>
      </c>
      <c r="AS59" s="320">
        <v>0</v>
      </c>
      <c r="AT59" s="320">
        <v>51</v>
      </c>
      <c r="AU59" s="320">
        <v>0</v>
      </c>
      <c r="AV59" s="230"/>
      <c r="AW59" s="230"/>
      <c r="AX59" s="230"/>
      <c r="AY59" s="320">
        <v>1104198</v>
      </c>
      <c r="AZ59" s="237">
        <v>0</v>
      </c>
      <c r="BA59" s="230"/>
      <c r="BB59" s="230"/>
      <c r="BC59" s="230"/>
      <c r="BD59" s="230"/>
      <c r="BE59" s="237">
        <v>1387127.6146800872</v>
      </c>
      <c r="BF59" s="230"/>
      <c r="BG59" s="230"/>
      <c r="BH59" s="230"/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0"/>
      <c r="CA59" s="230"/>
      <c r="CB59" s="230"/>
      <c r="CC59" s="230"/>
      <c r="CD59" s="223">
        <v>0</v>
      </c>
      <c r="CE59" s="25">
        <v>0</v>
      </c>
      <c r="CF59" s="301">
        <v>0</v>
      </c>
    </row>
    <row r="60" spans="1:84" s="201" customFormat="1" x14ac:dyDescent="0.25">
      <c r="A60" s="206" t="s">
        <v>260</v>
      </c>
      <c r="B60" s="207"/>
      <c r="C60" s="322">
        <v>471.41990345415525</v>
      </c>
      <c r="D60" s="322">
        <v>0</v>
      </c>
      <c r="E60" s="322">
        <v>669.62389597913455</v>
      </c>
      <c r="F60" s="322">
        <v>0</v>
      </c>
      <c r="G60" s="322">
        <v>38.57390440662774</v>
      </c>
      <c r="H60" s="322">
        <v>162.69303450859891</v>
      </c>
      <c r="I60" s="322">
        <v>0</v>
      </c>
      <c r="J60" s="322">
        <v>0</v>
      </c>
      <c r="K60" s="322">
        <v>0</v>
      </c>
      <c r="L60" s="322">
        <v>0</v>
      </c>
      <c r="M60" s="322">
        <v>0</v>
      </c>
      <c r="N60" s="322">
        <v>0</v>
      </c>
      <c r="O60" s="322">
        <v>0</v>
      </c>
      <c r="P60" s="322">
        <v>236.24847330275415</v>
      </c>
      <c r="Q60" s="322">
        <v>91.494536060391511</v>
      </c>
      <c r="R60" s="322">
        <v>45.130132775460154</v>
      </c>
      <c r="S60" s="322">
        <v>125.09478801219781</v>
      </c>
      <c r="T60" s="322">
        <v>12.733472049677202</v>
      </c>
      <c r="U60" s="322">
        <v>236.65582905818678</v>
      </c>
      <c r="V60" s="322">
        <v>64.946197464677198</v>
      </c>
      <c r="W60" s="322">
        <v>14.451407692664839</v>
      </c>
      <c r="X60" s="322">
        <v>13.482362793317307</v>
      </c>
      <c r="Y60" s="322">
        <v>126.16464776439561</v>
      </c>
      <c r="Z60" s="322">
        <v>9.6172669573969785</v>
      </c>
      <c r="AA60" s="322">
        <v>3.640775239478022</v>
      </c>
      <c r="AB60" s="322">
        <v>227.65011081186816</v>
      </c>
      <c r="AC60" s="322">
        <v>142.34928365157279</v>
      </c>
      <c r="AD60" s="322">
        <v>33.624163069306313</v>
      </c>
      <c r="AE60" s="322">
        <v>98.636339728859895</v>
      </c>
      <c r="AF60" s="322">
        <v>171.85498266594092</v>
      </c>
      <c r="AG60" s="322">
        <v>213.91728246263045</v>
      </c>
      <c r="AH60" s="322">
        <v>25.78695996416209</v>
      </c>
      <c r="AI60" s="322">
        <v>0</v>
      </c>
      <c r="AJ60" s="322">
        <v>1224.5001800735029</v>
      </c>
      <c r="AK60" s="322">
        <v>28.634798112026097</v>
      </c>
      <c r="AL60" s="322">
        <v>22.813417639127753</v>
      </c>
      <c r="AM60" s="322">
        <v>42.127374444601635</v>
      </c>
      <c r="AN60" s="322">
        <v>0</v>
      </c>
      <c r="AO60" s="322">
        <v>0</v>
      </c>
      <c r="AP60" s="322">
        <v>0</v>
      </c>
      <c r="AQ60" s="322">
        <v>1.3221153846153847E-3</v>
      </c>
      <c r="AR60" s="322">
        <v>63.768855677987638</v>
      </c>
      <c r="AS60" s="322">
        <v>0</v>
      </c>
      <c r="AT60" s="322">
        <v>5.1973899434546702</v>
      </c>
      <c r="AU60" s="322">
        <v>0</v>
      </c>
      <c r="AV60" s="322">
        <v>48.575052353296712</v>
      </c>
      <c r="AW60" s="322">
        <v>1357.9165452004329</v>
      </c>
      <c r="AX60" s="322">
        <v>0</v>
      </c>
      <c r="AY60" s="322">
        <v>169.72316521844095</v>
      </c>
      <c r="AZ60" s="322">
        <v>1.8184401739079665</v>
      </c>
      <c r="BA60" s="322">
        <v>6.1529155223145606</v>
      </c>
      <c r="BB60" s="322">
        <v>157.98209536467718</v>
      </c>
      <c r="BC60" s="322">
        <v>4.2889148326785707</v>
      </c>
      <c r="BD60" s="322">
        <v>19.44515053112638</v>
      </c>
      <c r="BE60" s="322">
        <v>242.30081985094782</v>
      </c>
      <c r="BF60" s="322">
        <v>222.31450535313877</v>
      </c>
      <c r="BG60" s="322">
        <v>21.373624104635994</v>
      </c>
      <c r="BH60" s="322">
        <v>306.55634790284341</v>
      </c>
      <c r="BI60" s="322">
        <v>39.370539730831034</v>
      </c>
      <c r="BJ60" s="322">
        <v>50.622749368111272</v>
      </c>
      <c r="BK60" s="322">
        <v>210.36206710135303</v>
      </c>
      <c r="BL60" s="322">
        <v>120.14549308783654</v>
      </c>
      <c r="BM60" s="322">
        <v>0</v>
      </c>
      <c r="BN60" s="322">
        <v>87.316328629484886</v>
      </c>
      <c r="BO60" s="322">
        <v>14.390492927918958</v>
      </c>
      <c r="BP60" s="322">
        <v>47.299716478640114</v>
      </c>
      <c r="BQ60" s="322">
        <v>42.751969848880492</v>
      </c>
      <c r="BR60" s="322">
        <v>111.05787003710853</v>
      </c>
      <c r="BS60" s="322">
        <v>0</v>
      </c>
      <c r="BT60" s="322">
        <v>7.5583689753571424</v>
      </c>
      <c r="BU60" s="322">
        <v>2.860717472527472</v>
      </c>
      <c r="BV60" s="322">
        <v>30.995198860858515</v>
      </c>
      <c r="BW60" s="322">
        <v>38.908412613207418</v>
      </c>
      <c r="BX60" s="322">
        <v>107.03151792845468</v>
      </c>
      <c r="BY60" s="322">
        <v>105.34763710559066</v>
      </c>
      <c r="BZ60" s="322">
        <v>81.304184239100266</v>
      </c>
      <c r="CA60" s="322">
        <v>0</v>
      </c>
      <c r="CB60" s="322">
        <v>0</v>
      </c>
      <c r="CC60" s="322">
        <v>369.60286071200545</v>
      </c>
      <c r="CD60" s="208" t="s">
        <v>246</v>
      </c>
      <c r="CE60" s="226">
        <f t="shared" ref="CE60:CE68" si="6">SUM(C60:CD60)</f>
        <v>8648.206789405247</v>
      </c>
      <c r="CF60" s="303">
        <v>0</v>
      </c>
    </row>
    <row r="61" spans="1:84" x14ac:dyDescent="0.25">
      <c r="A61" s="31" t="s">
        <v>261</v>
      </c>
      <c r="B61" s="16"/>
      <c r="C61" s="302">
        <v>56621358.060000002</v>
      </c>
      <c r="D61" s="302"/>
      <c r="E61" s="302">
        <v>73868289.729999989</v>
      </c>
      <c r="F61" s="302"/>
      <c r="G61" s="302">
        <v>4352887.3100000005</v>
      </c>
      <c r="H61" s="302">
        <v>14314159.960000001</v>
      </c>
      <c r="I61" s="302"/>
      <c r="J61" s="302"/>
      <c r="K61" s="302"/>
      <c r="L61" s="302"/>
      <c r="M61" s="302"/>
      <c r="N61" s="302"/>
      <c r="O61" s="302"/>
      <c r="P61" s="302">
        <v>27526630.839999996</v>
      </c>
      <c r="Q61" s="302">
        <v>12550366.4</v>
      </c>
      <c r="R61" s="302">
        <v>4808310.919999999</v>
      </c>
      <c r="S61" s="302">
        <v>9473547.0999999996</v>
      </c>
      <c r="T61" s="302">
        <v>1885376.23</v>
      </c>
      <c r="U61" s="302">
        <v>27762317.990000002</v>
      </c>
      <c r="V61" s="302">
        <v>7711413.5</v>
      </c>
      <c r="W61" s="302">
        <v>1972955.77</v>
      </c>
      <c r="X61" s="302">
        <v>1791836.52</v>
      </c>
      <c r="Y61" s="302">
        <v>15048647.019999998</v>
      </c>
      <c r="Z61" s="302">
        <v>1245759.8400000003</v>
      </c>
      <c r="AA61" s="302">
        <v>536453.01</v>
      </c>
      <c r="AB61" s="302">
        <v>29047183.339999996</v>
      </c>
      <c r="AC61" s="302">
        <v>14332156.66</v>
      </c>
      <c r="AD61" s="302">
        <v>4395459.8899999997</v>
      </c>
      <c r="AE61" s="302">
        <v>12420228.530000001</v>
      </c>
      <c r="AF61" s="302">
        <v>19547668.029999997</v>
      </c>
      <c r="AG61" s="302">
        <v>21997284.870000001</v>
      </c>
      <c r="AH61" s="302">
        <v>4051960.88</v>
      </c>
      <c r="AI61" s="302"/>
      <c r="AJ61" s="302">
        <v>152749959.31999999</v>
      </c>
      <c r="AK61" s="302">
        <v>3358150.3699999996</v>
      </c>
      <c r="AL61" s="302">
        <v>2786255.4800000004</v>
      </c>
      <c r="AM61" s="302">
        <v>3911010.8800000004</v>
      </c>
      <c r="AN61" s="302"/>
      <c r="AO61" s="302"/>
      <c r="AP61" s="302"/>
      <c r="AQ61" s="302">
        <v>195.2</v>
      </c>
      <c r="AR61" s="302">
        <v>7244350.3199999994</v>
      </c>
      <c r="AS61" s="302"/>
      <c r="AT61" s="302">
        <v>740207.53</v>
      </c>
      <c r="AU61" s="302"/>
      <c r="AV61" s="302">
        <v>6215372.7400000002</v>
      </c>
      <c r="AW61" s="302">
        <v>135565457.47999993</v>
      </c>
      <c r="AX61" s="302"/>
      <c r="AY61" s="302">
        <v>12830597.260000002</v>
      </c>
      <c r="AZ61" s="302">
        <v>107482.82999999999</v>
      </c>
      <c r="BA61" s="302">
        <v>388436.65999999992</v>
      </c>
      <c r="BB61" s="302">
        <v>15934505.860000005</v>
      </c>
      <c r="BC61" s="302">
        <v>238863.59</v>
      </c>
      <c r="BD61" s="302">
        <v>2145009.5699999998</v>
      </c>
      <c r="BE61" s="302">
        <v>23885294.420000002</v>
      </c>
      <c r="BF61" s="302">
        <v>13995004.519999998</v>
      </c>
      <c r="BG61" s="302">
        <v>1949474.6900000002</v>
      </c>
      <c r="BH61" s="302">
        <v>44654182.630000003</v>
      </c>
      <c r="BI61" s="302">
        <v>3719578.2800000003</v>
      </c>
      <c r="BJ61" s="302">
        <v>6128060.7200000007</v>
      </c>
      <c r="BK61" s="302">
        <v>19348898.039999995</v>
      </c>
      <c r="BL61" s="302">
        <v>8214977.79</v>
      </c>
      <c r="BM61" s="302"/>
      <c r="BN61" s="302">
        <v>19148322.969999999</v>
      </c>
      <c r="BO61" s="302">
        <v>1593139.7200000002</v>
      </c>
      <c r="BP61" s="302">
        <v>5375723.3099999996</v>
      </c>
      <c r="BQ61" s="302">
        <v>6422752.3499999996</v>
      </c>
      <c r="BR61" s="302">
        <v>14596414.700000001</v>
      </c>
      <c r="BS61" s="302"/>
      <c r="BT61" s="302">
        <v>868256.87</v>
      </c>
      <c r="BU61" s="302">
        <v>308518.62</v>
      </c>
      <c r="BV61" s="302">
        <v>2395444.29</v>
      </c>
      <c r="BW61" s="302">
        <v>4171998.1799999997</v>
      </c>
      <c r="BX61" s="302">
        <v>14469358.199999999</v>
      </c>
      <c r="BY61" s="302">
        <v>15252197.199999997</v>
      </c>
      <c r="BZ61" s="302">
        <v>7631351.1099999994</v>
      </c>
      <c r="CA61" s="302"/>
      <c r="CB61" s="302"/>
      <c r="CC61" s="302">
        <v>68920141.060000002</v>
      </c>
      <c r="CD61" s="24" t="s">
        <v>246</v>
      </c>
      <c r="CE61" s="25">
        <f t="shared" si="6"/>
        <v>994527197.16000009</v>
      </c>
      <c r="CF61" s="301">
        <v>0</v>
      </c>
    </row>
    <row r="62" spans="1:84" x14ac:dyDescent="0.25">
      <c r="A62" s="31" t="s">
        <v>9</v>
      </c>
      <c r="B62" s="16"/>
      <c r="C62" s="25">
        <f t="shared" ref="C62:AH62" si="7">ROUND(C47+C48,0)</f>
        <v>15565890</v>
      </c>
      <c r="D62" s="25">
        <f t="shared" si="7"/>
        <v>0</v>
      </c>
      <c r="E62" s="25">
        <f t="shared" si="7"/>
        <v>20307278</v>
      </c>
      <c r="F62" s="25">
        <f t="shared" si="7"/>
        <v>0</v>
      </c>
      <c r="G62" s="25">
        <f t="shared" si="7"/>
        <v>1196661</v>
      </c>
      <c r="H62" s="25">
        <f t="shared" si="7"/>
        <v>3935134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7567401</v>
      </c>
      <c r="Q62" s="25">
        <f t="shared" si="7"/>
        <v>3450246</v>
      </c>
      <c r="R62" s="25">
        <f t="shared" si="7"/>
        <v>1321862</v>
      </c>
      <c r="S62" s="25">
        <f t="shared" si="7"/>
        <v>2604392</v>
      </c>
      <c r="T62" s="25">
        <f t="shared" si="7"/>
        <v>518313</v>
      </c>
      <c r="U62" s="25">
        <f t="shared" si="7"/>
        <v>7632194</v>
      </c>
      <c r="V62" s="25">
        <f t="shared" si="7"/>
        <v>2119960</v>
      </c>
      <c r="W62" s="25">
        <f t="shared" si="7"/>
        <v>542389</v>
      </c>
      <c r="X62" s="25">
        <f t="shared" si="7"/>
        <v>492597</v>
      </c>
      <c r="Y62" s="25">
        <f t="shared" si="7"/>
        <v>4137053</v>
      </c>
      <c r="Z62" s="25">
        <f t="shared" si="7"/>
        <v>342474</v>
      </c>
      <c r="AA62" s="25">
        <f t="shared" si="7"/>
        <v>147477</v>
      </c>
      <c r="AB62" s="25">
        <f t="shared" si="7"/>
        <v>7985419</v>
      </c>
      <c r="AC62" s="25">
        <f t="shared" si="7"/>
        <v>3940082</v>
      </c>
      <c r="AD62" s="25">
        <f t="shared" si="7"/>
        <v>1208365</v>
      </c>
      <c r="AE62" s="25">
        <f t="shared" si="7"/>
        <v>3414470</v>
      </c>
      <c r="AF62" s="25">
        <f t="shared" si="7"/>
        <v>5373888</v>
      </c>
      <c r="AG62" s="25">
        <f t="shared" si="7"/>
        <v>6047317</v>
      </c>
      <c r="AH62" s="25">
        <f t="shared" si="7"/>
        <v>1113933</v>
      </c>
      <c r="AI62" s="25">
        <f t="shared" ref="AI62:BN62" si="8">ROUND(AI47+AI48,0)</f>
        <v>0</v>
      </c>
      <c r="AJ62" s="25">
        <f t="shared" si="8"/>
        <v>41992795</v>
      </c>
      <c r="AK62" s="25">
        <f t="shared" si="8"/>
        <v>923196</v>
      </c>
      <c r="AL62" s="25">
        <f t="shared" si="8"/>
        <v>765975</v>
      </c>
      <c r="AM62" s="25">
        <f t="shared" si="8"/>
        <v>1075184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54</v>
      </c>
      <c r="AR62" s="25">
        <f t="shared" si="8"/>
        <v>1991559</v>
      </c>
      <c r="AS62" s="25">
        <f t="shared" si="8"/>
        <v>0</v>
      </c>
      <c r="AT62" s="25">
        <f t="shared" si="8"/>
        <v>203492</v>
      </c>
      <c r="AU62" s="25">
        <f t="shared" si="8"/>
        <v>0</v>
      </c>
      <c r="AV62" s="25">
        <f t="shared" si="8"/>
        <v>1708680</v>
      </c>
      <c r="AW62" s="25">
        <f t="shared" si="8"/>
        <v>37268569</v>
      </c>
      <c r="AX62" s="25">
        <f t="shared" si="8"/>
        <v>0</v>
      </c>
      <c r="AY62" s="25">
        <f t="shared" si="8"/>
        <v>3527285</v>
      </c>
      <c r="AZ62" s="25">
        <f t="shared" si="8"/>
        <v>29548</v>
      </c>
      <c r="BA62" s="25">
        <f t="shared" si="8"/>
        <v>106786</v>
      </c>
      <c r="BB62" s="25">
        <f t="shared" si="8"/>
        <v>4380587</v>
      </c>
      <c r="BC62" s="25">
        <f t="shared" si="8"/>
        <v>65666</v>
      </c>
      <c r="BD62" s="25">
        <f t="shared" si="8"/>
        <v>589689</v>
      </c>
      <c r="BE62" s="25">
        <f t="shared" si="8"/>
        <v>6566354</v>
      </c>
      <c r="BF62" s="25">
        <f t="shared" si="8"/>
        <v>3847395</v>
      </c>
      <c r="BG62" s="25">
        <f t="shared" si="8"/>
        <v>535934</v>
      </c>
      <c r="BH62" s="25">
        <f t="shared" si="8"/>
        <v>12275970</v>
      </c>
      <c r="BI62" s="25">
        <f t="shared" si="8"/>
        <v>1022557</v>
      </c>
      <c r="BJ62" s="25">
        <f t="shared" si="8"/>
        <v>1684677</v>
      </c>
      <c r="BK62" s="25">
        <f t="shared" si="8"/>
        <v>5319244</v>
      </c>
      <c r="BL62" s="25">
        <f t="shared" si="8"/>
        <v>2258396</v>
      </c>
      <c r="BM62" s="25">
        <f t="shared" si="8"/>
        <v>0</v>
      </c>
      <c r="BN62" s="25">
        <f t="shared" si="8"/>
        <v>5264104</v>
      </c>
      <c r="BO62" s="25">
        <f t="shared" ref="BO62:CC62" si="9">ROUND(BO47+BO48,0)</f>
        <v>437973</v>
      </c>
      <c r="BP62" s="25">
        <f t="shared" si="9"/>
        <v>1477851</v>
      </c>
      <c r="BQ62" s="25">
        <f t="shared" si="9"/>
        <v>1765692</v>
      </c>
      <c r="BR62" s="25">
        <f t="shared" si="9"/>
        <v>4012729</v>
      </c>
      <c r="BS62" s="25">
        <f t="shared" si="9"/>
        <v>0</v>
      </c>
      <c r="BT62" s="25">
        <f t="shared" si="9"/>
        <v>238694</v>
      </c>
      <c r="BU62" s="25">
        <f t="shared" si="9"/>
        <v>84815</v>
      </c>
      <c r="BV62" s="25">
        <f t="shared" si="9"/>
        <v>658536</v>
      </c>
      <c r="BW62" s="25">
        <f t="shared" si="9"/>
        <v>1146932</v>
      </c>
      <c r="BX62" s="25">
        <f t="shared" si="9"/>
        <v>3977800</v>
      </c>
      <c r="BY62" s="25">
        <f t="shared" si="9"/>
        <v>4193012</v>
      </c>
      <c r="BZ62" s="25">
        <f t="shared" si="9"/>
        <v>2097950</v>
      </c>
      <c r="CA62" s="25">
        <f t="shared" si="9"/>
        <v>0</v>
      </c>
      <c r="CB62" s="25">
        <f t="shared" si="9"/>
        <v>0</v>
      </c>
      <c r="CC62" s="25">
        <f t="shared" si="9"/>
        <v>18946973</v>
      </c>
      <c r="CD62" s="24" t="s">
        <v>246</v>
      </c>
      <c r="CE62" s="25">
        <f t="shared" si="6"/>
        <v>273407448</v>
      </c>
      <c r="CF62" s="301">
        <v>0</v>
      </c>
    </row>
    <row r="63" spans="1:84" x14ac:dyDescent="0.25">
      <c r="A63" s="31" t="s">
        <v>262</v>
      </c>
      <c r="B63" s="16"/>
      <c r="C63" s="304">
        <v>1254454.7000000002</v>
      </c>
      <c r="D63" s="304"/>
      <c r="E63" s="304"/>
      <c r="F63" s="304"/>
      <c r="G63" s="304"/>
      <c r="H63" s="304">
        <v>397815.25</v>
      </c>
      <c r="I63" s="304"/>
      <c r="J63" s="304"/>
      <c r="K63" s="304"/>
      <c r="L63" s="304"/>
      <c r="M63" s="304"/>
      <c r="N63" s="304"/>
      <c r="O63" s="304"/>
      <c r="P63" s="304">
        <v>158738.12000000002</v>
      </c>
      <c r="Q63" s="304"/>
      <c r="R63" s="304">
        <v>1278693.9900000002</v>
      </c>
      <c r="S63" s="304"/>
      <c r="T63" s="304">
        <v>81207.510000000009</v>
      </c>
      <c r="U63" s="304">
        <v>244435</v>
      </c>
      <c r="V63" s="304"/>
      <c r="W63" s="304"/>
      <c r="X63" s="304"/>
      <c r="Y63" s="304">
        <v>1198394.1499999999</v>
      </c>
      <c r="Z63" s="304">
        <v>51637.630000000005</v>
      </c>
      <c r="AA63" s="304"/>
      <c r="AB63" s="304"/>
      <c r="AC63" s="304">
        <v>43214.239999999991</v>
      </c>
      <c r="AD63" s="304">
        <v>195917.77000000002</v>
      </c>
      <c r="AE63" s="304"/>
      <c r="AF63" s="304">
        <v>1511263.41</v>
      </c>
      <c r="AG63" s="304">
        <v>749444.4</v>
      </c>
      <c r="AH63" s="304"/>
      <c r="AI63" s="304"/>
      <c r="AJ63" s="304">
        <v>3840804.2799999993</v>
      </c>
      <c r="AK63" s="304"/>
      <c r="AL63" s="304">
        <v>-2811.4900000000075</v>
      </c>
      <c r="AM63" s="304"/>
      <c r="AN63" s="304"/>
      <c r="AO63" s="304"/>
      <c r="AP63" s="304"/>
      <c r="AQ63" s="304"/>
      <c r="AR63" s="304"/>
      <c r="AS63" s="304"/>
      <c r="AT63" s="304">
        <v>346927.29000000004</v>
      </c>
      <c r="AU63" s="304"/>
      <c r="AV63" s="304">
        <v>1090550.24</v>
      </c>
      <c r="AW63" s="304">
        <v>157988997.17000002</v>
      </c>
      <c r="AX63" s="304"/>
      <c r="AY63" s="304">
        <v>34117.179999999993</v>
      </c>
      <c r="AZ63" s="304"/>
      <c r="BA63" s="304"/>
      <c r="BB63" s="304">
        <v>503718.19999999995</v>
      </c>
      <c r="BC63" s="304"/>
      <c r="BD63" s="304"/>
      <c r="BE63" s="304">
        <v>261164.44999999998</v>
      </c>
      <c r="BF63" s="304"/>
      <c r="BG63" s="304"/>
      <c r="BH63" s="304">
        <v>1171422.3999999999</v>
      </c>
      <c r="BI63" s="304"/>
      <c r="BJ63" s="304"/>
      <c r="BK63" s="304"/>
      <c r="BL63" s="304"/>
      <c r="BM63" s="305"/>
      <c r="BN63" s="304">
        <v>201172.65</v>
      </c>
      <c r="BO63" s="304"/>
      <c r="BP63" s="304"/>
      <c r="BQ63" s="304">
        <v>537246.09</v>
      </c>
      <c r="BR63" s="304">
        <v>0</v>
      </c>
      <c r="BS63" s="304"/>
      <c r="BT63" s="304"/>
      <c r="BU63" s="304"/>
      <c r="BV63" s="304"/>
      <c r="BW63" s="304">
        <v>36822784.120000005</v>
      </c>
      <c r="BX63" s="304">
        <v>616756.39</v>
      </c>
      <c r="BY63" s="304">
        <v>288454.34999999998</v>
      </c>
      <c r="BZ63" s="304"/>
      <c r="CA63" s="304"/>
      <c r="CB63" s="304"/>
      <c r="CC63" s="304">
        <v>17055029.060000002</v>
      </c>
      <c r="CD63" s="24" t="s">
        <v>246</v>
      </c>
      <c r="CE63" s="25">
        <f t="shared" si="6"/>
        <v>227921548.55000001</v>
      </c>
      <c r="CF63" s="301">
        <v>0</v>
      </c>
    </row>
    <row r="64" spans="1:84" x14ac:dyDescent="0.25">
      <c r="A64" s="31" t="s">
        <v>263</v>
      </c>
      <c r="B64" s="16"/>
      <c r="C64" s="304">
        <v>5384525.5300000012</v>
      </c>
      <c r="D64" s="304"/>
      <c r="E64" s="304">
        <v>4858717.0399999991</v>
      </c>
      <c r="F64" s="304"/>
      <c r="G64" s="304">
        <v>175369.75999999998</v>
      </c>
      <c r="H64" s="304">
        <v>215761.97999999998</v>
      </c>
      <c r="I64" s="304"/>
      <c r="J64" s="304"/>
      <c r="K64" s="304"/>
      <c r="L64" s="304"/>
      <c r="M64" s="304"/>
      <c r="N64" s="304"/>
      <c r="O64" s="304"/>
      <c r="P64" s="304">
        <v>37284310.139999993</v>
      </c>
      <c r="Q64" s="304">
        <v>414243.93999999994</v>
      </c>
      <c r="R64" s="304">
        <v>2405615.75</v>
      </c>
      <c r="S64" s="304">
        <v>1376291.4100000001</v>
      </c>
      <c r="T64" s="304">
        <v>208970.03000000003</v>
      </c>
      <c r="U64" s="304">
        <v>11699282.520000003</v>
      </c>
      <c r="V64" s="304">
        <v>621306.93999999994</v>
      </c>
      <c r="W64" s="304">
        <v>66520.88</v>
      </c>
      <c r="X64" s="304">
        <v>99577.69</v>
      </c>
      <c r="Y64" s="304">
        <v>5593995.2999999998</v>
      </c>
      <c r="Z64" s="304">
        <v>82334.8</v>
      </c>
      <c r="AA64" s="304">
        <v>636832.81999999995</v>
      </c>
      <c r="AB64" s="304">
        <v>117361370.45999998</v>
      </c>
      <c r="AC64" s="304">
        <v>3373471.96</v>
      </c>
      <c r="AD64" s="304">
        <v>1163186.2700000003</v>
      </c>
      <c r="AE64" s="304">
        <v>87226.71</v>
      </c>
      <c r="AF64" s="304">
        <v>176747.74</v>
      </c>
      <c r="AG64" s="304">
        <v>2513457.7400000002</v>
      </c>
      <c r="AH64" s="304">
        <v>115210.90000000001</v>
      </c>
      <c r="AI64" s="304"/>
      <c r="AJ64" s="304">
        <v>5205877.6300000008</v>
      </c>
      <c r="AK64" s="304">
        <v>137754.68</v>
      </c>
      <c r="AL64" s="304">
        <v>51863.399999999994</v>
      </c>
      <c r="AM64" s="304">
        <v>17508.63</v>
      </c>
      <c r="AN64" s="304"/>
      <c r="AO64" s="304"/>
      <c r="AP64" s="304"/>
      <c r="AQ64" s="304"/>
      <c r="AR64" s="304">
        <v>12495481.399999999</v>
      </c>
      <c r="AS64" s="304"/>
      <c r="AT64" s="304">
        <v>125395.03999999998</v>
      </c>
      <c r="AU64" s="304"/>
      <c r="AV64" s="304">
        <v>1082462.6399999999</v>
      </c>
      <c r="AW64" s="304">
        <v>21269532.079999991</v>
      </c>
      <c r="AX64" s="304">
        <v>348005.16</v>
      </c>
      <c r="AY64" s="304">
        <v>3663833.8399999989</v>
      </c>
      <c r="AZ64" s="304">
        <v>93575.87999999999</v>
      </c>
      <c r="BA64" s="304">
        <v>10910.35</v>
      </c>
      <c r="BB64" s="304">
        <v>283901.03000000009</v>
      </c>
      <c r="BC64" s="304"/>
      <c r="BD64" s="304">
        <v>154101.74</v>
      </c>
      <c r="BE64" s="304">
        <v>969329.80999999982</v>
      </c>
      <c r="BF64" s="304">
        <v>1600404.88</v>
      </c>
      <c r="BG64" s="304">
        <v>3666.09</v>
      </c>
      <c r="BH64" s="304">
        <v>192463.24000000002</v>
      </c>
      <c r="BI64" s="304">
        <v>70757.14</v>
      </c>
      <c r="BJ64" s="304">
        <v>170591.63999999998</v>
      </c>
      <c r="BK64" s="304">
        <v>151945.53</v>
      </c>
      <c r="BL64" s="304">
        <v>41102.58</v>
      </c>
      <c r="BM64" s="304"/>
      <c r="BN64" s="304">
        <v>103986.23999999998</v>
      </c>
      <c r="BO64" s="304">
        <v>166039.05999999997</v>
      </c>
      <c r="BP64" s="304">
        <v>76345.719999999987</v>
      </c>
      <c r="BQ64" s="304">
        <v>20776.98</v>
      </c>
      <c r="BR64" s="304">
        <v>98883.86</v>
      </c>
      <c r="BS64" s="304"/>
      <c r="BT64" s="304">
        <v>9397.44</v>
      </c>
      <c r="BU64" s="304">
        <v>638.18999999999994</v>
      </c>
      <c r="BV64" s="304">
        <v>15869.509999999998</v>
      </c>
      <c r="BW64" s="304">
        <v>742895.67999999982</v>
      </c>
      <c r="BX64" s="304">
        <v>288054.92</v>
      </c>
      <c r="BY64" s="304">
        <v>58858.189999999995</v>
      </c>
      <c r="BZ64" s="304">
        <v>3085.2700000000009</v>
      </c>
      <c r="CA64" s="304"/>
      <c r="CB64" s="304"/>
      <c r="CC64" s="304">
        <v>-2739961.2400000007</v>
      </c>
      <c r="CD64" s="24" t="s">
        <v>246</v>
      </c>
      <c r="CE64" s="25">
        <f t="shared" si="6"/>
        <v>242899662.53999996</v>
      </c>
      <c r="CF64" s="301">
        <v>0</v>
      </c>
    </row>
    <row r="65" spans="1:84" x14ac:dyDescent="0.25">
      <c r="A65" s="31" t="s">
        <v>264</v>
      </c>
      <c r="B65" s="16"/>
      <c r="C65" s="304">
        <v>0</v>
      </c>
      <c r="D65" s="304">
        <v>0</v>
      </c>
      <c r="E65" s="304">
        <v>0</v>
      </c>
      <c r="F65" s="304">
        <v>0</v>
      </c>
      <c r="G65" s="304">
        <v>0</v>
      </c>
      <c r="H65" s="304">
        <v>0</v>
      </c>
      <c r="I65" s="304">
        <v>0</v>
      </c>
      <c r="J65" s="304">
        <v>0</v>
      </c>
      <c r="K65" s="304">
        <v>0</v>
      </c>
      <c r="L65" s="304">
        <v>0</v>
      </c>
      <c r="M65" s="304">
        <v>0</v>
      </c>
      <c r="N65" s="304">
        <v>0</v>
      </c>
      <c r="O65" s="304">
        <v>0</v>
      </c>
      <c r="P65" s="304">
        <v>0</v>
      </c>
      <c r="Q65" s="304">
        <v>0</v>
      </c>
      <c r="R65" s="304">
        <v>0</v>
      </c>
      <c r="S65" s="304">
        <v>0</v>
      </c>
      <c r="T65" s="304">
        <v>0</v>
      </c>
      <c r="U65" s="304">
        <v>0</v>
      </c>
      <c r="V65" s="304">
        <v>0</v>
      </c>
      <c r="W65" s="304">
        <v>0</v>
      </c>
      <c r="X65" s="304">
        <v>0</v>
      </c>
      <c r="Y65" s="304">
        <v>0</v>
      </c>
      <c r="Z65" s="304">
        <v>0</v>
      </c>
      <c r="AA65" s="304">
        <v>0</v>
      </c>
      <c r="AB65" s="304">
        <v>0</v>
      </c>
      <c r="AC65" s="304">
        <v>0</v>
      </c>
      <c r="AD65" s="304">
        <v>0</v>
      </c>
      <c r="AE65" s="304">
        <v>0</v>
      </c>
      <c r="AF65" s="304">
        <v>0</v>
      </c>
      <c r="AG65" s="304">
        <v>0</v>
      </c>
      <c r="AH65" s="304">
        <v>0</v>
      </c>
      <c r="AI65" s="304">
        <v>0</v>
      </c>
      <c r="AJ65" s="304">
        <v>0</v>
      </c>
      <c r="AK65" s="304">
        <v>0</v>
      </c>
      <c r="AL65" s="304">
        <v>0</v>
      </c>
      <c r="AM65" s="304">
        <v>0</v>
      </c>
      <c r="AN65" s="304">
        <v>0</v>
      </c>
      <c r="AO65" s="304">
        <v>0</v>
      </c>
      <c r="AP65" s="304">
        <v>0</v>
      </c>
      <c r="AQ65" s="304">
        <v>0</v>
      </c>
      <c r="AR65" s="304">
        <v>0</v>
      </c>
      <c r="AS65" s="304">
        <v>0</v>
      </c>
      <c r="AT65" s="304">
        <v>0</v>
      </c>
      <c r="AU65" s="304">
        <v>0</v>
      </c>
      <c r="AV65" s="304">
        <v>0</v>
      </c>
      <c r="AW65" s="304">
        <v>0</v>
      </c>
      <c r="AX65" s="304">
        <v>0</v>
      </c>
      <c r="AY65" s="304">
        <v>0</v>
      </c>
      <c r="AZ65" s="304">
        <v>0</v>
      </c>
      <c r="BA65" s="304">
        <v>0</v>
      </c>
      <c r="BB65" s="304">
        <v>0</v>
      </c>
      <c r="BC65" s="304">
        <v>0</v>
      </c>
      <c r="BD65" s="304">
        <v>0</v>
      </c>
      <c r="BE65" s="304">
        <v>0</v>
      </c>
      <c r="BF65" s="304">
        <v>0</v>
      </c>
      <c r="BG65" s="304">
        <v>0</v>
      </c>
      <c r="BH65" s="304">
        <v>0</v>
      </c>
      <c r="BI65" s="304">
        <v>0</v>
      </c>
      <c r="BJ65" s="304">
        <v>0</v>
      </c>
      <c r="BK65" s="304">
        <v>0</v>
      </c>
      <c r="BL65" s="304">
        <v>0</v>
      </c>
      <c r="BM65" s="304">
        <v>0</v>
      </c>
      <c r="BN65" s="304">
        <v>0</v>
      </c>
      <c r="BO65" s="304">
        <v>0</v>
      </c>
      <c r="BP65" s="304">
        <v>0</v>
      </c>
      <c r="BQ65" s="304">
        <v>0</v>
      </c>
      <c r="BR65" s="304">
        <v>0</v>
      </c>
      <c r="BS65" s="304">
        <v>0</v>
      </c>
      <c r="BT65" s="304">
        <v>0</v>
      </c>
      <c r="BU65" s="304">
        <v>0</v>
      </c>
      <c r="BV65" s="304">
        <v>0</v>
      </c>
      <c r="BW65" s="304">
        <v>0</v>
      </c>
      <c r="BX65" s="304">
        <v>0</v>
      </c>
      <c r="BY65" s="304">
        <v>0</v>
      </c>
      <c r="BZ65" s="304">
        <v>0</v>
      </c>
      <c r="CA65" s="304">
        <v>0</v>
      </c>
      <c r="CB65" s="304">
        <v>0</v>
      </c>
      <c r="CC65" s="304">
        <v>0</v>
      </c>
      <c r="CD65" s="24" t="s">
        <v>246</v>
      </c>
      <c r="CE65" s="25">
        <f t="shared" si="6"/>
        <v>0</v>
      </c>
      <c r="CF65" s="301">
        <v>0</v>
      </c>
    </row>
    <row r="66" spans="1:84" x14ac:dyDescent="0.25">
      <c r="A66" s="31" t="s">
        <v>265</v>
      </c>
      <c r="B66" s="16"/>
      <c r="C66" s="304">
        <v>118368.84</v>
      </c>
      <c r="D66" s="304"/>
      <c r="E66" s="304">
        <v>157975.74</v>
      </c>
      <c r="F66" s="304"/>
      <c r="G66" s="304">
        <v>11939.75</v>
      </c>
      <c r="H66" s="304">
        <v>10640.220000000001</v>
      </c>
      <c r="I66" s="304"/>
      <c r="J66" s="304"/>
      <c r="K66" s="304"/>
      <c r="L66" s="304"/>
      <c r="M66" s="304"/>
      <c r="N66" s="304"/>
      <c r="O66" s="304"/>
      <c r="P66" s="304">
        <v>1423240.79</v>
      </c>
      <c r="Q66" s="304">
        <v>1497</v>
      </c>
      <c r="R66" s="304">
        <v>3773.0099999999998</v>
      </c>
      <c r="S66" s="304">
        <v>3283029.85</v>
      </c>
      <c r="T66" s="304">
        <v>0</v>
      </c>
      <c r="U66" s="304">
        <v>705746.35999999987</v>
      </c>
      <c r="V66" s="304">
        <v>286640.99</v>
      </c>
      <c r="W66" s="304">
        <v>4201.45</v>
      </c>
      <c r="X66" s="304">
        <v>3293.1299999999997</v>
      </c>
      <c r="Y66" s="304">
        <v>506139.65</v>
      </c>
      <c r="Z66" s="304">
        <v>835116.17999999993</v>
      </c>
      <c r="AA66" s="304">
        <v>10703.310000000001</v>
      </c>
      <c r="AB66" s="304">
        <v>34774.680000000008</v>
      </c>
      <c r="AC66" s="304">
        <v>8380.4699999999993</v>
      </c>
      <c r="AD66" s="304">
        <v>41211.35</v>
      </c>
      <c r="AE66" s="304">
        <v>373328.52</v>
      </c>
      <c r="AF66" s="304">
        <v>72844.079999999987</v>
      </c>
      <c r="AG66" s="304">
        <v>83514.45</v>
      </c>
      <c r="AH66" s="304">
        <v>729008.41</v>
      </c>
      <c r="AI66" s="304"/>
      <c r="AJ66" s="304">
        <v>5583641.2399999984</v>
      </c>
      <c r="AK66" s="304">
        <v>178.57</v>
      </c>
      <c r="AL66" s="304">
        <v>14567.9</v>
      </c>
      <c r="AM66" s="304">
        <v>697.88000000000011</v>
      </c>
      <c r="AN66" s="304"/>
      <c r="AO66" s="304"/>
      <c r="AP66" s="304"/>
      <c r="AQ66" s="304"/>
      <c r="AR66" s="304">
        <v>57358.59</v>
      </c>
      <c r="AS66" s="304"/>
      <c r="AT66" s="304">
        <v>3818173.5799999996</v>
      </c>
      <c r="AU66" s="304"/>
      <c r="AV66" s="304">
        <v>3262.3199999999997</v>
      </c>
      <c r="AW66" s="304">
        <v>78993505.299999997</v>
      </c>
      <c r="AX66" s="304">
        <v>434324.02000000008</v>
      </c>
      <c r="AY66" s="304">
        <v>136362.88</v>
      </c>
      <c r="AZ66" s="304"/>
      <c r="BA66" s="304">
        <f>3879152.47-3879153</f>
        <v>-0.52999999979510903</v>
      </c>
      <c r="BB66" s="304">
        <v>5264436.5099999988</v>
      </c>
      <c r="BC66" s="304"/>
      <c r="BD66" s="304">
        <v>240137.69</v>
      </c>
      <c r="BE66" s="304">
        <v>13743323.5</v>
      </c>
      <c r="BF66" s="304">
        <v>1154442.22</v>
      </c>
      <c r="BG66" s="304">
        <v>1046825.14</v>
      </c>
      <c r="BH66" s="304">
        <v>19910740.289999995</v>
      </c>
      <c r="BI66" s="304">
        <v>2325090.91</v>
      </c>
      <c r="BJ66" s="304">
        <v>2387045</v>
      </c>
      <c r="BK66" s="304">
        <v>2499242.41</v>
      </c>
      <c r="BL66" s="304">
        <v>3852.61</v>
      </c>
      <c r="BM66" s="304"/>
      <c r="BN66" s="304">
        <v>9840312.209999999</v>
      </c>
      <c r="BO66" s="304">
        <v>-16041.230000000001</v>
      </c>
      <c r="BP66" s="304">
        <v>4267444.9399999995</v>
      </c>
      <c r="BQ66" s="304">
        <v>1271034.29</v>
      </c>
      <c r="BR66" s="304">
        <v>3143256.86</v>
      </c>
      <c r="BS66" s="304"/>
      <c r="BT66" s="304">
        <v>4902.32</v>
      </c>
      <c r="BU66" s="304">
        <v>5174.9799999999996</v>
      </c>
      <c r="BV66" s="304">
        <v>112979.77999999998</v>
      </c>
      <c r="BW66" s="304">
        <v>279598.55000000005</v>
      </c>
      <c r="BX66" s="304">
        <v>1163679.3800000001</v>
      </c>
      <c r="BY66" s="304">
        <v>179783.39</v>
      </c>
      <c r="BZ66" s="304">
        <v>3494.26</v>
      </c>
      <c r="CA66" s="304"/>
      <c r="CB66" s="304"/>
      <c r="CC66" s="304">
        <f>10213349.39</f>
        <v>10213349.390000001</v>
      </c>
      <c r="CD66" s="24" t="s">
        <v>246</v>
      </c>
      <c r="CE66" s="25">
        <f t="shared" si="6"/>
        <v>176791545.38</v>
      </c>
      <c r="CF66" s="301">
        <v>0</v>
      </c>
    </row>
    <row r="67" spans="1:84" x14ac:dyDescent="0.25">
      <c r="A67" s="31" t="s">
        <v>14</v>
      </c>
      <c r="B67" s="16"/>
      <c r="C67" s="25">
        <f t="shared" ref="C67:AH67" si="10">ROUND(C51+C52,0)</f>
        <v>15179830</v>
      </c>
      <c r="D67" s="25">
        <f t="shared" si="10"/>
        <v>0</v>
      </c>
      <c r="E67" s="25">
        <f t="shared" si="10"/>
        <v>33849934</v>
      </c>
      <c r="F67" s="25">
        <f t="shared" si="10"/>
        <v>0</v>
      </c>
      <c r="G67" s="25">
        <f t="shared" si="10"/>
        <v>2099411</v>
      </c>
      <c r="H67" s="25">
        <f t="shared" si="10"/>
        <v>6236933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18385177</v>
      </c>
      <c r="Q67" s="25">
        <f t="shared" si="10"/>
        <v>2438853</v>
      </c>
      <c r="R67" s="25">
        <f t="shared" si="10"/>
        <v>1426942</v>
      </c>
      <c r="S67" s="25">
        <f t="shared" si="10"/>
        <v>6644895</v>
      </c>
      <c r="T67" s="25">
        <f t="shared" si="10"/>
        <v>76013</v>
      </c>
      <c r="U67" s="25">
        <f t="shared" si="10"/>
        <v>8165688</v>
      </c>
      <c r="V67" s="25">
        <f t="shared" si="10"/>
        <v>1634213</v>
      </c>
      <c r="W67" s="25">
        <f t="shared" si="10"/>
        <v>1918212</v>
      </c>
      <c r="X67" s="25">
        <f t="shared" si="10"/>
        <v>526534</v>
      </c>
      <c r="Y67" s="25">
        <f t="shared" si="10"/>
        <v>7004728</v>
      </c>
      <c r="Z67" s="25">
        <f t="shared" si="10"/>
        <v>385937</v>
      </c>
      <c r="AA67" s="25">
        <f t="shared" si="10"/>
        <v>240482</v>
      </c>
      <c r="AB67" s="25">
        <f t="shared" si="10"/>
        <v>4785362</v>
      </c>
      <c r="AC67" s="25">
        <f t="shared" si="10"/>
        <v>683364</v>
      </c>
      <c r="AD67" s="25">
        <f t="shared" si="10"/>
        <v>1430205</v>
      </c>
      <c r="AE67" s="25">
        <f t="shared" si="10"/>
        <v>1152174</v>
      </c>
      <c r="AF67" s="25">
        <f t="shared" si="10"/>
        <v>4184316</v>
      </c>
      <c r="AG67" s="25">
        <f t="shared" si="10"/>
        <v>6297932</v>
      </c>
      <c r="AH67" s="25">
        <f t="shared" si="10"/>
        <v>6875653</v>
      </c>
      <c r="AI67" s="25">
        <f t="shared" ref="AI67:BN67" si="11">ROUND(AI51+AI52,0)</f>
        <v>0</v>
      </c>
      <c r="AJ67" s="25">
        <f t="shared" si="11"/>
        <v>29631336</v>
      </c>
      <c r="AK67" s="25">
        <f t="shared" si="11"/>
        <v>610614</v>
      </c>
      <c r="AL67" s="25">
        <f t="shared" si="11"/>
        <v>275026</v>
      </c>
      <c r="AM67" s="25">
        <f t="shared" si="11"/>
        <v>825666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3617</v>
      </c>
      <c r="AS67" s="25">
        <f t="shared" si="11"/>
        <v>0</v>
      </c>
      <c r="AT67" s="25">
        <f t="shared" si="11"/>
        <v>136326</v>
      </c>
      <c r="AU67" s="25">
        <f t="shared" si="11"/>
        <v>0</v>
      </c>
      <c r="AV67" s="25">
        <f t="shared" si="11"/>
        <v>68479</v>
      </c>
      <c r="AW67" s="25">
        <f t="shared" si="11"/>
        <v>563962</v>
      </c>
      <c r="AX67" s="25">
        <f t="shared" si="11"/>
        <v>0</v>
      </c>
      <c r="AY67" s="25">
        <f t="shared" si="11"/>
        <v>5324817</v>
      </c>
      <c r="AZ67" s="25">
        <f t="shared" si="11"/>
        <v>133307</v>
      </c>
      <c r="BA67" s="25">
        <f t="shared" si="11"/>
        <v>124591</v>
      </c>
      <c r="BB67" s="25">
        <f t="shared" si="11"/>
        <v>1919303</v>
      </c>
      <c r="BC67" s="25">
        <f t="shared" si="11"/>
        <v>94996</v>
      </c>
      <c r="BD67" s="25">
        <f t="shared" si="11"/>
        <v>0</v>
      </c>
      <c r="BE67" s="25">
        <f t="shared" si="11"/>
        <v>47307730</v>
      </c>
      <c r="BF67" s="25">
        <f t="shared" si="11"/>
        <v>896430</v>
      </c>
      <c r="BG67" s="25">
        <f t="shared" si="11"/>
        <v>202547</v>
      </c>
      <c r="BH67" s="25">
        <f t="shared" si="11"/>
        <v>1518895</v>
      </c>
      <c r="BI67" s="25">
        <f t="shared" si="11"/>
        <v>370393</v>
      </c>
      <c r="BJ67" s="25">
        <f t="shared" si="11"/>
        <v>0</v>
      </c>
      <c r="BK67" s="25">
        <f t="shared" si="11"/>
        <v>0</v>
      </c>
      <c r="BL67" s="25">
        <f t="shared" si="11"/>
        <v>526891</v>
      </c>
      <c r="BM67" s="25">
        <f t="shared" si="11"/>
        <v>0</v>
      </c>
      <c r="BN67" s="25">
        <f t="shared" si="11"/>
        <v>2278147</v>
      </c>
      <c r="BO67" s="25">
        <f t="shared" ref="BO67:CC67" si="12">ROUND(BO51+BO52,0)</f>
        <v>66283</v>
      </c>
      <c r="BP67" s="25">
        <f t="shared" si="12"/>
        <v>367970</v>
      </c>
      <c r="BQ67" s="25">
        <f t="shared" si="12"/>
        <v>947758</v>
      </c>
      <c r="BR67" s="25">
        <f t="shared" si="12"/>
        <v>5830</v>
      </c>
      <c r="BS67" s="25">
        <f t="shared" si="12"/>
        <v>69634</v>
      </c>
      <c r="BT67" s="25">
        <f t="shared" si="12"/>
        <v>543692</v>
      </c>
      <c r="BU67" s="25">
        <f t="shared" si="12"/>
        <v>387153</v>
      </c>
      <c r="BV67" s="25">
        <f t="shared" si="12"/>
        <v>31421</v>
      </c>
      <c r="BW67" s="25">
        <f t="shared" si="12"/>
        <v>2637217</v>
      </c>
      <c r="BX67" s="25">
        <f t="shared" si="12"/>
        <v>658030</v>
      </c>
      <c r="BY67" s="25">
        <f t="shared" si="12"/>
        <v>545501</v>
      </c>
      <c r="BZ67" s="25">
        <f t="shared" si="12"/>
        <v>13581</v>
      </c>
      <c r="CA67" s="25">
        <f t="shared" si="12"/>
        <v>0</v>
      </c>
      <c r="CB67" s="25">
        <f t="shared" si="12"/>
        <v>0</v>
      </c>
      <c r="CC67" s="25">
        <f t="shared" si="12"/>
        <v>7111513</v>
      </c>
      <c r="CD67" s="24" t="s">
        <v>246</v>
      </c>
      <c r="CE67" s="25">
        <f t="shared" si="6"/>
        <v>237821444</v>
      </c>
      <c r="CF67" s="301">
        <v>0</v>
      </c>
    </row>
    <row r="68" spans="1:84" x14ac:dyDescent="0.25">
      <c r="A68" s="31" t="s">
        <v>266</v>
      </c>
      <c r="B68" s="25"/>
      <c r="C68" s="304">
        <v>10368.109999999999</v>
      </c>
      <c r="D68" s="304"/>
      <c r="E68" s="304">
        <v>27617.319999999996</v>
      </c>
      <c r="F68" s="304"/>
      <c r="G68" s="304">
        <v>0</v>
      </c>
      <c r="H68" s="304"/>
      <c r="I68" s="304"/>
      <c r="J68" s="304"/>
      <c r="K68" s="304"/>
      <c r="L68" s="304"/>
      <c r="M68" s="304"/>
      <c r="N68" s="304"/>
      <c r="O68" s="304"/>
      <c r="P68" s="304">
        <v>422358.36</v>
      </c>
      <c r="Q68" s="304"/>
      <c r="R68" s="304"/>
      <c r="S68" s="304">
        <v>587597.77</v>
      </c>
      <c r="T68" s="304"/>
      <c r="U68" s="304"/>
      <c r="V68" s="304">
        <v>451757.48</v>
      </c>
      <c r="W68" s="304"/>
      <c r="X68" s="304"/>
      <c r="Y68" s="304"/>
      <c r="Z68" s="304"/>
      <c r="AA68" s="304"/>
      <c r="AB68" s="304"/>
      <c r="AC68" s="304">
        <v>73139.53</v>
      </c>
      <c r="AD68" s="304"/>
      <c r="AE68" s="304"/>
      <c r="AF68" s="304">
        <v>0</v>
      </c>
      <c r="AG68" s="304">
        <v>0</v>
      </c>
      <c r="AH68" s="304"/>
      <c r="AI68" s="304"/>
      <c r="AJ68" s="304">
        <v>1604543.7600000002</v>
      </c>
      <c r="AK68" s="304"/>
      <c r="AL68" s="304"/>
      <c r="AM68" s="304"/>
      <c r="AN68" s="304"/>
      <c r="AO68" s="304"/>
      <c r="AP68" s="304"/>
      <c r="AQ68" s="304"/>
      <c r="AR68" s="304">
        <v>600041.11</v>
      </c>
      <c r="AS68" s="304"/>
      <c r="AT68" s="304"/>
      <c r="AU68" s="304"/>
      <c r="AV68" s="304"/>
      <c r="AW68" s="304">
        <v>7890692.2600000016</v>
      </c>
      <c r="AX68" s="304">
        <v>408885.41000000003</v>
      </c>
      <c r="AY68" s="304"/>
      <c r="AZ68" s="304"/>
      <c r="BA68" s="304"/>
      <c r="BB68" s="304">
        <v>577.57000000000005</v>
      </c>
      <c r="BC68" s="304"/>
      <c r="BD68" s="304"/>
      <c r="BE68" s="304">
        <v>1393355.2500000002</v>
      </c>
      <c r="BF68" s="304"/>
      <c r="BG68" s="304"/>
      <c r="BH68" s="304">
        <v>907957.24000000011</v>
      </c>
      <c r="BI68" s="304">
        <v>1875984.9500000002</v>
      </c>
      <c r="BJ68" s="304"/>
      <c r="BK68" s="304"/>
      <c r="BL68" s="304"/>
      <c r="BM68" s="304"/>
      <c r="BN68" s="304">
        <v>0</v>
      </c>
      <c r="BO68" s="304"/>
      <c r="BP68" s="304"/>
      <c r="BQ68" s="304"/>
      <c r="BR68" s="304"/>
      <c r="BS68" s="304"/>
      <c r="BT68" s="304"/>
      <c r="BU68" s="304"/>
      <c r="BV68" s="304"/>
      <c r="BW68" s="304">
        <v>0</v>
      </c>
      <c r="BX68" s="304"/>
      <c r="BY68" s="304">
        <v>0</v>
      </c>
      <c r="BZ68" s="304"/>
      <c r="CA68" s="304"/>
      <c r="CB68" s="304"/>
      <c r="CC68" s="304">
        <v>15373361.76</v>
      </c>
      <c r="CD68" s="24" t="s">
        <v>246</v>
      </c>
      <c r="CE68" s="25">
        <f t="shared" si="6"/>
        <v>31628237.880000003</v>
      </c>
      <c r="CF68" s="301">
        <v>0</v>
      </c>
    </row>
    <row r="69" spans="1:84" x14ac:dyDescent="0.25">
      <c r="A69" s="31" t="s">
        <v>267</v>
      </c>
      <c r="B69" s="16"/>
      <c r="C69" s="25">
        <f t="shared" ref="C69:AH69" si="13">SUM(C70:C83)</f>
        <v>13465034.910000002</v>
      </c>
      <c r="D69" s="25">
        <f t="shared" si="13"/>
        <v>0</v>
      </c>
      <c r="E69" s="25">
        <f t="shared" si="13"/>
        <v>2525912.27</v>
      </c>
      <c r="F69" s="25">
        <f t="shared" si="13"/>
        <v>0</v>
      </c>
      <c r="G69" s="25">
        <f t="shared" si="13"/>
        <v>37227.620000000003</v>
      </c>
      <c r="H69" s="25">
        <f t="shared" si="13"/>
        <v>2077231.27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3575913.64</v>
      </c>
      <c r="Q69" s="25">
        <f t="shared" si="13"/>
        <v>53280.479999999996</v>
      </c>
      <c r="R69" s="25">
        <f t="shared" si="13"/>
        <v>249512.27</v>
      </c>
      <c r="S69" s="25">
        <f t="shared" si="13"/>
        <v>1371490.87</v>
      </c>
      <c r="T69" s="25">
        <f t="shared" si="13"/>
        <v>3733.68</v>
      </c>
      <c r="U69" s="25">
        <f t="shared" si="13"/>
        <v>21084810.84</v>
      </c>
      <c r="V69" s="25">
        <f t="shared" si="13"/>
        <v>407977.0199999999</v>
      </c>
      <c r="W69" s="25">
        <f t="shared" si="13"/>
        <v>754202.90000000014</v>
      </c>
      <c r="X69" s="25">
        <f t="shared" si="13"/>
        <v>617457.31999999983</v>
      </c>
      <c r="Y69" s="25">
        <f t="shared" si="13"/>
        <v>3436211.49</v>
      </c>
      <c r="Z69" s="25">
        <f t="shared" si="13"/>
        <v>19615.62</v>
      </c>
      <c r="AA69" s="25">
        <f t="shared" si="13"/>
        <v>245099.36000000002</v>
      </c>
      <c r="AB69" s="25">
        <f t="shared" si="13"/>
        <v>529579.78</v>
      </c>
      <c r="AC69" s="25">
        <f t="shared" si="13"/>
        <v>4301461.78</v>
      </c>
      <c r="AD69" s="25">
        <f t="shared" si="13"/>
        <v>270577.74</v>
      </c>
      <c r="AE69" s="25">
        <f t="shared" si="13"/>
        <v>2024481.34</v>
      </c>
      <c r="AF69" s="25">
        <f t="shared" si="13"/>
        <v>272325.83999999997</v>
      </c>
      <c r="AG69" s="25">
        <f t="shared" si="13"/>
        <v>4992125.6000000006</v>
      </c>
      <c r="AH69" s="25">
        <f t="shared" si="13"/>
        <v>44991.649999999994</v>
      </c>
      <c r="AI69" s="25">
        <f>SUM(AI70:AI83)</f>
        <v>0</v>
      </c>
      <c r="AJ69" s="25">
        <f>SUM(AJ70:AJ83)</f>
        <v>3653626.2999999989</v>
      </c>
      <c r="AK69" s="25">
        <f>SUM(AK70:AK83)</f>
        <v>8651.51</v>
      </c>
      <c r="AL69" s="25">
        <f>SUM(AL70:AL83)</f>
        <v>22411.059999999998</v>
      </c>
      <c r="AM69" s="25">
        <f t="shared" ref="AM69:BN69" si="14">SUM(AM70:AM83)</f>
        <v>3808.2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441640.08000000007</v>
      </c>
      <c r="AS69" s="25">
        <f t="shared" si="14"/>
        <v>0</v>
      </c>
      <c r="AT69" s="25">
        <f t="shared" si="14"/>
        <v>10563.819999999998</v>
      </c>
      <c r="AU69" s="25">
        <f t="shared" si="14"/>
        <v>0</v>
      </c>
      <c r="AV69" s="25">
        <f t="shared" si="14"/>
        <v>183566.38999999998</v>
      </c>
      <c r="AW69" s="25">
        <f t="shared" si="14"/>
        <v>51458372.990000024</v>
      </c>
      <c r="AX69" s="25">
        <f t="shared" si="14"/>
        <v>6621</v>
      </c>
      <c r="AY69" s="25">
        <f t="shared" si="14"/>
        <v>250126.33000000002</v>
      </c>
      <c r="AZ69" s="25">
        <f t="shared" si="14"/>
        <v>2139.9100000000003</v>
      </c>
      <c r="BA69" s="25">
        <f t="shared" si="14"/>
        <v>3879152</v>
      </c>
      <c r="BB69" s="25">
        <f t="shared" si="14"/>
        <v>365832.28</v>
      </c>
      <c r="BC69" s="25">
        <f t="shared" si="14"/>
        <v>0</v>
      </c>
      <c r="BD69" s="25">
        <f t="shared" si="14"/>
        <v>99250.45</v>
      </c>
      <c r="BE69" s="25">
        <f t="shared" si="14"/>
        <v>25000523.990000002</v>
      </c>
      <c r="BF69" s="25">
        <f t="shared" si="14"/>
        <v>1255214.1399999999</v>
      </c>
      <c r="BG69" s="25">
        <f t="shared" si="14"/>
        <v>1982264.3200000001</v>
      </c>
      <c r="BH69" s="25">
        <f t="shared" si="14"/>
        <v>32481939.289999999</v>
      </c>
      <c r="BI69" s="25">
        <f t="shared" si="14"/>
        <v>195950.34999999992</v>
      </c>
      <c r="BJ69" s="25">
        <f t="shared" si="14"/>
        <v>4215976.5599999996</v>
      </c>
      <c r="BK69" s="25">
        <f t="shared" si="14"/>
        <v>1611184.5</v>
      </c>
      <c r="BL69" s="25">
        <f t="shared" si="14"/>
        <v>379.92</v>
      </c>
      <c r="BM69" s="25">
        <f t="shared" si="14"/>
        <v>0</v>
      </c>
      <c r="BN69" s="25">
        <f t="shared" si="14"/>
        <v>11788767.07</v>
      </c>
      <c r="BO69" s="25">
        <f t="shared" ref="BO69:CD69" si="15">SUM(BO70:BO83)</f>
        <v>11371.970000000001</v>
      </c>
      <c r="BP69" s="25">
        <f t="shared" si="15"/>
        <v>8502.469999999932</v>
      </c>
      <c r="BQ69" s="25">
        <f t="shared" si="15"/>
        <v>124501.23999999999</v>
      </c>
      <c r="BR69" s="25">
        <f t="shared" si="15"/>
        <v>1496519.29</v>
      </c>
      <c r="BS69" s="25">
        <f t="shared" si="15"/>
        <v>0</v>
      </c>
      <c r="BT69" s="25">
        <f t="shared" si="15"/>
        <v>7491.53</v>
      </c>
      <c r="BU69" s="25">
        <f t="shared" si="15"/>
        <v>1062332.29</v>
      </c>
      <c r="BV69" s="25">
        <f t="shared" si="15"/>
        <v>179949.07000000004</v>
      </c>
      <c r="BW69" s="25">
        <f t="shared" si="15"/>
        <v>409603.06000000006</v>
      </c>
      <c r="BX69" s="25">
        <f t="shared" si="15"/>
        <v>811096.37</v>
      </c>
      <c r="BY69" s="25">
        <f t="shared" si="15"/>
        <v>246142.2</v>
      </c>
      <c r="BZ69" s="25">
        <f t="shared" si="15"/>
        <v>47774.840000000004</v>
      </c>
      <c r="CA69" s="25">
        <f t="shared" si="15"/>
        <v>0</v>
      </c>
      <c r="CB69" s="25">
        <f t="shared" si="15"/>
        <v>0</v>
      </c>
      <c r="CC69" s="25">
        <f t="shared" si="15"/>
        <v>58084302.160000004</v>
      </c>
      <c r="CD69" s="25">
        <f t="shared" si="15"/>
        <v>0</v>
      </c>
      <c r="CE69" s="25">
        <f>SUM(CE70:CE83)</f>
        <v>263767804.24000001</v>
      </c>
      <c r="CF69" s="301">
        <v>0</v>
      </c>
    </row>
    <row r="70" spans="1:84" x14ac:dyDescent="0.25">
      <c r="A70" s="26" t="s">
        <v>268</v>
      </c>
      <c r="B70" s="27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>
        <v>3980322.47</v>
      </c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8"/>
      <c r="BH70" s="238"/>
      <c r="BI70" s="238"/>
      <c r="BJ70" s="238"/>
      <c r="BK70" s="238"/>
      <c r="BL70" s="238"/>
      <c r="BM70" s="238"/>
      <c r="BN70" s="238"/>
      <c r="BO70" s="238"/>
      <c r="BP70" s="238"/>
      <c r="BQ70" s="238"/>
      <c r="BR70" s="238"/>
      <c r="BS70" s="238"/>
      <c r="BT70" s="238"/>
      <c r="BU70" s="238"/>
      <c r="BV70" s="238"/>
      <c r="BW70" s="238"/>
      <c r="BX70" s="238"/>
      <c r="BY70" s="238"/>
      <c r="BZ70" s="238"/>
      <c r="CA70" s="238"/>
      <c r="CB70" s="238"/>
      <c r="CC70" s="238"/>
      <c r="CD70" s="238">
        <v>0</v>
      </c>
      <c r="CE70" s="25">
        <f t="shared" ref="CE70:CE85" si="16">SUM(C70:CD70)</f>
        <v>3980322.47</v>
      </c>
      <c r="CF70" s="301">
        <v>0</v>
      </c>
    </row>
    <row r="71" spans="1:84" x14ac:dyDescent="0.25">
      <c r="A71" s="26" t="s">
        <v>269</v>
      </c>
      <c r="B71" s="27"/>
      <c r="C71" s="238">
        <v>12319781.75</v>
      </c>
      <c r="D71" s="238"/>
      <c r="E71" s="238">
        <v>2320744.2400000002</v>
      </c>
      <c r="F71" s="238"/>
      <c r="G71" s="238">
        <v>28804.43</v>
      </c>
      <c r="H71" s="238">
        <v>1814853.8699999999</v>
      </c>
      <c r="I71" s="238"/>
      <c r="J71" s="238"/>
      <c r="K71" s="238"/>
      <c r="L71" s="238"/>
      <c r="M71" s="238"/>
      <c r="N71" s="238"/>
      <c r="O71" s="238"/>
      <c r="P71" s="238">
        <v>1886199.04</v>
      </c>
      <c r="Q71" s="238">
        <v>24112.36</v>
      </c>
      <c r="R71" s="238">
        <v>172009.41</v>
      </c>
      <c r="S71" s="238">
        <v>798107.1100000001</v>
      </c>
      <c r="T71" s="238">
        <v>0</v>
      </c>
      <c r="U71" s="238">
        <v>7042.38</v>
      </c>
      <c r="V71" s="238">
        <v>0</v>
      </c>
      <c r="W71" s="238">
        <v>29910.760000000002</v>
      </c>
      <c r="X71" s="238"/>
      <c r="Y71" s="238">
        <v>1126315.33</v>
      </c>
      <c r="Z71" s="238">
        <v>0</v>
      </c>
      <c r="AA71" s="238"/>
      <c r="AB71" s="238">
        <v>0</v>
      </c>
      <c r="AC71" s="238">
        <v>4109658.9400000004</v>
      </c>
      <c r="AD71" s="238">
        <v>166036.62999999998</v>
      </c>
      <c r="AE71" s="238"/>
      <c r="AF71" s="238">
        <v>221.39</v>
      </c>
      <c r="AG71" s="238">
        <v>4840603.3599999994</v>
      </c>
      <c r="AH71" s="238">
        <v>0</v>
      </c>
      <c r="AI71" s="238"/>
      <c r="AJ71" s="238">
        <v>41988.179999999993</v>
      </c>
      <c r="AK71" s="238"/>
      <c r="AL71" s="238"/>
      <c r="AM71" s="238"/>
      <c r="AN71" s="238"/>
      <c r="AO71" s="238"/>
      <c r="AP71" s="238"/>
      <c r="AQ71" s="238"/>
      <c r="AR71" s="238">
        <v>21605.83</v>
      </c>
      <c r="AS71" s="238"/>
      <c r="AT71" s="238"/>
      <c r="AU71" s="238"/>
      <c r="AV71" s="238"/>
      <c r="AW71" s="238">
        <v>2464274.6100000003</v>
      </c>
      <c r="AX71" s="238"/>
      <c r="AY71" s="238"/>
      <c r="AZ71" s="238"/>
      <c r="BA71" s="238"/>
      <c r="BB71" s="238">
        <v>54542.119999999995</v>
      </c>
      <c r="BC71" s="238"/>
      <c r="BD71" s="238">
        <v>0</v>
      </c>
      <c r="BE71" s="238">
        <v>235999.73</v>
      </c>
      <c r="BF71" s="238"/>
      <c r="BG71" s="238">
        <v>6768</v>
      </c>
      <c r="BH71" s="238">
        <v>98488</v>
      </c>
      <c r="BI71" s="238"/>
      <c r="BJ71" s="238"/>
      <c r="BK71" s="238">
        <v>140853.19999999998</v>
      </c>
      <c r="BL71" s="238">
        <v>0</v>
      </c>
      <c r="BM71" s="238"/>
      <c r="BN71" s="238">
        <v>46555.83</v>
      </c>
      <c r="BO71" s="238">
        <v>2944.4</v>
      </c>
      <c r="BP71" s="238">
        <v>9863.7799999999988</v>
      </c>
      <c r="BQ71" s="238">
        <v>638.4</v>
      </c>
      <c r="BR71" s="238">
        <v>325</v>
      </c>
      <c r="BS71" s="238"/>
      <c r="BT71" s="238"/>
      <c r="BU71" s="238"/>
      <c r="BV71" s="238">
        <v>0</v>
      </c>
      <c r="BW71" s="238">
        <v>0</v>
      </c>
      <c r="BX71" s="238">
        <v>0</v>
      </c>
      <c r="BY71" s="238">
        <v>0</v>
      </c>
      <c r="BZ71" s="238">
        <v>0</v>
      </c>
      <c r="CA71" s="238"/>
      <c r="CB71" s="238"/>
      <c r="CC71" s="238">
        <v>855993.90000000026</v>
      </c>
      <c r="CD71" s="238">
        <v>0</v>
      </c>
      <c r="CE71" s="25">
        <f t="shared" si="16"/>
        <v>33625241.979999997</v>
      </c>
      <c r="CF71" s="301">
        <v>0</v>
      </c>
    </row>
    <row r="72" spans="1:84" x14ac:dyDescent="0.25">
      <c r="A72" s="26" t="s">
        <v>270</v>
      </c>
      <c r="B72" s="27"/>
      <c r="C72" s="238">
        <v>8818.8100000000013</v>
      </c>
      <c r="D72" s="238"/>
      <c r="E72" s="238">
        <v>0</v>
      </c>
      <c r="F72" s="238"/>
      <c r="G72" s="238">
        <v>0</v>
      </c>
      <c r="H72" s="238">
        <v>2674.55</v>
      </c>
      <c r="I72" s="238"/>
      <c r="J72" s="238"/>
      <c r="K72" s="238"/>
      <c r="L72" s="238"/>
      <c r="M72" s="238"/>
      <c r="N72" s="238"/>
      <c r="O72" s="238"/>
      <c r="P72" s="238">
        <v>15590</v>
      </c>
      <c r="Q72" s="238">
        <v>405</v>
      </c>
      <c r="R72" s="238">
        <v>810</v>
      </c>
      <c r="S72" s="238">
        <v>144204.09</v>
      </c>
      <c r="T72" s="238"/>
      <c r="U72" s="238">
        <v>146782.97999999998</v>
      </c>
      <c r="V72" s="238">
        <v>842.87</v>
      </c>
      <c r="W72" s="238">
        <v>463.47</v>
      </c>
      <c r="X72" s="238"/>
      <c r="Y72" s="238">
        <v>341619.19</v>
      </c>
      <c r="Z72" s="238">
        <v>1378.13</v>
      </c>
      <c r="AA72" s="238">
        <v>20583.68</v>
      </c>
      <c r="AB72" s="238">
        <v>60271.349999999962</v>
      </c>
      <c r="AC72" s="238">
        <v>405</v>
      </c>
      <c r="AD72" s="238">
        <v>201.99</v>
      </c>
      <c r="AE72" s="238">
        <v>2015641.59</v>
      </c>
      <c r="AF72" s="238">
        <v>8212.83</v>
      </c>
      <c r="AG72" s="238">
        <v>661.53</v>
      </c>
      <c r="AH72" s="238">
        <v>118.55</v>
      </c>
      <c r="AI72" s="238"/>
      <c r="AJ72" s="238">
        <v>1065024.01</v>
      </c>
      <c r="AK72" s="238">
        <v>0</v>
      </c>
      <c r="AL72" s="238">
        <v>0</v>
      </c>
      <c r="AM72" s="238"/>
      <c r="AN72" s="238"/>
      <c r="AO72" s="238"/>
      <c r="AP72" s="238"/>
      <c r="AQ72" s="238"/>
      <c r="AR72" s="238">
        <v>0</v>
      </c>
      <c r="AS72" s="238"/>
      <c r="AT72" s="238"/>
      <c r="AU72" s="238"/>
      <c r="AV72" s="238">
        <v>405</v>
      </c>
      <c r="AW72" s="238">
        <v>2017900.26</v>
      </c>
      <c r="AX72" s="238"/>
      <c r="AY72" s="238">
        <v>26192.639999999999</v>
      </c>
      <c r="AZ72" s="238"/>
      <c r="BA72" s="238"/>
      <c r="BB72" s="238">
        <v>4332.6900000000005</v>
      </c>
      <c r="BC72" s="238"/>
      <c r="BD72" s="238">
        <v>39167.5</v>
      </c>
      <c r="BE72" s="238">
        <v>333716.26999999996</v>
      </c>
      <c r="BF72" s="238">
        <v>621.52</v>
      </c>
      <c r="BG72" s="238">
        <v>468260.86</v>
      </c>
      <c r="BH72" s="238">
        <v>27039957.579999998</v>
      </c>
      <c r="BI72" s="238">
        <v>370</v>
      </c>
      <c r="BJ72" s="238">
        <v>3977858.9699999997</v>
      </c>
      <c r="BK72" s="238">
        <v>20977.11</v>
      </c>
      <c r="BL72" s="238">
        <v>25.74</v>
      </c>
      <c r="BM72" s="238"/>
      <c r="BN72" s="238">
        <v>889705.3600000001</v>
      </c>
      <c r="BO72" s="238">
        <v>1035.8499999999999</v>
      </c>
      <c r="BP72" s="238">
        <v>16539.97</v>
      </c>
      <c r="BQ72" s="238">
        <v>61390</v>
      </c>
      <c r="BR72" s="238">
        <v>19715</v>
      </c>
      <c r="BS72" s="238"/>
      <c r="BT72" s="238">
        <v>1760</v>
      </c>
      <c r="BU72" s="238"/>
      <c r="BV72" s="238">
        <v>177558.07000000004</v>
      </c>
      <c r="BW72" s="238">
        <v>87882.810000000012</v>
      </c>
      <c r="BX72" s="238">
        <v>625865.47</v>
      </c>
      <c r="BY72" s="238">
        <v>2360</v>
      </c>
      <c r="BZ72" s="238">
        <v>0</v>
      </c>
      <c r="CA72" s="238"/>
      <c r="CB72" s="238"/>
      <c r="CC72" s="238">
        <v>118736.04999999999</v>
      </c>
      <c r="CD72" s="238">
        <v>0</v>
      </c>
      <c r="CE72" s="25">
        <f t="shared" si="16"/>
        <v>39767044.339999996</v>
      </c>
      <c r="CF72" s="301">
        <v>0</v>
      </c>
    </row>
    <row r="73" spans="1:84" x14ac:dyDescent="0.25">
      <c r="A73" s="26" t="s">
        <v>271</v>
      </c>
      <c r="B73" s="27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1122.29</v>
      </c>
      <c r="AG73" s="238">
        <v>0</v>
      </c>
      <c r="AH73" s="238">
        <v>0</v>
      </c>
      <c r="AI73" s="238">
        <v>0</v>
      </c>
      <c r="AJ73" s="238">
        <v>29369.219999999994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961382.32000000007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274421.39000000013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969.95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7367601.0799999991</v>
      </c>
      <c r="CD73" s="238">
        <v>0</v>
      </c>
      <c r="CE73" s="25">
        <f t="shared" si="16"/>
        <v>8634866.25</v>
      </c>
      <c r="CF73" s="301">
        <v>0</v>
      </c>
    </row>
    <row r="74" spans="1:84" x14ac:dyDescent="0.25">
      <c r="A74" s="26" t="s">
        <v>272</v>
      </c>
      <c r="B74" s="27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3879152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5">
        <f t="shared" si="16"/>
        <v>3879152</v>
      </c>
      <c r="CF74" s="301">
        <v>0</v>
      </c>
    </row>
    <row r="75" spans="1:84" x14ac:dyDescent="0.25">
      <c r="A75" s="26" t="s">
        <v>273</v>
      </c>
      <c r="B75" s="2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>
        <v>1156515.99</v>
      </c>
      <c r="AX75" s="238"/>
      <c r="AY75" s="238"/>
      <c r="AZ75" s="238"/>
      <c r="BA75" s="238"/>
      <c r="BB75" s="238"/>
      <c r="BC75" s="238"/>
      <c r="BD75" s="238"/>
      <c r="BE75" s="238">
        <v>18769.5</v>
      </c>
      <c r="BF75" s="238"/>
      <c r="BG75" s="238"/>
      <c r="BH75" s="238">
        <v>44223.6</v>
      </c>
      <c r="BI75" s="238"/>
      <c r="BJ75" s="238">
        <v>0</v>
      </c>
      <c r="BK75" s="238"/>
      <c r="BL75" s="238"/>
      <c r="BM75" s="238"/>
      <c r="BN75" s="238">
        <v>7552558.8100000005</v>
      </c>
      <c r="BO75" s="238"/>
      <c r="BP75" s="238"/>
      <c r="BQ75" s="238"/>
      <c r="BR75" s="238"/>
      <c r="BS75" s="238"/>
      <c r="BT75" s="238"/>
      <c r="BU75" s="238"/>
      <c r="BV75" s="238"/>
      <c r="BW75" s="238"/>
      <c r="BX75" s="238"/>
      <c r="BY75" s="238"/>
      <c r="BZ75" s="238"/>
      <c r="CA75" s="238"/>
      <c r="CB75" s="238"/>
      <c r="CC75" s="238"/>
      <c r="CD75" s="238">
        <v>0</v>
      </c>
      <c r="CE75" s="25">
        <f t="shared" si="16"/>
        <v>8772067.9000000004</v>
      </c>
      <c r="CF75" s="301">
        <v>0</v>
      </c>
    </row>
    <row r="76" spans="1:84" x14ac:dyDescent="0.25">
      <c r="A76" s="26" t="s">
        <v>274</v>
      </c>
      <c r="B76" s="203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>
        <v>14926252.029999997</v>
      </c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8"/>
      <c r="BQ76" s="238"/>
      <c r="BR76" s="238"/>
      <c r="BS76" s="238"/>
      <c r="BT76" s="238"/>
      <c r="BU76" s="238"/>
      <c r="BV76" s="238"/>
      <c r="BW76" s="238"/>
      <c r="BX76" s="238"/>
      <c r="BY76" s="238"/>
      <c r="BZ76" s="238"/>
      <c r="CA76" s="238"/>
      <c r="CB76" s="238"/>
      <c r="CC76" s="238"/>
      <c r="CD76" s="238">
        <v>0</v>
      </c>
      <c r="CE76" s="25">
        <f t="shared" si="16"/>
        <v>14926252.029999997</v>
      </c>
      <c r="CF76" s="301">
        <v>0</v>
      </c>
    </row>
    <row r="77" spans="1:84" x14ac:dyDescent="0.25">
      <c r="A77" s="26" t="s">
        <v>275</v>
      </c>
      <c r="B77" s="27"/>
      <c r="C77" s="238">
        <v>65766.45</v>
      </c>
      <c r="D77" s="238"/>
      <c r="E77" s="238">
        <v>12701.079999999998</v>
      </c>
      <c r="F77" s="238"/>
      <c r="G77" s="238">
        <v>291.97000000000003</v>
      </c>
      <c r="H77" s="238">
        <v>1649.29</v>
      </c>
      <c r="I77" s="238"/>
      <c r="J77" s="238"/>
      <c r="K77" s="238"/>
      <c r="L77" s="238"/>
      <c r="M77" s="238"/>
      <c r="N77" s="238"/>
      <c r="O77" s="238"/>
      <c r="P77" s="238">
        <v>1463142.48</v>
      </c>
      <c r="Q77" s="238">
        <v>421.84999999999997</v>
      </c>
      <c r="R77" s="238">
        <v>28620.83</v>
      </c>
      <c r="S77" s="238">
        <v>399795.66999999993</v>
      </c>
      <c r="T77" s="238">
        <v>2527.79</v>
      </c>
      <c r="U77" s="238">
        <v>1630622.0300000003</v>
      </c>
      <c r="V77" s="238">
        <v>345684.94999999995</v>
      </c>
      <c r="W77" s="238">
        <v>720028.68000000017</v>
      </c>
      <c r="X77" s="238">
        <v>608288.86999999988</v>
      </c>
      <c r="Y77" s="238">
        <v>1727503.76</v>
      </c>
      <c r="Z77" s="238">
        <v>0</v>
      </c>
      <c r="AA77" s="238">
        <v>215368.64</v>
      </c>
      <c r="AB77" s="238">
        <v>113539.57</v>
      </c>
      <c r="AC77" s="238">
        <v>108980.19</v>
      </c>
      <c r="AD77" s="238">
        <v>74025.73000000001</v>
      </c>
      <c r="AE77" s="238">
        <v>1271.56</v>
      </c>
      <c r="AF77" s="238">
        <v>1012.1500000000001</v>
      </c>
      <c r="AG77" s="238">
        <v>12145.11</v>
      </c>
      <c r="AH77" s="238">
        <v>28337.37</v>
      </c>
      <c r="AI77" s="238"/>
      <c r="AJ77" s="238">
        <v>465072.20999999996</v>
      </c>
      <c r="AK77" s="238">
        <v>171.94</v>
      </c>
      <c r="AL77" s="238">
        <v>11118.68</v>
      </c>
      <c r="AM77" s="238"/>
      <c r="AN77" s="238"/>
      <c r="AO77" s="238"/>
      <c r="AP77" s="238"/>
      <c r="AQ77" s="238"/>
      <c r="AR77" s="238">
        <v>296614.03000000003</v>
      </c>
      <c r="AS77" s="238"/>
      <c r="AT77" s="238"/>
      <c r="AU77" s="238"/>
      <c r="AV77" s="238">
        <v>109627.04</v>
      </c>
      <c r="AW77" s="238">
        <v>4678056.96</v>
      </c>
      <c r="AX77" s="238"/>
      <c r="AY77" s="238">
        <v>26611.319999999996</v>
      </c>
      <c r="AZ77" s="238">
        <v>811.92</v>
      </c>
      <c r="BA77" s="238"/>
      <c r="BB77" s="238">
        <v>0</v>
      </c>
      <c r="BC77" s="238"/>
      <c r="BD77" s="238"/>
      <c r="BE77" s="238">
        <v>11852081.859999999</v>
      </c>
      <c r="BF77" s="238">
        <v>95381.359999999986</v>
      </c>
      <c r="BG77" s="238">
        <v>314751.78999999998</v>
      </c>
      <c r="BH77" s="238">
        <v>3153454.93</v>
      </c>
      <c r="BI77" s="238">
        <v>452797.80999999994</v>
      </c>
      <c r="BJ77" s="238">
        <v>1304.1100000000006</v>
      </c>
      <c r="BK77" s="238"/>
      <c r="BL77" s="238"/>
      <c r="BM77" s="238"/>
      <c r="BN77" s="238"/>
      <c r="BO77" s="238">
        <v>0</v>
      </c>
      <c r="BP77" s="238"/>
      <c r="BQ77" s="238"/>
      <c r="BR77" s="238"/>
      <c r="BS77" s="238"/>
      <c r="BT77" s="238"/>
      <c r="BU77" s="238"/>
      <c r="BV77" s="238">
        <v>0</v>
      </c>
      <c r="BW77" s="238"/>
      <c r="BX77" s="238">
        <v>0</v>
      </c>
      <c r="BY77" s="238">
        <v>0</v>
      </c>
      <c r="BZ77" s="238"/>
      <c r="CA77" s="238"/>
      <c r="CB77" s="238"/>
      <c r="CC77" s="238">
        <v>453084.31000000006</v>
      </c>
      <c r="CD77" s="238">
        <v>0</v>
      </c>
      <c r="CE77" s="25">
        <f t="shared" si="16"/>
        <v>29472666.289999999</v>
      </c>
      <c r="CF77" s="301">
        <v>0</v>
      </c>
    </row>
    <row r="78" spans="1:84" x14ac:dyDescent="0.25">
      <c r="A78" s="26" t="s">
        <v>276</v>
      </c>
      <c r="B78" s="16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5">
        <f t="shared" si="16"/>
        <v>0</v>
      </c>
      <c r="CF78" s="301">
        <v>0</v>
      </c>
    </row>
    <row r="79" spans="1:84" x14ac:dyDescent="0.25">
      <c r="A79" s="26" t="s">
        <v>277</v>
      </c>
      <c r="B79" s="16"/>
      <c r="C79" s="238">
        <v>514385.05</v>
      </c>
      <c r="D79" s="238"/>
      <c r="E79" s="238">
        <v>182071.09999999998</v>
      </c>
      <c r="F79" s="238"/>
      <c r="G79" s="238">
        <v>7000</v>
      </c>
      <c r="H79" s="238">
        <v>119440.36</v>
      </c>
      <c r="I79" s="238"/>
      <c r="J79" s="238"/>
      <c r="K79" s="238"/>
      <c r="L79" s="238"/>
      <c r="M79" s="238"/>
      <c r="N79" s="238"/>
      <c r="O79" s="238"/>
      <c r="P79" s="238">
        <v>65390.630000000005</v>
      </c>
      <c r="Q79" s="238">
        <v>26137.68</v>
      </c>
      <c r="R79" s="238">
        <v>25392.54</v>
      </c>
      <c r="S79" s="238">
        <v>19890.879999999997</v>
      </c>
      <c r="T79" s="238">
        <v>0</v>
      </c>
      <c r="U79" s="238">
        <v>25830.79</v>
      </c>
      <c r="V79" s="238">
        <v>9926.49</v>
      </c>
      <c r="W79" s="238"/>
      <c r="X79" s="238">
        <v>0</v>
      </c>
      <c r="Y79" s="238">
        <v>26320.309999999998</v>
      </c>
      <c r="Z79" s="238"/>
      <c r="AA79" s="238"/>
      <c r="AB79" s="238">
        <v>25180.53</v>
      </c>
      <c r="AC79" s="238">
        <v>46243.14</v>
      </c>
      <c r="AD79" s="238">
        <v>9000</v>
      </c>
      <c r="AE79" s="238"/>
      <c r="AF79" s="238">
        <v>14226.95</v>
      </c>
      <c r="AG79" s="238">
        <v>105000.22999999998</v>
      </c>
      <c r="AH79" s="238">
        <v>2875.78</v>
      </c>
      <c r="AI79" s="238"/>
      <c r="AJ79" s="238">
        <v>287970.31</v>
      </c>
      <c r="AK79" s="238"/>
      <c r="AL79" s="238"/>
      <c r="AM79" s="238"/>
      <c r="AN79" s="238"/>
      <c r="AO79" s="238"/>
      <c r="AP79" s="238"/>
      <c r="AQ79" s="238"/>
      <c r="AR79" s="238">
        <v>0</v>
      </c>
      <c r="AS79" s="238"/>
      <c r="AT79" s="238"/>
      <c r="AU79" s="238"/>
      <c r="AV79" s="238"/>
      <c r="AW79" s="238">
        <v>246813.82</v>
      </c>
      <c r="AX79" s="238"/>
      <c r="AY79" s="238"/>
      <c r="AZ79" s="238"/>
      <c r="BA79" s="238"/>
      <c r="BB79" s="238">
        <v>0</v>
      </c>
      <c r="BC79" s="238"/>
      <c r="BD79" s="238"/>
      <c r="BE79" s="238">
        <v>26532.549999999996</v>
      </c>
      <c r="BF79" s="238"/>
      <c r="BG79" s="238">
        <v>0</v>
      </c>
      <c r="BH79" s="238">
        <v>0</v>
      </c>
      <c r="BI79" s="238"/>
      <c r="BJ79" s="238"/>
      <c r="BK79" s="238">
        <v>0</v>
      </c>
      <c r="BL79" s="238"/>
      <c r="BM79" s="238"/>
      <c r="BN79" s="238">
        <v>143553.51</v>
      </c>
      <c r="BO79" s="238"/>
      <c r="BP79" s="238">
        <v>0</v>
      </c>
      <c r="BQ79" s="238">
        <v>13860.489999999998</v>
      </c>
      <c r="BR79" s="238">
        <v>501796.81000000006</v>
      </c>
      <c r="BS79" s="238"/>
      <c r="BT79" s="238">
        <v>2193.2399999999998</v>
      </c>
      <c r="BU79" s="238"/>
      <c r="BV79" s="238"/>
      <c r="BW79" s="238">
        <v>0</v>
      </c>
      <c r="BX79" s="238"/>
      <c r="BY79" s="238">
        <v>10958.070000000002</v>
      </c>
      <c r="BZ79" s="238">
        <v>41328.030000000006</v>
      </c>
      <c r="CA79" s="238"/>
      <c r="CB79" s="238"/>
      <c r="CC79" s="238">
        <v>67195.91</v>
      </c>
      <c r="CD79" s="238">
        <v>0</v>
      </c>
      <c r="CE79" s="25">
        <f t="shared" si="16"/>
        <v>2566515.2000000002</v>
      </c>
      <c r="CF79" s="301">
        <v>0</v>
      </c>
    </row>
    <row r="80" spans="1:84" x14ac:dyDescent="0.25">
      <c r="A80" s="26" t="s">
        <v>278</v>
      </c>
      <c r="B80" s="16"/>
      <c r="C80" s="238">
        <v>2391.71</v>
      </c>
      <c r="D80" s="238"/>
      <c r="E80" s="238">
        <v>107.32</v>
      </c>
      <c r="F80" s="238"/>
      <c r="G80" s="238">
        <v>473.8</v>
      </c>
      <c r="H80" s="238">
        <v>165</v>
      </c>
      <c r="I80" s="238"/>
      <c r="J80" s="238"/>
      <c r="K80" s="238"/>
      <c r="L80" s="238"/>
      <c r="M80" s="238"/>
      <c r="N80" s="238"/>
      <c r="O80" s="238"/>
      <c r="P80" s="238">
        <v>95935.5</v>
      </c>
      <c r="Q80" s="238"/>
      <c r="R80" s="238"/>
      <c r="S80" s="238">
        <v>4865</v>
      </c>
      <c r="T80" s="238">
        <v>-350</v>
      </c>
      <c r="U80" s="238">
        <v>3098.2</v>
      </c>
      <c r="V80" s="238">
        <v>1076.43</v>
      </c>
      <c r="W80" s="238">
        <v>199.99</v>
      </c>
      <c r="X80" s="238">
        <v>575.45000000000005</v>
      </c>
      <c r="Y80" s="238">
        <v>1721.25</v>
      </c>
      <c r="Z80" s="238">
        <v>0</v>
      </c>
      <c r="AA80" s="238"/>
      <c r="AB80" s="238">
        <v>1990.55</v>
      </c>
      <c r="AC80" s="238">
        <v>16071.880000000001</v>
      </c>
      <c r="AD80" s="238">
        <v>2325.04</v>
      </c>
      <c r="AE80" s="238">
        <v>17941.310000000001</v>
      </c>
      <c r="AF80" s="238">
        <v>9940.1999999999989</v>
      </c>
      <c r="AG80" s="238">
        <v>879</v>
      </c>
      <c r="AH80" s="238">
        <v>11643</v>
      </c>
      <c r="AI80" s="238"/>
      <c r="AJ80" s="238">
        <v>83105.929999999993</v>
      </c>
      <c r="AK80" s="238">
        <v>7183.96</v>
      </c>
      <c r="AL80" s="238">
        <v>6768.7099999999991</v>
      </c>
      <c r="AM80" s="238">
        <v>339</v>
      </c>
      <c r="AN80" s="238"/>
      <c r="AO80" s="238"/>
      <c r="AP80" s="238"/>
      <c r="AQ80" s="238"/>
      <c r="AR80" s="238">
        <v>667.21</v>
      </c>
      <c r="AS80" s="238"/>
      <c r="AT80" s="238"/>
      <c r="AU80" s="238"/>
      <c r="AV80" s="238">
        <v>0</v>
      </c>
      <c r="AW80" s="238">
        <v>1062310.6699999997</v>
      </c>
      <c r="AX80" s="238"/>
      <c r="AY80" s="238">
        <v>349</v>
      </c>
      <c r="AZ80" s="238"/>
      <c r="BA80" s="238"/>
      <c r="BB80" s="238">
        <v>4610.08</v>
      </c>
      <c r="BC80" s="238"/>
      <c r="BD80" s="238"/>
      <c r="BE80" s="238">
        <v>39115.54</v>
      </c>
      <c r="BF80" s="238">
        <v>510</v>
      </c>
      <c r="BG80" s="238"/>
      <c r="BH80" s="238">
        <v>47892.46</v>
      </c>
      <c r="BI80" s="238">
        <v>838.18</v>
      </c>
      <c r="BJ80" s="238">
        <v>151060.18</v>
      </c>
      <c r="BK80" s="238">
        <v>10038.06</v>
      </c>
      <c r="BL80" s="238">
        <v>600</v>
      </c>
      <c r="BM80" s="238"/>
      <c r="BN80" s="238">
        <v>20122.079999999998</v>
      </c>
      <c r="BO80" s="238">
        <v>885</v>
      </c>
      <c r="BP80" s="238">
        <v>450</v>
      </c>
      <c r="BQ80" s="238">
        <v>3066.79</v>
      </c>
      <c r="BR80" s="238">
        <v>12813.34</v>
      </c>
      <c r="BS80" s="238"/>
      <c r="BT80" s="238">
        <v>1149.5</v>
      </c>
      <c r="BU80" s="238"/>
      <c r="BV80" s="238">
        <v>15</v>
      </c>
      <c r="BW80" s="238">
        <v>3724</v>
      </c>
      <c r="BX80" s="238">
        <v>91262.040000000008</v>
      </c>
      <c r="BY80" s="238">
        <v>24148.49</v>
      </c>
      <c r="BZ80" s="238"/>
      <c r="CA80" s="238"/>
      <c r="CB80" s="238"/>
      <c r="CC80" s="238">
        <v>23147.5</v>
      </c>
      <c r="CD80" s="238">
        <v>0</v>
      </c>
      <c r="CE80" s="25">
        <f t="shared" si="16"/>
        <v>1767223.3499999999</v>
      </c>
      <c r="CF80" s="301">
        <v>0</v>
      </c>
    </row>
    <row r="81" spans="1:84" x14ac:dyDescent="0.25">
      <c r="A81" s="26" t="s">
        <v>279</v>
      </c>
      <c r="B81" s="16"/>
      <c r="C81" s="238"/>
      <c r="D81" s="238"/>
      <c r="E81" s="238"/>
      <c r="F81" s="238"/>
      <c r="G81" s="238">
        <v>0</v>
      </c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>
        <v>110870.57</v>
      </c>
      <c r="V81" s="238"/>
      <c r="W81" s="238"/>
      <c r="X81" s="238"/>
      <c r="Y81" s="238">
        <v>16.8</v>
      </c>
      <c r="Z81" s="238"/>
      <c r="AA81" s="238">
        <v>9125</v>
      </c>
      <c r="AB81" s="238">
        <v>13342.65</v>
      </c>
      <c r="AC81" s="238"/>
      <c r="AD81" s="238"/>
      <c r="AE81" s="238">
        <v>-36000</v>
      </c>
      <c r="AF81" s="238">
        <v>10200.36</v>
      </c>
      <c r="AG81" s="238">
        <v>308.5</v>
      </c>
      <c r="AH81" s="238"/>
      <c r="AI81" s="238"/>
      <c r="AJ81" s="238">
        <v>9304.83</v>
      </c>
      <c r="AK81" s="238">
        <v>-222</v>
      </c>
      <c r="AL81" s="238"/>
      <c r="AM81" s="238"/>
      <c r="AN81" s="238"/>
      <c r="AO81" s="238"/>
      <c r="AP81" s="238"/>
      <c r="AQ81" s="238"/>
      <c r="AR81" s="238">
        <v>41824.11</v>
      </c>
      <c r="AS81" s="238"/>
      <c r="AT81" s="238"/>
      <c r="AU81" s="238"/>
      <c r="AV81" s="238">
        <v>27697.610000000004</v>
      </c>
      <c r="AW81" s="238">
        <v>3033251.8400000008</v>
      </c>
      <c r="AX81" s="238"/>
      <c r="AY81" s="238">
        <v>22196.420000000006</v>
      </c>
      <c r="AZ81" s="238">
        <v>1328.7800000000002</v>
      </c>
      <c r="BA81" s="238"/>
      <c r="BB81" s="238"/>
      <c r="BC81" s="238"/>
      <c r="BD81" s="238"/>
      <c r="BE81" s="238">
        <v>1607579.2600000002</v>
      </c>
      <c r="BF81" s="238"/>
      <c r="BG81" s="238"/>
      <c r="BH81" s="238"/>
      <c r="BI81" s="238">
        <v>14848.730000000003</v>
      </c>
      <c r="BJ81" s="238"/>
      <c r="BK81" s="238"/>
      <c r="BL81" s="238"/>
      <c r="BM81" s="238"/>
      <c r="BN81" s="238">
        <v>132049.21999999997</v>
      </c>
      <c r="BO81" s="238"/>
      <c r="BP81" s="238">
        <v>130.33999999999997</v>
      </c>
      <c r="BQ81" s="238">
        <v>-26</v>
      </c>
      <c r="BR81" s="238"/>
      <c r="BS81" s="238"/>
      <c r="BT81" s="238"/>
      <c r="BU81" s="238"/>
      <c r="BV81" s="238"/>
      <c r="BW81" s="238"/>
      <c r="BX81" s="238">
        <v>234.13</v>
      </c>
      <c r="BY81" s="238"/>
      <c r="BZ81" s="238"/>
      <c r="CA81" s="238"/>
      <c r="CB81" s="238"/>
      <c r="CC81" s="238">
        <v>39422384.130000003</v>
      </c>
      <c r="CD81" s="238">
        <v>0</v>
      </c>
      <c r="CE81" s="25">
        <f t="shared" si="16"/>
        <v>44420445.280000001</v>
      </c>
      <c r="CF81" s="301">
        <v>0</v>
      </c>
    </row>
    <row r="82" spans="1:84" x14ac:dyDescent="0.25">
      <c r="A82" s="26" t="s">
        <v>280</v>
      </c>
      <c r="B82" s="16"/>
      <c r="C82" s="238">
        <v>446.17</v>
      </c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>
        <v>0</v>
      </c>
      <c r="T82" s="238"/>
      <c r="U82" s="238"/>
      <c r="V82" s="238">
        <v>5.98</v>
      </c>
      <c r="W82" s="238"/>
      <c r="X82" s="238"/>
      <c r="Y82" s="238"/>
      <c r="Z82" s="238"/>
      <c r="AA82" s="238"/>
      <c r="AB82" s="238"/>
      <c r="AC82" s="238"/>
      <c r="AD82" s="238"/>
      <c r="AE82" s="238"/>
      <c r="AF82" s="238">
        <v>23301.54</v>
      </c>
      <c r="AG82" s="238"/>
      <c r="AH82" s="238"/>
      <c r="AI82" s="238"/>
      <c r="AJ82" s="238">
        <v>268276.90999999992</v>
      </c>
      <c r="AK82" s="238"/>
      <c r="AL82" s="238"/>
      <c r="AM82" s="238"/>
      <c r="AN82" s="238"/>
      <c r="AO82" s="238"/>
      <c r="AP82" s="238"/>
      <c r="AQ82" s="238"/>
      <c r="AR82" s="238">
        <v>52901.999999999993</v>
      </c>
      <c r="AS82" s="238"/>
      <c r="AT82" s="238"/>
      <c r="AU82" s="238"/>
      <c r="AV82" s="238"/>
      <c r="AW82" s="238">
        <v>3758515.61</v>
      </c>
      <c r="AX82" s="238"/>
      <c r="AY82" s="238"/>
      <c r="AZ82" s="238"/>
      <c r="BA82" s="238"/>
      <c r="BB82" s="238"/>
      <c r="BC82" s="238"/>
      <c r="BD82" s="238"/>
      <c r="BE82" s="238">
        <v>10594895.859999999</v>
      </c>
      <c r="BF82" s="238">
        <v>1124020.5</v>
      </c>
      <c r="BG82" s="238">
        <v>1190551.6400000001</v>
      </c>
      <c r="BH82" s="238">
        <v>1798063.9699999997</v>
      </c>
      <c r="BI82" s="238">
        <v>216360.01999999996</v>
      </c>
      <c r="BJ82" s="238"/>
      <c r="BK82" s="238"/>
      <c r="BL82" s="238"/>
      <c r="BM82" s="238"/>
      <c r="BN82" s="238">
        <v>0</v>
      </c>
      <c r="BO82" s="238"/>
      <c r="BP82" s="238"/>
      <c r="BQ82" s="238"/>
      <c r="BR82" s="238"/>
      <c r="BS82" s="238"/>
      <c r="BT82" s="238"/>
      <c r="BU82" s="238"/>
      <c r="BV82" s="238"/>
      <c r="BW82" s="238"/>
      <c r="BX82" s="238"/>
      <c r="BY82" s="238"/>
      <c r="BZ82" s="238"/>
      <c r="CA82" s="238"/>
      <c r="CB82" s="238"/>
      <c r="CC82" s="238">
        <v>194289.51</v>
      </c>
      <c r="CD82" s="238">
        <v>0</v>
      </c>
      <c r="CE82" s="25">
        <f t="shared" si="16"/>
        <v>19221629.710000001</v>
      </c>
      <c r="CF82" s="301">
        <v>0</v>
      </c>
    </row>
    <row r="83" spans="1:84" x14ac:dyDescent="0.25">
      <c r="A83" s="26" t="s">
        <v>281</v>
      </c>
      <c r="B83" s="16"/>
      <c r="C83" s="237">
        <v>553444.97000000009</v>
      </c>
      <c r="D83" s="237"/>
      <c r="E83" s="237">
        <v>10288.529999999999</v>
      </c>
      <c r="F83" s="237"/>
      <c r="G83" s="237">
        <v>657.42</v>
      </c>
      <c r="H83" s="237">
        <v>138448.19999999998</v>
      </c>
      <c r="I83" s="237"/>
      <c r="J83" s="237"/>
      <c r="K83" s="237"/>
      <c r="L83" s="237"/>
      <c r="M83" s="237"/>
      <c r="N83" s="237"/>
      <c r="O83" s="237"/>
      <c r="P83" s="237">
        <v>49655.99</v>
      </c>
      <c r="Q83" s="237">
        <v>2203.59</v>
      </c>
      <c r="R83" s="237">
        <v>22679.489999999998</v>
      </c>
      <c r="S83" s="237">
        <v>4628.12</v>
      </c>
      <c r="T83" s="237">
        <v>1555.8899999999999</v>
      </c>
      <c r="U83" s="237">
        <v>253989.39000000004</v>
      </c>
      <c r="V83" s="237">
        <v>50440.299999999996</v>
      </c>
      <c r="W83" s="237">
        <v>3600</v>
      </c>
      <c r="X83" s="237">
        <v>8593</v>
      </c>
      <c r="Y83" s="237">
        <v>212714.85</v>
      </c>
      <c r="Z83" s="237">
        <v>18237.489999999998</v>
      </c>
      <c r="AA83" s="237">
        <v>22.04</v>
      </c>
      <c r="AB83" s="237">
        <v>315255.13</v>
      </c>
      <c r="AC83" s="237">
        <v>20102.63</v>
      </c>
      <c r="AD83" s="237">
        <v>18988.349999999999</v>
      </c>
      <c r="AE83" s="237">
        <v>25626.880000000001</v>
      </c>
      <c r="AF83" s="237">
        <v>204088.12999999998</v>
      </c>
      <c r="AG83" s="237">
        <v>32527.87</v>
      </c>
      <c r="AH83" s="237">
        <v>2016.95</v>
      </c>
      <c r="AI83" s="237"/>
      <c r="AJ83" s="237">
        <v>1403514.6999999995</v>
      </c>
      <c r="AK83" s="237">
        <v>1517.61</v>
      </c>
      <c r="AL83" s="237">
        <v>4523.67</v>
      </c>
      <c r="AM83" s="237">
        <v>3469.2</v>
      </c>
      <c r="AN83" s="237"/>
      <c r="AO83" s="237"/>
      <c r="AP83" s="237"/>
      <c r="AQ83" s="237"/>
      <c r="AR83" s="237">
        <v>28026.9</v>
      </c>
      <c r="AS83" s="237"/>
      <c r="AT83" s="237">
        <v>10563.819999999998</v>
      </c>
      <c r="AU83" s="237"/>
      <c r="AV83" s="237">
        <v>45836.739999999991</v>
      </c>
      <c r="AW83" s="237">
        <v>32079350.910000023</v>
      </c>
      <c r="AX83" s="237">
        <v>6621</v>
      </c>
      <c r="AY83" s="237">
        <v>174776.95</v>
      </c>
      <c r="AZ83" s="237">
        <v>-0.79</v>
      </c>
      <c r="BA83" s="237"/>
      <c r="BB83" s="237">
        <v>302347.39</v>
      </c>
      <c r="BC83" s="237"/>
      <c r="BD83" s="237">
        <v>60082.95</v>
      </c>
      <c r="BE83" s="237">
        <v>17412.029999999992</v>
      </c>
      <c r="BF83" s="237">
        <v>34680.759999999995</v>
      </c>
      <c r="BG83" s="237">
        <v>1932.0300000000002</v>
      </c>
      <c r="BH83" s="237">
        <v>299858.75000000006</v>
      </c>
      <c r="BI83" s="237">
        <v>-489264.38999999996</v>
      </c>
      <c r="BJ83" s="237">
        <v>85753.299999999988</v>
      </c>
      <c r="BK83" s="237">
        <v>1439316.13</v>
      </c>
      <c r="BL83" s="237">
        <v>-245.82</v>
      </c>
      <c r="BM83" s="237"/>
      <c r="BN83" s="237">
        <v>3004222.26</v>
      </c>
      <c r="BO83" s="237">
        <v>6506.7200000000012</v>
      </c>
      <c r="BP83" s="237">
        <v>-18481.620000000068</v>
      </c>
      <c r="BQ83" s="237">
        <v>45571.55999999999</v>
      </c>
      <c r="BR83" s="237">
        <v>961869.14</v>
      </c>
      <c r="BS83" s="237"/>
      <c r="BT83" s="237">
        <v>2388.79</v>
      </c>
      <c r="BU83" s="237">
        <v>1062332.29</v>
      </c>
      <c r="BV83" s="237">
        <v>2376</v>
      </c>
      <c r="BW83" s="237">
        <v>317026.30000000005</v>
      </c>
      <c r="BX83" s="237">
        <v>93734.729999999981</v>
      </c>
      <c r="BY83" s="237">
        <v>208675.64</v>
      </c>
      <c r="BZ83" s="237">
        <v>6446.81</v>
      </c>
      <c r="CA83" s="237"/>
      <c r="CB83" s="237"/>
      <c r="CC83" s="239">
        <v>9581869.7700000051</v>
      </c>
      <c r="CD83" s="238">
        <v>0</v>
      </c>
      <c r="CE83" s="25">
        <f t="shared" si="16"/>
        <v>52734377.440000027</v>
      </c>
      <c r="CF83" s="301">
        <v>0</v>
      </c>
    </row>
    <row r="84" spans="1:84" x14ac:dyDescent="0.25">
      <c r="A84" s="31" t="s">
        <v>282</v>
      </c>
      <c r="B84" s="16"/>
      <c r="C84" s="320">
        <v>0</v>
      </c>
      <c r="D84" s="320">
        <v>0</v>
      </c>
      <c r="E84" s="320">
        <v>-632522.28999999957</v>
      </c>
      <c r="F84" s="320">
        <v>0</v>
      </c>
      <c r="G84" s="320">
        <v>12373</v>
      </c>
      <c r="H84" s="320">
        <v>0</v>
      </c>
      <c r="I84" s="320">
        <v>0</v>
      </c>
      <c r="J84" s="320">
        <v>0</v>
      </c>
      <c r="K84" s="320">
        <v>0</v>
      </c>
      <c r="L84" s="320">
        <v>0</v>
      </c>
      <c r="M84" s="320">
        <v>0</v>
      </c>
      <c r="N84" s="320">
        <v>0</v>
      </c>
      <c r="O84" s="320">
        <v>0</v>
      </c>
      <c r="P84" s="320">
        <v>0</v>
      </c>
      <c r="Q84" s="320">
        <v>0</v>
      </c>
      <c r="R84" s="320">
        <v>0</v>
      </c>
      <c r="S84" s="320">
        <v>100</v>
      </c>
      <c r="T84" s="320">
        <v>0</v>
      </c>
      <c r="U84" s="320">
        <v>3921952.5500000003</v>
      </c>
      <c r="V84" s="320">
        <v>0</v>
      </c>
      <c r="W84" s="320">
        <v>0</v>
      </c>
      <c r="X84" s="320">
        <v>0</v>
      </c>
      <c r="Y84" s="320">
        <v>149358.22</v>
      </c>
      <c r="Z84" s="320">
        <v>86775.749999999985</v>
      </c>
      <c r="AA84" s="320">
        <v>0</v>
      </c>
      <c r="AB84" s="320">
        <v>0</v>
      </c>
      <c r="AC84" s="320">
        <v>250</v>
      </c>
      <c r="AD84" s="320">
        <v>0</v>
      </c>
      <c r="AE84" s="320">
        <v>0</v>
      </c>
      <c r="AF84" s="320">
        <v>2537686.0100000002</v>
      </c>
      <c r="AG84" s="320">
        <v>469675.00000000006</v>
      </c>
      <c r="AH84" s="320">
        <v>1011535.4999999998</v>
      </c>
      <c r="AI84" s="320">
        <v>0</v>
      </c>
      <c r="AJ84" s="320">
        <v>9292356.6600000001</v>
      </c>
      <c r="AK84" s="320">
        <v>0</v>
      </c>
      <c r="AL84" s="320">
        <v>0</v>
      </c>
      <c r="AM84" s="320">
        <v>631670.00000000012</v>
      </c>
      <c r="AN84" s="320">
        <v>0</v>
      </c>
      <c r="AO84" s="320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700</v>
      </c>
      <c r="AU84" s="320">
        <v>0</v>
      </c>
      <c r="AV84" s="320">
        <v>1438149.77</v>
      </c>
      <c r="AW84" s="320">
        <v>303748798.93999994</v>
      </c>
      <c r="AX84" s="320">
        <v>0</v>
      </c>
      <c r="AY84" s="320">
        <v>4003476.8299999991</v>
      </c>
      <c r="AZ84" s="320">
        <v>207857.31</v>
      </c>
      <c r="BA84" s="320">
        <v>0</v>
      </c>
      <c r="BB84" s="320">
        <v>-289.76000000000931</v>
      </c>
      <c r="BC84" s="320">
        <v>0</v>
      </c>
      <c r="BD84" s="320">
        <v>0</v>
      </c>
      <c r="BE84" s="320">
        <v>8061465.0999999996</v>
      </c>
      <c r="BF84" s="320">
        <v>0</v>
      </c>
      <c r="BG84" s="320">
        <v>0</v>
      </c>
      <c r="BH84" s="320">
        <v>0</v>
      </c>
      <c r="BI84" s="320">
        <v>1861229.7899999998</v>
      </c>
      <c r="BJ84" s="320">
        <v>0</v>
      </c>
      <c r="BK84" s="320">
        <v>10563862.899999999</v>
      </c>
      <c r="BL84" s="320">
        <v>0</v>
      </c>
      <c r="BM84" s="320">
        <v>0</v>
      </c>
      <c r="BN84" s="320">
        <v>2285462.83</v>
      </c>
      <c r="BO84" s="320">
        <v>0</v>
      </c>
      <c r="BP84" s="320">
        <v>0</v>
      </c>
      <c r="BQ84" s="320">
        <v>-1333.76</v>
      </c>
      <c r="BR84" s="320">
        <v>0</v>
      </c>
      <c r="BS84" s="320">
        <v>0</v>
      </c>
      <c r="BT84" s="320">
        <v>0</v>
      </c>
      <c r="BU84" s="320">
        <v>0</v>
      </c>
      <c r="BV84" s="320">
        <v>46491.86</v>
      </c>
      <c r="BW84" s="320">
        <v>-194255.40999999997</v>
      </c>
      <c r="BX84" s="320">
        <v>158103</v>
      </c>
      <c r="BY84" s="320">
        <v>143941.37</v>
      </c>
      <c r="BZ84" s="320">
        <v>0</v>
      </c>
      <c r="CA84" s="320">
        <v>0</v>
      </c>
      <c r="CB84" s="320">
        <v>0</v>
      </c>
      <c r="CC84" s="320">
        <v>64028390.479999997</v>
      </c>
      <c r="CD84" s="321"/>
      <c r="CE84" s="25">
        <f t="shared" si="16"/>
        <v>413833261.64999998</v>
      </c>
      <c r="CF84" s="301">
        <v>0</v>
      </c>
    </row>
    <row r="85" spans="1:84" x14ac:dyDescent="0.25">
      <c r="A85" s="31" t="s">
        <v>283</v>
      </c>
      <c r="B85" s="25"/>
      <c r="C85" s="25">
        <f t="shared" ref="C85:AH85" si="17">SUM(C61:C69)-C84</f>
        <v>107599830.15000001</v>
      </c>
      <c r="D85" s="25">
        <f t="shared" si="17"/>
        <v>0</v>
      </c>
      <c r="E85" s="25">
        <f t="shared" si="17"/>
        <v>136228246.38999996</v>
      </c>
      <c r="F85" s="25">
        <f t="shared" si="17"/>
        <v>0</v>
      </c>
      <c r="G85" s="25">
        <f t="shared" si="17"/>
        <v>7861123.4400000004</v>
      </c>
      <c r="H85" s="25">
        <f t="shared" si="17"/>
        <v>27187675.68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96343769.890000001</v>
      </c>
      <c r="Q85" s="25">
        <f t="shared" si="17"/>
        <v>18908486.82</v>
      </c>
      <c r="R85" s="25">
        <f t="shared" si="17"/>
        <v>11494709.939999999</v>
      </c>
      <c r="S85" s="25">
        <f t="shared" si="17"/>
        <v>25341144</v>
      </c>
      <c r="T85" s="25">
        <f t="shared" si="17"/>
        <v>2773613.4500000007</v>
      </c>
      <c r="U85" s="25">
        <f t="shared" si="17"/>
        <v>73372522.160000011</v>
      </c>
      <c r="V85" s="25">
        <f t="shared" si="17"/>
        <v>13233268.93</v>
      </c>
      <c r="W85" s="25">
        <f t="shared" si="17"/>
        <v>5258482</v>
      </c>
      <c r="X85" s="25">
        <f t="shared" si="17"/>
        <v>3531295.6599999997</v>
      </c>
      <c r="Y85" s="25">
        <f t="shared" si="17"/>
        <v>36775810.389999993</v>
      </c>
      <c r="Z85" s="25">
        <f t="shared" si="17"/>
        <v>2876099.3200000003</v>
      </c>
      <c r="AA85" s="25">
        <f t="shared" si="17"/>
        <v>1817047.5000000002</v>
      </c>
      <c r="AB85" s="25">
        <f t="shared" si="17"/>
        <v>159743689.25999999</v>
      </c>
      <c r="AC85" s="25">
        <f t="shared" si="17"/>
        <v>26755020.640000001</v>
      </c>
      <c r="AD85" s="25">
        <f t="shared" si="17"/>
        <v>8704923.0200000014</v>
      </c>
      <c r="AE85" s="25">
        <f t="shared" si="17"/>
        <v>19471909.100000001</v>
      </c>
      <c r="AF85" s="25">
        <f t="shared" si="17"/>
        <v>28601367.089999992</v>
      </c>
      <c r="AG85" s="25">
        <f t="shared" si="17"/>
        <v>42211401.059999995</v>
      </c>
      <c r="AH85" s="25">
        <f t="shared" si="17"/>
        <v>11919222.340000002</v>
      </c>
      <c r="AI85" s="25">
        <f>SUM(AI61:AI69)-AI84</f>
        <v>0</v>
      </c>
      <c r="AJ85" s="25">
        <f>SUM(AJ61:AJ69)-AJ84</f>
        <v>234970226.87</v>
      </c>
      <c r="AK85" s="25">
        <f>SUM(AK61:AK69)-AK84</f>
        <v>5038545.129999999</v>
      </c>
      <c r="AL85" s="25">
        <f>SUM(AL61:AL69)-AL84</f>
        <v>3913287.35</v>
      </c>
      <c r="AM85" s="25">
        <f t="shared" ref="AM85:BN85" si="18">SUM(AM61:AM69)-AM84</f>
        <v>5202205.5900000008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249.2</v>
      </c>
      <c r="AR85" s="25">
        <f t="shared" si="18"/>
        <v>22834047.5</v>
      </c>
      <c r="AS85" s="25">
        <f t="shared" si="18"/>
        <v>0</v>
      </c>
      <c r="AT85" s="25">
        <f t="shared" si="18"/>
        <v>5380385.2599999998</v>
      </c>
      <c r="AU85" s="25">
        <f t="shared" si="18"/>
        <v>0</v>
      </c>
      <c r="AV85" s="25">
        <f t="shared" si="18"/>
        <v>8914223.5600000024</v>
      </c>
      <c r="AW85" s="25">
        <f t="shared" si="18"/>
        <v>187250289.34000003</v>
      </c>
      <c r="AX85" s="25">
        <f t="shared" si="18"/>
        <v>1197835.5900000001</v>
      </c>
      <c r="AY85" s="25">
        <f t="shared" si="18"/>
        <v>21763662.66</v>
      </c>
      <c r="AZ85" s="25">
        <f t="shared" si="18"/>
        <v>158196.30999999994</v>
      </c>
      <c r="BA85" s="25">
        <f t="shared" si="18"/>
        <v>4509875.4800000004</v>
      </c>
      <c r="BB85" s="25">
        <f t="shared" si="18"/>
        <v>28653151.210000008</v>
      </c>
      <c r="BC85" s="25">
        <f t="shared" si="18"/>
        <v>399525.58999999997</v>
      </c>
      <c r="BD85" s="25">
        <f t="shared" si="18"/>
        <v>3228188.4499999997</v>
      </c>
      <c r="BE85" s="25">
        <f t="shared" si="18"/>
        <v>111065610.32000002</v>
      </c>
      <c r="BF85" s="25">
        <f t="shared" si="18"/>
        <v>22748890.759999994</v>
      </c>
      <c r="BG85" s="25">
        <f t="shared" si="18"/>
        <v>5720711.2400000002</v>
      </c>
      <c r="BH85" s="25">
        <f t="shared" si="18"/>
        <v>113113570.09</v>
      </c>
      <c r="BI85" s="25">
        <f t="shared" si="18"/>
        <v>7719081.8400000008</v>
      </c>
      <c r="BJ85" s="25">
        <f t="shared" si="18"/>
        <v>14586350.919999998</v>
      </c>
      <c r="BK85" s="25">
        <f t="shared" si="18"/>
        <v>18366651.579999998</v>
      </c>
      <c r="BL85" s="25">
        <f t="shared" si="18"/>
        <v>11045599.899999999</v>
      </c>
      <c r="BM85" s="25">
        <f t="shared" si="18"/>
        <v>0</v>
      </c>
      <c r="BN85" s="25">
        <f t="shared" si="18"/>
        <v>46339349.309999995</v>
      </c>
      <c r="BO85" s="25">
        <f t="shared" ref="BO85:CD85" si="19">SUM(BO61:BO69)-BO84</f>
        <v>2258765.5200000005</v>
      </c>
      <c r="BP85" s="25">
        <f t="shared" si="19"/>
        <v>11573837.439999999</v>
      </c>
      <c r="BQ85" s="25">
        <f t="shared" si="19"/>
        <v>11091094.710000001</v>
      </c>
      <c r="BR85" s="25">
        <f t="shared" si="19"/>
        <v>23353633.710000001</v>
      </c>
      <c r="BS85" s="25">
        <f t="shared" si="19"/>
        <v>69634</v>
      </c>
      <c r="BT85" s="25">
        <f t="shared" si="19"/>
        <v>1672434.1600000001</v>
      </c>
      <c r="BU85" s="25">
        <f t="shared" si="19"/>
        <v>1848632.08</v>
      </c>
      <c r="BV85" s="25">
        <f t="shared" si="19"/>
        <v>3347707.7899999996</v>
      </c>
      <c r="BW85" s="25">
        <f t="shared" si="19"/>
        <v>46405284</v>
      </c>
      <c r="BX85" s="25">
        <f t="shared" si="19"/>
        <v>21826672.260000002</v>
      </c>
      <c r="BY85" s="25">
        <f t="shared" si="19"/>
        <v>20620006.959999997</v>
      </c>
      <c r="BZ85" s="25">
        <f t="shared" si="19"/>
        <v>9797236.4799999986</v>
      </c>
      <c r="CA85" s="25">
        <f t="shared" si="19"/>
        <v>0</v>
      </c>
      <c r="CB85" s="25">
        <f t="shared" si="19"/>
        <v>0</v>
      </c>
      <c r="CC85" s="25">
        <f t="shared" si="19"/>
        <v>128936317.71000001</v>
      </c>
      <c r="CD85" s="25">
        <f t="shared" si="19"/>
        <v>0</v>
      </c>
      <c r="CE85" s="25">
        <f t="shared" si="16"/>
        <v>2034931626.0999997</v>
      </c>
      <c r="CF85" s="301">
        <v>0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38">
        <v>0</v>
      </c>
      <c r="CF86" s="301">
        <v>0</v>
      </c>
    </row>
    <row r="87" spans="1:84" x14ac:dyDescent="0.25">
      <c r="A87" s="21" t="s">
        <v>285</v>
      </c>
      <c r="B87" s="16"/>
      <c r="C87" s="302">
        <f>668854581.6+2191778.3</f>
        <v>671046359.89999998</v>
      </c>
      <c r="D87" s="302">
        <v>0</v>
      </c>
      <c r="E87" s="302">
        <v>577164992.4000001</v>
      </c>
      <c r="F87" s="302">
        <v>0</v>
      </c>
      <c r="G87" s="302">
        <v>33534576.300000001</v>
      </c>
      <c r="H87" s="302">
        <v>92387324.099999994</v>
      </c>
      <c r="I87" s="302">
        <v>0</v>
      </c>
      <c r="J87" s="302">
        <v>0</v>
      </c>
      <c r="K87" s="302">
        <v>0</v>
      </c>
      <c r="L87" s="302">
        <v>0</v>
      </c>
      <c r="M87" s="302">
        <v>0</v>
      </c>
      <c r="N87" s="302">
        <v>0</v>
      </c>
      <c r="O87" s="302">
        <v>0</v>
      </c>
      <c r="P87" s="302">
        <v>295785880.21999997</v>
      </c>
      <c r="Q87" s="302">
        <v>12979046.899999999</v>
      </c>
      <c r="R87" s="302">
        <v>66689265.700000003</v>
      </c>
      <c r="S87" s="302">
        <v>11752502.33</v>
      </c>
      <c r="T87" s="302">
        <v>0</v>
      </c>
      <c r="U87" s="302">
        <v>145155505.94999999</v>
      </c>
      <c r="V87" s="302">
        <v>63993100.299999997</v>
      </c>
      <c r="W87" s="302">
        <v>14514845.799999999</v>
      </c>
      <c r="X87" s="302">
        <v>13978903.25</v>
      </c>
      <c r="Y87" s="302">
        <v>68916215.590000004</v>
      </c>
      <c r="Z87" s="302">
        <v>4101084.1000000006</v>
      </c>
      <c r="AA87" s="302">
        <v>570027.75</v>
      </c>
      <c r="AB87" s="302">
        <v>282854776.39999998</v>
      </c>
      <c r="AC87" s="302">
        <v>19384822.800000001</v>
      </c>
      <c r="AD87" s="302">
        <v>19536824.599999998</v>
      </c>
      <c r="AE87" s="302">
        <v>6336735.9999999991</v>
      </c>
      <c r="AF87" s="302">
        <v>2265422.2000000002</v>
      </c>
      <c r="AG87" s="302">
        <v>31154913.500000004</v>
      </c>
      <c r="AH87" s="302">
        <v>1308901.5999999999</v>
      </c>
      <c r="AI87" s="302">
        <v>0</v>
      </c>
      <c r="AJ87" s="302">
        <v>4896640.9100000011</v>
      </c>
      <c r="AK87" s="302">
        <v>7091859.2500000009</v>
      </c>
      <c r="AL87" s="302">
        <v>5031091.0999999996</v>
      </c>
      <c r="AM87" s="302">
        <v>0</v>
      </c>
      <c r="AN87" s="302">
        <v>0</v>
      </c>
      <c r="AO87" s="302">
        <v>0</v>
      </c>
      <c r="AP87" s="302">
        <v>0</v>
      </c>
      <c r="AQ87" s="302">
        <v>0</v>
      </c>
      <c r="AR87" s="302">
        <v>10717.13</v>
      </c>
      <c r="AS87" s="302">
        <v>0</v>
      </c>
      <c r="AT87" s="302">
        <v>7701500</v>
      </c>
      <c r="AU87" s="302">
        <v>0</v>
      </c>
      <c r="AV87" s="302">
        <v>24648849.299999997</v>
      </c>
      <c r="AW87" s="231" t="s">
        <v>246</v>
      </c>
      <c r="AX87" s="231" t="s">
        <v>246</v>
      </c>
      <c r="AY87" s="231" t="s">
        <v>246</v>
      </c>
      <c r="AZ87" s="231" t="s">
        <v>246</v>
      </c>
      <c r="BA87" s="231" t="s">
        <v>246</v>
      </c>
      <c r="BB87" s="231" t="s">
        <v>246</v>
      </c>
      <c r="BC87" s="231" t="s">
        <v>246</v>
      </c>
      <c r="BD87" s="231" t="s">
        <v>246</v>
      </c>
      <c r="BE87" s="231" t="s">
        <v>246</v>
      </c>
      <c r="BF87" s="231" t="s">
        <v>246</v>
      </c>
      <c r="BG87" s="231" t="s">
        <v>246</v>
      </c>
      <c r="BH87" s="231" t="s">
        <v>246</v>
      </c>
      <c r="BI87" s="231" t="s">
        <v>246</v>
      </c>
      <c r="BJ87" s="231" t="s">
        <v>246</v>
      </c>
      <c r="BK87" s="231" t="s">
        <v>246</v>
      </c>
      <c r="BL87" s="231" t="s">
        <v>246</v>
      </c>
      <c r="BM87" s="231" t="s">
        <v>246</v>
      </c>
      <c r="BN87" s="231" t="s">
        <v>246</v>
      </c>
      <c r="BO87" s="231" t="s">
        <v>246</v>
      </c>
      <c r="BP87" s="231" t="s">
        <v>246</v>
      </c>
      <c r="BQ87" s="231" t="s">
        <v>246</v>
      </c>
      <c r="BR87" s="231" t="s">
        <v>246</v>
      </c>
      <c r="BS87" s="231" t="s">
        <v>246</v>
      </c>
      <c r="BT87" s="231" t="s">
        <v>246</v>
      </c>
      <c r="BU87" s="231" t="s">
        <v>246</v>
      </c>
      <c r="BV87" s="231" t="s">
        <v>246</v>
      </c>
      <c r="BW87" s="231" t="s">
        <v>246</v>
      </c>
      <c r="BX87" s="231" t="s">
        <v>246</v>
      </c>
      <c r="BY87" s="231" t="s">
        <v>246</v>
      </c>
      <c r="BZ87" s="231" t="s">
        <v>246</v>
      </c>
      <c r="CA87" s="231" t="s">
        <v>246</v>
      </c>
      <c r="CB87" s="231" t="s">
        <v>246</v>
      </c>
      <c r="CC87" s="231" t="s">
        <v>246</v>
      </c>
      <c r="CD87" s="231" t="s">
        <v>246</v>
      </c>
      <c r="CE87" s="232">
        <f t="shared" ref="CE87:CE94" si="20">SUM(C87:CD87)</f>
        <v>2484792685.3799996</v>
      </c>
      <c r="CF87" s="301">
        <v>0</v>
      </c>
    </row>
    <row r="88" spans="1:84" x14ac:dyDescent="0.25">
      <c r="A88" s="21" t="s">
        <v>286</v>
      </c>
      <c r="B88" s="16"/>
      <c r="C88" s="302">
        <v>985775.5</v>
      </c>
      <c r="D88" s="302">
        <v>0</v>
      </c>
      <c r="E88" s="302">
        <v>55076244.949999996</v>
      </c>
      <c r="F88" s="302">
        <v>0</v>
      </c>
      <c r="G88" s="302">
        <v>1987417.5</v>
      </c>
      <c r="H88" s="302">
        <v>6681</v>
      </c>
      <c r="I88" s="302">
        <v>0</v>
      </c>
      <c r="J88" s="302">
        <v>0</v>
      </c>
      <c r="K88" s="302">
        <v>0</v>
      </c>
      <c r="L88" s="302">
        <v>0</v>
      </c>
      <c r="M88" s="302">
        <v>0</v>
      </c>
      <c r="N88" s="302">
        <v>0</v>
      </c>
      <c r="O88" s="302">
        <v>0</v>
      </c>
      <c r="P88" s="302">
        <v>265121249.60000002</v>
      </c>
      <c r="Q88" s="302">
        <v>38745595.799999997</v>
      </c>
      <c r="R88" s="302">
        <v>76729713.399999991</v>
      </c>
      <c r="S88" s="302">
        <v>13758129.890000001</v>
      </c>
      <c r="T88" s="302">
        <v>0</v>
      </c>
      <c r="U88" s="302">
        <v>147451725.54999998</v>
      </c>
      <c r="V88" s="302">
        <v>70653206.799999997</v>
      </c>
      <c r="W88" s="302">
        <v>52636898.700000003</v>
      </c>
      <c r="X88" s="302">
        <v>24849766.100000001</v>
      </c>
      <c r="Y88" s="302">
        <v>144124938.18000001</v>
      </c>
      <c r="Z88" s="302">
        <v>792520.6</v>
      </c>
      <c r="AA88" s="302">
        <v>3755304.25</v>
      </c>
      <c r="AB88" s="302">
        <v>300152655</v>
      </c>
      <c r="AC88" s="302">
        <v>1936902.6</v>
      </c>
      <c r="AD88" s="302">
        <v>22696263.700000003</v>
      </c>
      <c r="AE88" s="302">
        <v>20361409.999999996</v>
      </c>
      <c r="AF88" s="302">
        <v>18191759.619999997</v>
      </c>
      <c r="AG88" s="302">
        <v>135650649.90000001</v>
      </c>
      <c r="AH88" s="302">
        <v>295153.8</v>
      </c>
      <c r="AI88" s="302">
        <v>0</v>
      </c>
      <c r="AJ88" s="302">
        <f>189061510.16+14312242.6</f>
        <v>203373752.75999999</v>
      </c>
      <c r="AK88" s="302">
        <v>3541374.6400000006</v>
      </c>
      <c r="AL88" s="302">
        <v>7302489.7999999998</v>
      </c>
      <c r="AM88" s="302">
        <v>0</v>
      </c>
      <c r="AN88" s="302">
        <v>0</v>
      </c>
      <c r="AO88" s="302">
        <v>0</v>
      </c>
      <c r="AP88" s="302">
        <v>0</v>
      </c>
      <c r="AQ88" s="302">
        <v>0</v>
      </c>
      <c r="AR88" s="302">
        <v>90243484.539999992</v>
      </c>
      <c r="AS88" s="302">
        <v>0</v>
      </c>
      <c r="AT88" s="302">
        <v>0</v>
      </c>
      <c r="AU88" s="302">
        <v>0</v>
      </c>
      <c r="AV88" s="302">
        <v>201150.1</v>
      </c>
      <c r="AW88" s="231" t="s">
        <v>246</v>
      </c>
      <c r="AX88" s="231" t="s">
        <v>246</v>
      </c>
      <c r="AY88" s="231" t="s">
        <v>246</v>
      </c>
      <c r="AZ88" s="231" t="s">
        <v>246</v>
      </c>
      <c r="BA88" s="231" t="s">
        <v>246</v>
      </c>
      <c r="BB88" s="231" t="s">
        <v>246</v>
      </c>
      <c r="BC88" s="231" t="s">
        <v>246</v>
      </c>
      <c r="BD88" s="231" t="s">
        <v>246</v>
      </c>
      <c r="BE88" s="231" t="s">
        <v>246</v>
      </c>
      <c r="BF88" s="231" t="s">
        <v>246</v>
      </c>
      <c r="BG88" s="231" t="s">
        <v>246</v>
      </c>
      <c r="BH88" s="231" t="s">
        <v>246</v>
      </c>
      <c r="BI88" s="231" t="s">
        <v>246</v>
      </c>
      <c r="BJ88" s="231" t="s">
        <v>246</v>
      </c>
      <c r="BK88" s="231" t="s">
        <v>246</v>
      </c>
      <c r="BL88" s="231" t="s">
        <v>246</v>
      </c>
      <c r="BM88" s="231" t="s">
        <v>246</v>
      </c>
      <c r="BN88" s="231" t="s">
        <v>246</v>
      </c>
      <c r="BO88" s="231" t="s">
        <v>246</v>
      </c>
      <c r="BP88" s="231" t="s">
        <v>246</v>
      </c>
      <c r="BQ88" s="231" t="s">
        <v>246</v>
      </c>
      <c r="BR88" s="231" t="s">
        <v>246</v>
      </c>
      <c r="BS88" s="231" t="s">
        <v>246</v>
      </c>
      <c r="BT88" s="231" t="s">
        <v>246</v>
      </c>
      <c r="BU88" s="231" t="s">
        <v>246</v>
      </c>
      <c r="BV88" s="231" t="s">
        <v>246</v>
      </c>
      <c r="BW88" s="231" t="s">
        <v>246</v>
      </c>
      <c r="BX88" s="231" t="s">
        <v>246</v>
      </c>
      <c r="BY88" s="231" t="s">
        <v>246</v>
      </c>
      <c r="BZ88" s="231" t="s">
        <v>246</v>
      </c>
      <c r="CA88" s="231" t="s">
        <v>246</v>
      </c>
      <c r="CB88" s="231" t="s">
        <v>246</v>
      </c>
      <c r="CC88" s="231" t="s">
        <v>246</v>
      </c>
      <c r="CD88" s="231" t="s">
        <v>246</v>
      </c>
      <c r="CE88" s="232">
        <f t="shared" si="20"/>
        <v>1700622214.28</v>
      </c>
      <c r="CF88" s="301">
        <v>0</v>
      </c>
    </row>
    <row r="89" spans="1:84" x14ac:dyDescent="0.25">
      <c r="A89" s="21" t="s">
        <v>287</v>
      </c>
      <c r="B89" s="16"/>
      <c r="C89" s="25">
        <f t="shared" ref="C89:AV89" si="21">C87+C88</f>
        <v>672032135.39999998</v>
      </c>
      <c r="D89" s="25">
        <f t="shared" si="21"/>
        <v>0</v>
      </c>
      <c r="E89" s="25">
        <f t="shared" si="21"/>
        <v>632241237.35000014</v>
      </c>
      <c r="F89" s="25">
        <f t="shared" si="21"/>
        <v>0</v>
      </c>
      <c r="G89" s="25">
        <f t="shared" si="21"/>
        <v>35521993.799999997</v>
      </c>
      <c r="H89" s="25">
        <f t="shared" si="21"/>
        <v>92394005.099999994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560907129.81999993</v>
      </c>
      <c r="Q89" s="25">
        <f t="shared" si="21"/>
        <v>51724642.699999996</v>
      </c>
      <c r="R89" s="25">
        <f t="shared" si="21"/>
        <v>143418979.09999999</v>
      </c>
      <c r="S89" s="25">
        <f t="shared" si="21"/>
        <v>25510632.219999999</v>
      </c>
      <c r="T89" s="25">
        <f t="shared" si="21"/>
        <v>0</v>
      </c>
      <c r="U89" s="25">
        <f t="shared" si="21"/>
        <v>292607231.5</v>
      </c>
      <c r="V89" s="25">
        <f t="shared" si="21"/>
        <v>134646307.09999999</v>
      </c>
      <c r="W89" s="25">
        <f t="shared" si="21"/>
        <v>67151744.5</v>
      </c>
      <c r="X89" s="25">
        <f t="shared" si="21"/>
        <v>38828669.350000001</v>
      </c>
      <c r="Y89" s="25">
        <f t="shared" si="21"/>
        <v>213041153.77000001</v>
      </c>
      <c r="Z89" s="25">
        <f t="shared" si="21"/>
        <v>4893604.7</v>
      </c>
      <c r="AA89" s="25">
        <f t="shared" si="21"/>
        <v>4325332</v>
      </c>
      <c r="AB89" s="25">
        <f t="shared" si="21"/>
        <v>583007431.39999998</v>
      </c>
      <c r="AC89" s="25">
        <f t="shared" si="21"/>
        <v>21321725.400000002</v>
      </c>
      <c r="AD89" s="25">
        <f t="shared" si="21"/>
        <v>42233088.299999997</v>
      </c>
      <c r="AE89" s="25">
        <f t="shared" si="21"/>
        <v>26698145.999999996</v>
      </c>
      <c r="AF89" s="25">
        <f t="shared" si="21"/>
        <v>20457181.819999997</v>
      </c>
      <c r="AG89" s="25">
        <f t="shared" si="21"/>
        <v>166805563.40000001</v>
      </c>
      <c r="AH89" s="25">
        <f t="shared" si="21"/>
        <v>1604055.4</v>
      </c>
      <c r="AI89" s="25">
        <f t="shared" si="21"/>
        <v>0</v>
      </c>
      <c r="AJ89" s="25">
        <f t="shared" si="21"/>
        <v>208270393.66999999</v>
      </c>
      <c r="AK89" s="25">
        <f t="shared" si="21"/>
        <v>10633233.890000001</v>
      </c>
      <c r="AL89" s="25">
        <f t="shared" si="21"/>
        <v>12333580.899999999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90254201.669999987</v>
      </c>
      <c r="AS89" s="25">
        <f t="shared" si="21"/>
        <v>0</v>
      </c>
      <c r="AT89" s="25">
        <f t="shared" si="21"/>
        <v>7701500</v>
      </c>
      <c r="AU89" s="25">
        <f t="shared" si="21"/>
        <v>0</v>
      </c>
      <c r="AV89" s="25">
        <f t="shared" si="21"/>
        <v>24849999.399999999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f t="shared" si="20"/>
        <v>4185414899.6600003</v>
      </c>
      <c r="CF89" s="301">
        <v>0</v>
      </c>
    </row>
    <row r="90" spans="1:84" x14ac:dyDescent="0.25">
      <c r="A90" s="31" t="s">
        <v>288</v>
      </c>
      <c r="B90" s="25"/>
      <c r="C90" s="320">
        <v>148836.49662350534</v>
      </c>
      <c r="D90" s="323">
        <v>0</v>
      </c>
      <c r="E90" s="323">
        <f>331894.742192838</f>
        <v>331894.74219283799</v>
      </c>
      <c r="F90" s="323">
        <v>0</v>
      </c>
      <c r="G90" s="323">
        <v>20584.488857092354</v>
      </c>
      <c r="H90" s="323">
        <v>61152.411937325647</v>
      </c>
      <c r="I90" s="323">
        <v>0</v>
      </c>
      <c r="J90" s="323">
        <v>0</v>
      </c>
      <c r="K90" s="323">
        <v>0</v>
      </c>
      <c r="L90" s="323">
        <v>0</v>
      </c>
      <c r="M90" s="323">
        <v>0</v>
      </c>
      <c r="N90" s="323">
        <v>0</v>
      </c>
      <c r="O90" s="323">
        <v>0</v>
      </c>
      <c r="P90" s="323">
        <v>180264.56637384367</v>
      </c>
      <c r="Q90" s="323">
        <v>23912.678696551993</v>
      </c>
      <c r="R90" s="323">
        <v>13991.007998258741</v>
      </c>
      <c r="S90" s="323">
        <v>65152.436901152527</v>
      </c>
      <c r="T90" s="323">
        <v>745.30079168471343</v>
      </c>
      <c r="U90" s="323">
        <v>80063.641954355087</v>
      </c>
      <c r="V90" s="323">
        <v>16023.268146975581</v>
      </c>
      <c r="W90" s="323">
        <v>18807.848321324705</v>
      </c>
      <c r="X90" s="323">
        <v>5162.6099731622535</v>
      </c>
      <c r="Y90" s="323">
        <v>68680.56339086451</v>
      </c>
      <c r="Z90" s="323">
        <v>3784.071060344731</v>
      </c>
      <c r="AA90" s="323">
        <v>2357.8944047964733</v>
      </c>
      <c r="AB90" s="323">
        <v>46919.929981897105</v>
      </c>
      <c r="AC90" s="323">
        <v>6700.3084003181893</v>
      </c>
      <c r="AD90" s="323">
        <v>14022.998307245804</v>
      </c>
      <c r="AE90" s="323">
        <v>11296.93</v>
      </c>
      <c r="AF90" s="323">
        <v>41026.743709207061</v>
      </c>
      <c r="AG90" s="323">
        <v>61750.503212063115</v>
      </c>
      <c r="AH90" s="323">
        <v>67414.993907057811</v>
      </c>
      <c r="AI90" s="323"/>
      <c r="AJ90" s="323">
        <f>288771.868656209+1760</f>
        <v>290531.86865620897</v>
      </c>
      <c r="AK90" s="323">
        <v>5986.9979176205361</v>
      </c>
      <c r="AL90" s="323">
        <v>2696.5937329789485</v>
      </c>
      <c r="AM90" s="323">
        <v>8095.5651931570865</v>
      </c>
      <c r="AN90" s="323">
        <v>0</v>
      </c>
      <c r="AO90" s="323">
        <v>0</v>
      </c>
      <c r="AP90" s="323">
        <v>0</v>
      </c>
      <c r="AQ90" s="323">
        <v>0</v>
      </c>
      <c r="AR90" s="323">
        <v>35.467516485657029</v>
      </c>
      <c r="AS90" s="323">
        <v>0</v>
      </c>
      <c r="AT90" s="323">
        <v>1336.6578802789036</v>
      </c>
      <c r="AU90" s="323">
        <v>0</v>
      </c>
      <c r="AV90" s="323">
        <v>671.43</v>
      </c>
      <c r="AW90" s="323">
        <v>5529.58</v>
      </c>
      <c r="AX90" s="323">
        <v>0</v>
      </c>
      <c r="AY90" s="323">
        <v>52209.227074808376</v>
      </c>
      <c r="AZ90" s="323">
        <v>1307.0574386637277</v>
      </c>
      <c r="BA90" s="323">
        <v>1221.6015341016334</v>
      </c>
      <c r="BB90" s="323">
        <v>18818.551419041069</v>
      </c>
      <c r="BC90" s="323">
        <v>931.42299934499931</v>
      </c>
      <c r="BD90" s="323"/>
      <c r="BE90" s="323">
        <v>463846.8951265561</v>
      </c>
      <c r="BF90" s="323">
        <v>8789.3896437382082</v>
      </c>
      <c r="BG90" s="323">
        <v>1985.9496276676723</v>
      </c>
      <c r="BH90" s="323">
        <v>14892.594423901437</v>
      </c>
      <c r="BI90" s="323">
        <v>3631.6576673795571</v>
      </c>
      <c r="BJ90" s="323"/>
      <c r="BK90" s="323"/>
      <c r="BL90" s="323">
        <v>5166.1045637300704</v>
      </c>
      <c r="BM90" s="323">
        <v>0</v>
      </c>
      <c r="BN90" s="323">
        <v>22336.973107588969</v>
      </c>
      <c r="BO90" s="323">
        <v>649.89520535525503</v>
      </c>
      <c r="BP90" s="323">
        <v>3607.90356057492</v>
      </c>
      <c r="BQ90" s="323">
        <v>9292.6629392800041</v>
      </c>
      <c r="BR90" s="323">
        <v>57.166689509589858</v>
      </c>
      <c r="BS90" s="323">
        <v>682.75738955881559</v>
      </c>
      <c r="BT90" s="323">
        <v>5330.8362822569543</v>
      </c>
      <c r="BU90" s="323">
        <v>3795.9875713536476</v>
      </c>
      <c r="BV90" s="323">
        <v>308.07531675983216</v>
      </c>
      <c r="BW90" s="323">
        <v>25857.610603929759</v>
      </c>
      <c r="BX90" s="323">
        <v>6451.9130501034078</v>
      </c>
      <c r="BY90" s="323">
        <v>5348.57197886005</v>
      </c>
      <c r="BZ90" s="323">
        <v>133.16293890169115</v>
      </c>
      <c r="CA90" s="323">
        <v>0</v>
      </c>
      <c r="CB90" s="323">
        <v>0</v>
      </c>
      <c r="CC90" s="323">
        <f>85852.5723055947-16215+90</f>
        <v>69727.572305594702</v>
      </c>
      <c r="CD90" s="223" t="s">
        <v>246</v>
      </c>
      <c r="CE90" s="25">
        <f t="shared" si="20"/>
        <v>2331812.1364971558</v>
      </c>
      <c r="CF90" s="25">
        <f>BE59-CE90</f>
        <v>-944684.52181706857</v>
      </c>
    </row>
    <row r="91" spans="1:84" x14ac:dyDescent="0.25">
      <c r="A91" s="21" t="s">
        <v>289</v>
      </c>
      <c r="B91" s="16"/>
      <c r="C91" s="323">
        <v>0</v>
      </c>
      <c r="D91" s="323">
        <v>0</v>
      </c>
      <c r="E91" s="323">
        <v>0</v>
      </c>
      <c r="F91" s="323">
        <v>0</v>
      </c>
      <c r="G91" s="323">
        <v>0</v>
      </c>
      <c r="H91" s="323">
        <v>0</v>
      </c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23"/>
      <c r="AD91" s="323"/>
      <c r="AE91" s="323"/>
      <c r="AF91" s="323"/>
      <c r="AG91" s="323"/>
      <c r="AH91" s="323"/>
      <c r="AI91" s="323"/>
      <c r="AJ91" s="323"/>
      <c r="AK91" s="323"/>
      <c r="AL91" s="323"/>
      <c r="AM91" s="323"/>
      <c r="AN91" s="323"/>
      <c r="AO91" s="323"/>
      <c r="AP91" s="323"/>
      <c r="AQ91" s="323"/>
      <c r="AR91" s="323"/>
      <c r="AS91" s="323"/>
      <c r="AT91" s="323"/>
      <c r="AU91" s="323"/>
      <c r="AV91" s="323"/>
      <c r="AW91" s="323"/>
      <c r="AX91" s="231" t="s">
        <v>246</v>
      </c>
      <c r="AY91" s="231" t="s">
        <v>246</v>
      </c>
      <c r="AZ91" s="323"/>
      <c r="BA91" s="323">
        <v>0</v>
      </c>
      <c r="BB91" s="323">
        <v>0</v>
      </c>
      <c r="BC91" s="323">
        <v>0</v>
      </c>
      <c r="BD91" s="231" t="s">
        <v>246</v>
      </c>
      <c r="BE91" s="231" t="s">
        <v>246</v>
      </c>
      <c r="BF91" s="237">
        <v>0</v>
      </c>
      <c r="BG91" s="231" t="s">
        <v>246</v>
      </c>
      <c r="BH91" s="237">
        <v>0</v>
      </c>
      <c r="BI91" s="237">
        <v>0</v>
      </c>
      <c r="BJ91" s="231" t="s">
        <v>246</v>
      </c>
      <c r="BK91" s="237">
        <v>0</v>
      </c>
      <c r="BL91" s="237">
        <v>0</v>
      </c>
      <c r="BM91" s="237">
        <v>0</v>
      </c>
      <c r="BN91" s="231" t="s">
        <v>246</v>
      </c>
      <c r="BO91" s="231" t="s">
        <v>246</v>
      </c>
      <c r="BP91" s="231" t="s">
        <v>246</v>
      </c>
      <c r="BQ91" s="231" t="s">
        <v>246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31" t="s">
        <v>246</v>
      </c>
      <c r="CD91" s="24" t="s">
        <v>246</v>
      </c>
      <c r="CE91" s="25">
        <f t="shared" si="20"/>
        <v>0</v>
      </c>
      <c r="CF91" s="25">
        <f>AY59-CE91</f>
        <v>1104198</v>
      </c>
    </row>
    <row r="92" spans="1:84" x14ac:dyDescent="0.25">
      <c r="A92" s="21" t="s">
        <v>290</v>
      </c>
      <c r="B92" s="16"/>
      <c r="C92" s="323">
        <v>13077.662220798285</v>
      </c>
      <c r="D92" s="323"/>
      <c r="E92" s="323">
        <f>65644.4455683582</f>
        <v>65644.445568358205</v>
      </c>
      <c r="F92" s="323"/>
      <c r="G92" s="323">
        <v>5426.0278567654668</v>
      </c>
      <c r="H92" s="323">
        <v>13871.397295450681</v>
      </c>
      <c r="I92" s="323"/>
      <c r="J92" s="323"/>
      <c r="K92" s="323"/>
      <c r="L92" s="323"/>
      <c r="M92" s="323"/>
      <c r="N92" s="323"/>
      <c r="O92" s="323"/>
      <c r="P92" s="323">
        <v>30427.969808148126</v>
      </c>
      <c r="Q92" s="323">
        <v>3459.3429098920033</v>
      </c>
      <c r="R92" s="323">
        <v>2226.7437510786494</v>
      </c>
      <c r="S92" s="323">
        <v>8108.6539135750645</v>
      </c>
      <c r="T92" s="323">
        <v>109.92055518838902</v>
      </c>
      <c r="U92" s="323">
        <v>12414.853429037288</v>
      </c>
      <c r="V92" s="323">
        <v>5540.569158334496</v>
      </c>
      <c r="W92" s="323">
        <v>2806.2339733331864</v>
      </c>
      <c r="X92" s="323">
        <v>453.61770088908418</v>
      </c>
      <c r="Y92" s="323">
        <v>7295.5810285771186</v>
      </c>
      <c r="Z92" s="323">
        <v>654.97435588511883</v>
      </c>
      <c r="AA92" s="323">
        <v>207.17866435838081</v>
      </c>
      <c r="AB92" s="323">
        <v>5971.3368352000407</v>
      </c>
      <c r="AC92" s="323">
        <v>588.72905518726316</v>
      </c>
      <c r="AD92" s="323">
        <v>2464.2885225776649</v>
      </c>
      <c r="AE92" s="323">
        <v>6879.390596843019</v>
      </c>
      <c r="AF92" s="323">
        <v>6571.9426927327595</v>
      </c>
      <c r="AG92" s="323">
        <v>5923.4834125653706</v>
      </c>
      <c r="AH92" s="323">
        <v>309.25563200641955</v>
      </c>
      <c r="AI92" s="323"/>
      <c r="AJ92" s="323">
        <v>48794.6603914445</v>
      </c>
      <c r="AK92" s="323">
        <v>703.84528695236963</v>
      </c>
      <c r="AL92" s="323">
        <v>236.9388072592599</v>
      </c>
      <c r="AM92" s="323">
        <v>711.32463800441315</v>
      </c>
      <c r="AN92" s="323"/>
      <c r="AO92" s="323"/>
      <c r="AP92" s="323"/>
      <c r="AQ92" s="323"/>
      <c r="AR92" s="323">
        <v>1919.3327586436078</v>
      </c>
      <c r="AS92" s="323"/>
      <c r="AT92" s="323">
        <v>136</v>
      </c>
      <c r="AU92" s="323"/>
      <c r="AV92" s="323">
        <v>226.39989670435421</v>
      </c>
      <c r="AW92" s="237">
        <v>1380.259665370404</v>
      </c>
      <c r="AX92" s="231" t="s">
        <v>246</v>
      </c>
      <c r="AY92" s="231" t="s">
        <v>246</v>
      </c>
      <c r="AZ92" s="231" t="s">
        <v>246</v>
      </c>
      <c r="BA92" s="237">
        <v>107.33719614351068</v>
      </c>
      <c r="BB92" s="237">
        <v>1794.3203639894448</v>
      </c>
      <c r="BC92" s="237">
        <v>81.840379520146769</v>
      </c>
      <c r="BD92" s="231" t="s">
        <v>246</v>
      </c>
      <c r="BE92" s="231" t="s">
        <v>246</v>
      </c>
      <c r="BF92" s="231" t="s">
        <v>246</v>
      </c>
      <c r="BG92" s="231" t="s">
        <v>246</v>
      </c>
      <c r="BH92" s="237">
        <v>0</v>
      </c>
      <c r="BI92" s="237">
        <v>0</v>
      </c>
      <c r="BJ92" s="231" t="s">
        <v>246</v>
      </c>
      <c r="BK92" s="237">
        <v>0</v>
      </c>
      <c r="BL92" s="237">
        <v>0</v>
      </c>
      <c r="BM92" s="237">
        <v>0</v>
      </c>
      <c r="BN92" s="231" t="s">
        <v>246</v>
      </c>
      <c r="BO92" s="231" t="s">
        <v>246</v>
      </c>
      <c r="BP92" s="231" t="s">
        <v>246</v>
      </c>
      <c r="BQ92" s="231" t="s">
        <v>246</v>
      </c>
      <c r="BR92" s="231" t="s">
        <v>246</v>
      </c>
      <c r="BS92" s="237">
        <v>0</v>
      </c>
      <c r="BT92" s="237">
        <v>0</v>
      </c>
      <c r="BU92" s="237">
        <v>0</v>
      </c>
      <c r="BV92" s="237">
        <v>0</v>
      </c>
      <c r="BW92" s="237">
        <v>0</v>
      </c>
      <c r="BX92" s="237">
        <v>0</v>
      </c>
      <c r="BY92" s="237">
        <v>0</v>
      </c>
      <c r="BZ92" s="237">
        <v>0</v>
      </c>
      <c r="CA92" s="237">
        <v>0</v>
      </c>
      <c r="CB92" s="237">
        <v>0</v>
      </c>
      <c r="CC92" s="231" t="s">
        <v>246</v>
      </c>
      <c r="CD92" s="24" t="s">
        <v>246</v>
      </c>
      <c r="CE92" s="25">
        <f t="shared" si="20"/>
        <v>256525.85832081406</v>
      </c>
      <c r="CF92" s="16"/>
    </row>
    <row r="93" spans="1:84" x14ac:dyDescent="0.25">
      <c r="A93" s="21" t="s">
        <v>291</v>
      </c>
      <c r="B93" s="16"/>
      <c r="C93" s="324">
        <f>1089336+208302.5</f>
        <v>1297638.5</v>
      </c>
      <c r="D93" s="324"/>
      <c r="E93" s="323">
        <f>1589861+208302.5</f>
        <v>1798163.5</v>
      </c>
      <c r="F93" s="323"/>
      <c r="G93" s="323">
        <v>38072</v>
      </c>
      <c r="H93" s="323">
        <v>230750</v>
      </c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>
        <v>29114</v>
      </c>
      <c r="T93" s="323"/>
      <c r="U93" s="323"/>
      <c r="V93" s="323">
        <v>49457</v>
      </c>
      <c r="W93" s="323"/>
      <c r="X93" s="323"/>
      <c r="Y93" s="323">
        <v>278191</v>
      </c>
      <c r="Z93" s="323"/>
      <c r="AA93" s="323"/>
      <c r="AB93" s="323">
        <v>14237</v>
      </c>
      <c r="AC93" s="323"/>
      <c r="AD93" s="323"/>
      <c r="AE93" s="323"/>
      <c r="AF93" s="323"/>
      <c r="AG93" s="323">
        <v>85116</v>
      </c>
      <c r="AH93" s="323"/>
      <c r="AI93" s="323"/>
      <c r="AJ93" s="323">
        <v>102208</v>
      </c>
      <c r="AK93" s="323"/>
      <c r="AL93" s="323"/>
      <c r="AM93" s="323"/>
      <c r="AN93" s="323"/>
      <c r="AO93" s="323"/>
      <c r="AP93" s="323"/>
      <c r="AQ93" s="323"/>
      <c r="AR93" s="323"/>
      <c r="AS93" s="323"/>
      <c r="AT93" s="323"/>
      <c r="AU93" s="323"/>
      <c r="AV93" s="323"/>
      <c r="AW93" s="237">
        <v>18192</v>
      </c>
      <c r="AX93" s="231" t="s">
        <v>246</v>
      </c>
      <c r="AY93" s="231" t="s">
        <v>246</v>
      </c>
      <c r="AZ93" s="231" t="s">
        <v>246</v>
      </c>
      <c r="BA93" s="231" t="s">
        <v>246</v>
      </c>
      <c r="BB93" s="237">
        <v>0</v>
      </c>
      <c r="BC93" s="237">
        <v>0</v>
      </c>
      <c r="BD93" s="231" t="s">
        <v>246</v>
      </c>
      <c r="BE93" s="231" t="s">
        <v>246</v>
      </c>
      <c r="BF93" s="231" t="s">
        <v>246</v>
      </c>
      <c r="BG93" s="231" t="s">
        <v>246</v>
      </c>
      <c r="BH93" s="237">
        <v>0</v>
      </c>
      <c r="BI93" s="239">
        <v>8415</v>
      </c>
      <c r="BJ93" s="231" t="s">
        <v>246</v>
      </c>
      <c r="BK93" s="237">
        <v>0</v>
      </c>
      <c r="BL93" s="237">
        <v>0</v>
      </c>
      <c r="BM93" s="237">
        <v>0</v>
      </c>
      <c r="BN93" s="231" t="s">
        <v>246</v>
      </c>
      <c r="BO93" s="231" t="s">
        <v>246</v>
      </c>
      <c r="BP93" s="231" t="s">
        <v>246</v>
      </c>
      <c r="BQ93" s="231" t="s">
        <v>246</v>
      </c>
      <c r="BR93" s="231" t="s">
        <v>246</v>
      </c>
      <c r="BS93" s="237">
        <v>0</v>
      </c>
      <c r="BT93" s="237">
        <v>0</v>
      </c>
      <c r="BU93" s="237">
        <v>0</v>
      </c>
      <c r="BV93" s="237">
        <v>0</v>
      </c>
      <c r="BW93" s="323">
        <v>22139</v>
      </c>
      <c r="BX93" s="323"/>
      <c r="BY93" s="323"/>
      <c r="BZ93" s="323"/>
      <c r="CA93" s="323"/>
      <c r="CB93" s="323"/>
      <c r="CC93" s="231" t="s">
        <v>246</v>
      </c>
      <c r="CD93" s="24" t="s">
        <v>246</v>
      </c>
      <c r="CE93" s="25">
        <f t="shared" si="20"/>
        <v>3971693</v>
      </c>
      <c r="CF93" s="25">
        <f>BA59</f>
        <v>0</v>
      </c>
    </row>
    <row r="94" spans="1:84" x14ac:dyDescent="0.25">
      <c r="A94" s="21" t="s">
        <v>292</v>
      </c>
      <c r="B94" s="16"/>
      <c r="C94" s="322">
        <v>339.77429811357143</v>
      </c>
      <c r="D94" s="325"/>
      <c r="E94" s="325">
        <v>426.41</v>
      </c>
      <c r="F94" s="325"/>
      <c r="G94" s="325">
        <v>22.71</v>
      </c>
      <c r="H94" s="325">
        <v>38.729999999999997</v>
      </c>
      <c r="I94" s="325"/>
      <c r="J94" s="325"/>
      <c r="K94" s="325"/>
      <c r="L94" s="325"/>
      <c r="M94" s="325"/>
      <c r="N94" s="325"/>
      <c r="O94" s="325"/>
      <c r="P94" s="325">
        <v>68.989999999999995</v>
      </c>
      <c r="Q94" s="325">
        <v>49.32</v>
      </c>
      <c r="R94" s="325">
        <v>0.24</v>
      </c>
      <c r="S94" s="325">
        <v>0</v>
      </c>
      <c r="T94" s="325">
        <v>10.039999999999999</v>
      </c>
      <c r="U94" s="325">
        <v>0</v>
      </c>
      <c r="V94" s="325">
        <v>1.06</v>
      </c>
      <c r="W94" s="325">
        <v>0</v>
      </c>
      <c r="X94" s="325">
        <v>0</v>
      </c>
      <c r="Y94" s="325">
        <v>19.5</v>
      </c>
      <c r="Z94" s="325">
        <v>0</v>
      </c>
      <c r="AA94" s="325">
        <v>0</v>
      </c>
      <c r="AB94" s="325"/>
      <c r="AC94" s="325">
        <v>0</v>
      </c>
      <c r="AD94" s="325">
        <v>25.64</v>
      </c>
      <c r="AE94" s="325">
        <v>0</v>
      </c>
      <c r="AF94" s="325">
        <v>7.17</v>
      </c>
      <c r="AG94" s="325">
        <v>67.41</v>
      </c>
      <c r="AH94" s="325">
        <v>11.05</v>
      </c>
      <c r="AI94" s="325"/>
      <c r="AJ94" s="325">
        <v>300.24</v>
      </c>
      <c r="AK94" s="325">
        <v>0</v>
      </c>
      <c r="AL94" s="325">
        <v>0</v>
      </c>
      <c r="AM94" s="325">
        <v>0</v>
      </c>
      <c r="AN94" s="325"/>
      <c r="AO94" s="325"/>
      <c r="AP94" s="325"/>
      <c r="AQ94" s="325"/>
      <c r="AR94" s="325">
        <v>5.29</v>
      </c>
      <c r="AS94" s="325"/>
      <c r="AT94" s="325">
        <v>2.4</v>
      </c>
      <c r="AU94" s="325"/>
      <c r="AV94" s="325">
        <v>8.49</v>
      </c>
      <c r="AW94" s="231" t="s">
        <v>246</v>
      </c>
      <c r="AX94" s="231" t="s">
        <v>246</v>
      </c>
      <c r="AY94" s="231" t="s">
        <v>246</v>
      </c>
      <c r="AZ94" s="231" t="s">
        <v>246</v>
      </c>
      <c r="BA94" s="231" t="s">
        <v>246</v>
      </c>
      <c r="BB94" s="231" t="s">
        <v>246</v>
      </c>
      <c r="BC94" s="231" t="s">
        <v>246</v>
      </c>
      <c r="BD94" s="231" t="s">
        <v>246</v>
      </c>
      <c r="BE94" s="231" t="s">
        <v>246</v>
      </c>
      <c r="BF94" s="231" t="s">
        <v>246</v>
      </c>
      <c r="BG94" s="231" t="s">
        <v>246</v>
      </c>
      <c r="BH94" s="231" t="s">
        <v>246</v>
      </c>
      <c r="BI94" s="231" t="s">
        <v>246</v>
      </c>
      <c r="BJ94" s="231" t="s">
        <v>246</v>
      </c>
      <c r="BK94" s="231" t="s">
        <v>246</v>
      </c>
      <c r="BL94" s="231" t="s">
        <v>246</v>
      </c>
      <c r="BM94" s="231" t="s">
        <v>246</v>
      </c>
      <c r="BN94" s="231" t="s">
        <v>246</v>
      </c>
      <c r="BO94" s="231" t="s">
        <v>246</v>
      </c>
      <c r="BP94" s="231" t="s">
        <v>246</v>
      </c>
      <c r="BQ94" s="231" t="s">
        <v>246</v>
      </c>
      <c r="BR94" s="231" t="s">
        <v>246</v>
      </c>
      <c r="BS94" s="231" t="s">
        <v>246</v>
      </c>
      <c r="BT94" s="231" t="s">
        <v>246</v>
      </c>
      <c r="BU94" s="233"/>
      <c r="BV94" s="233"/>
      <c r="BW94" s="233"/>
      <c r="BX94" s="233"/>
      <c r="BY94" s="233"/>
      <c r="BZ94" s="233"/>
      <c r="CA94" s="233"/>
      <c r="CB94" s="233"/>
      <c r="CC94" s="231" t="s">
        <v>246</v>
      </c>
      <c r="CD94" s="24" t="s">
        <v>246</v>
      </c>
      <c r="CE94" s="225">
        <f t="shared" si="20"/>
        <v>1404.4642981135714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41" t="s">
        <v>1361</v>
      </c>
      <c r="D96" s="242" t="s">
        <v>3</v>
      </c>
      <c r="E96" s="243" t="s">
        <v>3</v>
      </c>
      <c r="F96" s="12"/>
    </row>
    <row r="97" spans="1:6" x14ac:dyDescent="0.25">
      <c r="A97" s="25" t="s">
        <v>296</v>
      </c>
      <c r="B97" s="32" t="s">
        <v>297</v>
      </c>
      <c r="C97" s="244" t="s">
        <v>298</v>
      </c>
      <c r="D97" s="242" t="s">
        <v>3</v>
      </c>
      <c r="E97" s="243" t="s">
        <v>3</v>
      </c>
      <c r="F97" s="12"/>
    </row>
    <row r="98" spans="1:6" x14ac:dyDescent="0.25">
      <c r="A98" s="25" t="s">
        <v>299</v>
      </c>
      <c r="B98" s="32" t="s">
        <v>297</v>
      </c>
      <c r="C98" s="245" t="s">
        <v>300</v>
      </c>
      <c r="D98" s="242" t="s">
        <v>3</v>
      </c>
      <c r="E98" s="243" t="s">
        <v>3</v>
      </c>
      <c r="F98" s="12"/>
    </row>
    <row r="99" spans="1:6" x14ac:dyDescent="0.25">
      <c r="A99" s="25" t="s">
        <v>301</v>
      </c>
      <c r="B99" s="32" t="s">
        <v>297</v>
      </c>
      <c r="C99" s="245" t="s">
        <v>302</v>
      </c>
      <c r="D99" s="242" t="s">
        <v>3</v>
      </c>
      <c r="E99" s="243" t="s">
        <v>3</v>
      </c>
      <c r="F99" s="12"/>
    </row>
    <row r="100" spans="1:6" x14ac:dyDescent="0.25">
      <c r="A100" s="25" t="s">
        <v>303</v>
      </c>
      <c r="B100" s="32" t="s">
        <v>297</v>
      </c>
      <c r="C100" s="245" t="s">
        <v>304</v>
      </c>
      <c r="D100" s="242" t="s">
        <v>3</v>
      </c>
      <c r="E100" s="243" t="s">
        <v>3</v>
      </c>
      <c r="F100" s="12"/>
    </row>
    <row r="101" spans="1:6" x14ac:dyDescent="0.25">
      <c r="A101" s="25" t="s">
        <v>305</v>
      </c>
      <c r="B101" s="32" t="s">
        <v>297</v>
      </c>
      <c r="C101" s="245" t="s">
        <v>306</v>
      </c>
      <c r="D101" s="242" t="s">
        <v>3</v>
      </c>
      <c r="E101" s="243" t="s">
        <v>3</v>
      </c>
      <c r="F101" s="12"/>
    </row>
    <row r="102" spans="1:6" x14ac:dyDescent="0.25">
      <c r="A102" s="25" t="s">
        <v>307</v>
      </c>
      <c r="B102" s="32" t="s">
        <v>297</v>
      </c>
      <c r="C102" s="246" t="s">
        <v>308</v>
      </c>
      <c r="D102" s="242" t="s">
        <v>3</v>
      </c>
      <c r="E102" s="243" t="s">
        <v>3</v>
      </c>
      <c r="F102" s="12"/>
    </row>
    <row r="103" spans="1:6" x14ac:dyDescent="0.25">
      <c r="A103" s="25" t="s">
        <v>309</v>
      </c>
      <c r="B103" s="32" t="s">
        <v>297</v>
      </c>
      <c r="C103" s="245" t="s">
        <v>310</v>
      </c>
      <c r="D103" s="242" t="s">
        <v>3</v>
      </c>
      <c r="E103" s="243" t="s">
        <v>3</v>
      </c>
      <c r="F103" s="12"/>
    </row>
    <row r="104" spans="1:6" x14ac:dyDescent="0.25">
      <c r="A104" s="25" t="s">
        <v>311</v>
      </c>
      <c r="B104" s="32" t="s">
        <v>297</v>
      </c>
      <c r="C104" s="247" t="s">
        <v>3</v>
      </c>
      <c r="D104" s="242" t="s">
        <v>3</v>
      </c>
      <c r="E104" s="243" t="s">
        <v>3</v>
      </c>
      <c r="F104" s="12"/>
    </row>
    <row r="105" spans="1:6" x14ac:dyDescent="0.25">
      <c r="A105" s="25" t="s">
        <v>313</v>
      </c>
      <c r="B105" s="32" t="s">
        <v>297</v>
      </c>
      <c r="C105" s="247" t="s">
        <v>3</v>
      </c>
      <c r="D105" s="242" t="s">
        <v>3</v>
      </c>
      <c r="E105" s="243" t="s">
        <v>3</v>
      </c>
      <c r="F105" s="12"/>
    </row>
    <row r="106" spans="1:6" x14ac:dyDescent="0.25">
      <c r="A106" s="25" t="s">
        <v>315</v>
      </c>
      <c r="B106" s="32" t="s">
        <v>297</v>
      </c>
      <c r="C106" s="245" t="s">
        <v>3</v>
      </c>
      <c r="D106" s="242" t="s">
        <v>3</v>
      </c>
      <c r="E106" s="243" t="s">
        <v>3</v>
      </c>
      <c r="F106" s="12"/>
    </row>
    <row r="107" spans="1:6" x14ac:dyDescent="0.25">
      <c r="A107" s="25" t="s">
        <v>317</v>
      </c>
      <c r="B107" s="32" t="s">
        <v>297</v>
      </c>
      <c r="C107" s="248" t="s">
        <v>318</v>
      </c>
      <c r="D107" s="242" t="s">
        <v>3</v>
      </c>
      <c r="E107" s="243" t="s">
        <v>3</v>
      </c>
      <c r="F107" s="12"/>
    </row>
    <row r="108" spans="1:6" x14ac:dyDescent="0.25">
      <c r="A108" s="25" t="s">
        <v>319</v>
      </c>
      <c r="B108" s="32" t="s">
        <v>297</v>
      </c>
      <c r="C108" s="248"/>
      <c r="D108" s="242" t="s">
        <v>3</v>
      </c>
      <c r="E108" s="243" t="s">
        <v>3</v>
      </c>
      <c r="F108" s="12"/>
    </row>
    <row r="109" spans="1:6" x14ac:dyDescent="0.25">
      <c r="A109" s="33" t="s">
        <v>320</v>
      </c>
      <c r="B109" s="32" t="s">
        <v>297</v>
      </c>
      <c r="C109" s="245" t="s">
        <v>3</v>
      </c>
      <c r="D109" s="242" t="s">
        <v>3</v>
      </c>
      <c r="E109" s="243" t="s">
        <v>3</v>
      </c>
      <c r="F109" s="12"/>
    </row>
    <row r="110" spans="1:6" x14ac:dyDescent="0.25">
      <c r="A110" s="33" t="s">
        <v>322</v>
      </c>
      <c r="B110" s="32" t="s">
        <v>297</v>
      </c>
      <c r="C110" s="249" t="s">
        <v>3</v>
      </c>
      <c r="D110" s="242" t="s">
        <v>3</v>
      </c>
      <c r="E110" s="243" t="s">
        <v>3</v>
      </c>
      <c r="F110" s="12"/>
    </row>
    <row r="111" spans="1:6" x14ac:dyDescent="0.25">
      <c r="A111" s="30" t="s">
        <v>324</v>
      </c>
      <c r="B111" s="30"/>
      <c r="C111" s="30"/>
      <c r="D111" s="30"/>
      <c r="E111" s="30"/>
    </row>
    <row r="112" spans="1:6" x14ac:dyDescent="0.25">
      <c r="A112" s="34" t="s">
        <v>325</v>
      </c>
      <c r="B112" s="34"/>
      <c r="C112" s="34"/>
      <c r="D112" s="34"/>
      <c r="E112" s="34"/>
    </row>
    <row r="113" spans="1:5" x14ac:dyDescent="0.25">
      <c r="A113" s="16" t="s">
        <v>305</v>
      </c>
      <c r="B113" s="35" t="s">
        <v>297</v>
      </c>
      <c r="C113" s="250">
        <v>0</v>
      </c>
      <c r="D113" s="16"/>
      <c r="E113" s="16"/>
    </row>
    <row r="114" spans="1:5" x14ac:dyDescent="0.25">
      <c r="A114" s="16" t="s">
        <v>309</v>
      </c>
      <c r="B114" s="35" t="s">
        <v>297</v>
      </c>
      <c r="C114" s="250">
        <v>0</v>
      </c>
      <c r="D114" s="16"/>
      <c r="E114" s="16"/>
    </row>
    <row r="115" spans="1:5" x14ac:dyDescent="0.25">
      <c r="A115" s="16" t="s">
        <v>326</v>
      </c>
      <c r="B115" s="35" t="s">
        <v>297</v>
      </c>
      <c r="C115" s="250">
        <v>0</v>
      </c>
      <c r="D115" s="16"/>
      <c r="E115" s="16"/>
    </row>
    <row r="116" spans="1:5" x14ac:dyDescent="0.25">
      <c r="A116" s="34" t="s">
        <v>327</v>
      </c>
      <c r="B116" s="34"/>
      <c r="C116" s="34"/>
      <c r="D116" s="34"/>
      <c r="E116" s="34"/>
    </row>
    <row r="117" spans="1:5" x14ac:dyDescent="0.25">
      <c r="A117" s="16" t="s">
        <v>328</v>
      </c>
      <c r="B117" s="35" t="s">
        <v>297</v>
      </c>
      <c r="C117" s="250">
        <v>0</v>
      </c>
      <c r="D117" s="16"/>
      <c r="E117" s="16"/>
    </row>
    <row r="118" spans="1:5" x14ac:dyDescent="0.25">
      <c r="A118" s="16" t="s">
        <v>157</v>
      </c>
      <c r="B118" s="35" t="s">
        <v>297</v>
      </c>
      <c r="C118" s="251">
        <v>1</v>
      </c>
      <c r="D118" s="16"/>
      <c r="E118" s="16"/>
    </row>
    <row r="119" spans="1:5" x14ac:dyDescent="0.25">
      <c r="A119" s="34" t="s">
        <v>329</v>
      </c>
      <c r="B119" s="34"/>
      <c r="C119" s="34"/>
      <c r="D119" s="34"/>
      <c r="E119" s="34"/>
    </row>
    <row r="120" spans="1:5" x14ac:dyDescent="0.25">
      <c r="A120" s="16" t="s">
        <v>330</v>
      </c>
      <c r="B120" s="35" t="s">
        <v>297</v>
      </c>
      <c r="C120" s="250">
        <v>0</v>
      </c>
      <c r="D120" s="16"/>
      <c r="E120" s="16"/>
    </row>
    <row r="121" spans="1:5" x14ac:dyDescent="0.25">
      <c r="A121" s="16" t="s">
        <v>331</v>
      </c>
      <c r="B121" s="35" t="s">
        <v>297</v>
      </c>
      <c r="C121" s="250">
        <v>0</v>
      </c>
      <c r="D121" s="16"/>
      <c r="E121" s="16"/>
    </row>
    <row r="122" spans="1:5" x14ac:dyDescent="0.25">
      <c r="A122" s="16" t="s">
        <v>332</v>
      </c>
      <c r="B122" s="35" t="s">
        <v>297</v>
      </c>
      <c r="C122" s="250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333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334</v>
      </c>
      <c r="B126" s="16"/>
      <c r="C126" s="17" t="s">
        <v>335</v>
      </c>
      <c r="D126" s="18" t="s">
        <v>240</v>
      </c>
      <c r="E126" s="16"/>
    </row>
    <row r="127" spans="1:5" x14ac:dyDescent="0.25">
      <c r="A127" s="16" t="s">
        <v>336</v>
      </c>
      <c r="B127" s="35" t="s">
        <v>297</v>
      </c>
      <c r="C127" s="250">
        <v>17559</v>
      </c>
      <c r="D127" s="252">
        <v>110549</v>
      </c>
      <c r="E127" s="16"/>
    </row>
    <row r="128" spans="1:5" x14ac:dyDescent="0.25">
      <c r="A128" s="16" t="s">
        <v>337</v>
      </c>
      <c r="B128" s="35" t="s">
        <v>297</v>
      </c>
      <c r="C128" s="250">
        <v>0</v>
      </c>
      <c r="D128" s="252">
        <v>0</v>
      </c>
      <c r="E128" s="16"/>
    </row>
    <row r="129" spans="1:5" x14ac:dyDescent="0.25">
      <c r="A129" s="16" t="s">
        <v>338</v>
      </c>
      <c r="B129" s="35" t="s">
        <v>297</v>
      </c>
      <c r="C129" s="250">
        <v>0</v>
      </c>
      <c r="D129" s="252">
        <v>0</v>
      </c>
      <c r="E129" s="16"/>
    </row>
    <row r="130" spans="1:5" x14ac:dyDescent="0.25">
      <c r="A130" s="16" t="s">
        <v>339</v>
      </c>
      <c r="B130" s="35" t="s">
        <v>297</v>
      </c>
      <c r="C130" s="250">
        <v>0</v>
      </c>
      <c r="D130" s="252">
        <v>0</v>
      </c>
      <c r="E130" s="16"/>
    </row>
    <row r="131" spans="1:5" x14ac:dyDescent="0.25">
      <c r="A131" s="21" t="s">
        <v>340</v>
      </c>
      <c r="B131" s="16"/>
      <c r="C131" s="17" t="s">
        <v>192</v>
      </c>
      <c r="D131" s="16"/>
      <c r="E131" s="16"/>
    </row>
    <row r="132" spans="1:5" x14ac:dyDescent="0.25">
      <c r="A132" s="16" t="s">
        <v>341</v>
      </c>
      <c r="B132" s="35" t="s">
        <v>297</v>
      </c>
      <c r="C132" s="250">
        <v>96</v>
      </c>
      <c r="D132" s="16"/>
      <c r="E132" s="16"/>
    </row>
    <row r="133" spans="1:5" x14ac:dyDescent="0.25">
      <c r="A133" s="16" t="s">
        <v>342</v>
      </c>
      <c r="B133" s="35" t="s">
        <v>297</v>
      </c>
      <c r="C133" s="250">
        <v>0</v>
      </c>
      <c r="D133" s="16"/>
      <c r="E133" s="16"/>
    </row>
    <row r="134" spans="1:5" x14ac:dyDescent="0.25">
      <c r="A134" s="16" t="s">
        <v>343</v>
      </c>
      <c r="B134" s="35" t="s">
        <v>297</v>
      </c>
      <c r="C134" s="250">
        <v>231</v>
      </c>
      <c r="D134" s="16"/>
      <c r="E134" s="16"/>
    </row>
    <row r="135" spans="1:5" x14ac:dyDescent="0.25">
      <c r="A135" s="16" t="s">
        <v>344</v>
      </c>
      <c r="B135" s="35" t="s">
        <v>297</v>
      </c>
      <c r="C135" s="250">
        <v>0</v>
      </c>
      <c r="D135" s="16"/>
      <c r="E135" s="16"/>
    </row>
    <row r="136" spans="1:5" x14ac:dyDescent="0.25">
      <c r="A136" s="16" t="s">
        <v>345</v>
      </c>
      <c r="B136" s="35" t="s">
        <v>297</v>
      </c>
      <c r="C136" s="250">
        <v>0</v>
      </c>
      <c r="D136" s="16"/>
      <c r="E136" s="16"/>
    </row>
    <row r="137" spans="1:5" x14ac:dyDescent="0.25">
      <c r="A137" s="16" t="s">
        <v>346</v>
      </c>
      <c r="B137" s="35" t="s">
        <v>297</v>
      </c>
      <c r="C137" s="250">
        <v>12</v>
      </c>
      <c r="D137" s="16"/>
      <c r="E137" s="16"/>
    </row>
    <row r="138" spans="1:5" x14ac:dyDescent="0.25">
      <c r="A138" s="16" t="s">
        <v>121</v>
      </c>
      <c r="B138" s="35" t="s">
        <v>297</v>
      </c>
      <c r="C138" s="250">
        <v>32</v>
      </c>
      <c r="D138" s="16"/>
      <c r="E138" s="16"/>
    </row>
    <row r="139" spans="1:5" x14ac:dyDescent="0.25">
      <c r="A139" s="16" t="s">
        <v>347</v>
      </c>
      <c r="B139" s="35" t="s">
        <v>297</v>
      </c>
      <c r="C139" s="250">
        <v>0</v>
      </c>
      <c r="D139" s="16"/>
      <c r="E139" s="16"/>
    </row>
    <row r="140" spans="1:5" x14ac:dyDescent="0.25">
      <c r="A140" s="16" t="s">
        <v>348</v>
      </c>
      <c r="B140" s="35"/>
      <c r="C140" s="250">
        <v>0</v>
      </c>
      <c r="D140" s="16"/>
      <c r="E140" s="16"/>
    </row>
    <row r="141" spans="1:5" x14ac:dyDescent="0.25">
      <c r="A141" s="16" t="s">
        <v>338</v>
      </c>
      <c r="B141" s="35" t="s">
        <v>297</v>
      </c>
      <c r="C141" s="250">
        <v>0</v>
      </c>
      <c r="D141" s="16"/>
      <c r="E141" s="16"/>
    </row>
    <row r="142" spans="1:5" x14ac:dyDescent="0.25">
      <c r="A142" s="16" t="s">
        <v>349</v>
      </c>
      <c r="B142" s="35" t="s">
        <v>297</v>
      </c>
      <c r="C142" s="250">
        <v>0</v>
      </c>
      <c r="D142" s="16"/>
      <c r="E142" s="16"/>
    </row>
    <row r="143" spans="1:5" x14ac:dyDescent="0.25">
      <c r="A143" s="16" t="s">
        <v>350</v>
      </c>
      <c r="B143" s="16"/>
      <c r="C143" s="22"/>
      <c r="D143" s="16"/>
      <c r="E143" s="25">
        <f>SUM(C132:C142)</f>
        <v>371</v>
      </c>
    </row>
    <row r="144" spans="1:5" x14ac:dyDescent="0.25">
      <c r="A144" s="16" t="s">
        <v>351</v>
      </c>
      <c r="B144" s="35" t="s">
        <v>297</v>
      </c>
      <c r="C144" s="250">
        <v>407</v>
      </c>
      <c r="D144" s="16"/>
      <c r="E144" s="16"/>
    </row>
    <row r="145" spans="1:6" x14ac:dyDescent="0.25">
      <c r="A145" s="16" t="s">
        <v>352</v>
      </c>
      <c r="B145" s="35" t="s">
        <v>297</v>
      </c>
      <c r="C145" s="250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353</v>
      </c>
      <c r="B147" s="35" t="s">
        <v>297</v>
      </c>
      <c r="C147" s="250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354</v>
      </c>
      <c r="B152" s="37"/>
      <c r="C152" s="37"/>
      <c r="D152" s="37"/>
      <c r="E152" s="37"/>
    </row>
    <row r="153" spans="1:6" x14ac:dyDescent="0.25">
      <c r="A153" s="38" t="s">
        <v>355</v>
      </c>
      <c r="B153" s="39" t="s">
        <v>356</v>
      </c>
      <c r="C153" s="40" t="s">
        <v>357</v>
      </c>
      <c r="D153" s="39" t="s">
        <v>157</v>
      </c>
      <c r="E153" s="39" t="s">
        <v>228</v>
      </c>
    </row>
    <row r="154" spans="1:6" x14ac:dyDescent="0.25">
      <c r="A154" s="16" t="s">
        <v>335</v>
      </c>
      <c r="B154" s="252">
        <v>89</v>
      </c>
      <c r="C154" s="252">
        <v>8531</v>
      </c>
      <c r="D154" s="252">
        <f>8936+3</f>
        <v>8939</v>
      </c>
      <c r="E154" s="25">
        <f>SUM(B154:D154)</f>
        <v>17559</v>
      </c>
    </row>
    <row r="155" spans="1:6" x14ac:dyDescent="0.25">
      <c r="A155" s="16" t="s">
        <v>240</v>
      </c>
      <c r="B155" s="252">
        <v>702</v>
      </c>
      <c r="C155" s="252">
        <v>62087</v>
      </c>
      <c r="D155" s="252">
        <f>47761-1</f>
        <v>47760</v>
      </c>
      <c r="E155" s="25">
        <f>SUM(B155:D155)</f>
        <v>110549</v>
      </c>
    </row>
    <row r="156" spans="1:6" x14ac:dyDescent="0.25">
      <c r="A156" s="16" t="s">
        <v>358</v>
      </c>
      <c r="B156" s="252">
        <v>5047.8079176403098</v>
      </c>
      <c r="C156" s="252">
        <v>227340.52377487966</v>
      </c>
      <c r="D156" s="252">
        <v>276907.66830747999</v>
      </c>
      <c r="E156" s="25">
        <f>SUM(B156:D156)</f>
        <v>509296</v>
      </c>
    </row>
    <row r="157" spans="1:6" x14ac:dyDescent="0.25">
      <c r="A157" s="16" t="s">
        <v>285</v>
      </c>
      <c r="B157" s="252">
        <v>23529573</v>
      </c>
      <c r="C157" s="252">
        <v>1318696733</v>
      </c>
      <c r="D157" s="252">
        <v>1142566379</v>
      </c>
      <c r="E157" s="25">
        <f>SUM(B157:D157)</f>
        <v>2484792685</v>
      </c>
      <c r="F157" s="14"/>
    </row>
    <row r="158" spans="1:6" x14ac:dyDescent="0.25">
      <c r="A158" s="16" t="s">
        <v>286</v>
      </c>
      <c r="B158" s="252">
        <v>16855452</v>
      </c>
      <c r="C158" s="252">
        <v>759127001</v>
      </c>
      <c r="D158" s="252">
        <v>924639762</v>
      </c>
      <c r="E158" s="25">
        <f>SUM(B158:D158)</f>
        <v>1700622215</v>
      </c>
      <c r="F158" s="14"/>
    </row>
    <row r="159" spans="1:6" x14ac:dyDescent="0.25">
      <c r="A159" s="38" t="s">
        <v>359</v>
      </c>
      <c r="B159" s="39" t="s">
        <v>356</v>
      </c>
      <c r="C159" s="40" t="s">
        <v>357</v>
      </c>
      <c r="D159" s="39" t="s">
        <v>157</v>
      </c>
      <c r="E159" s="39" t="s">
        <v>228</v>
      </c>
    </row>
    <row r="160" spans="1:6" x14ac:dyDescent="0.25">
      <c r="A160" s="16" t="s">
        <v>335</v>
      </c>
      <c r="B160" s="252">
        <v>0</v>
      </c>
      <c r="C160" s="252">
        <v>0</v>
      </c>
      <c r="D160" s="252">
        <v>0</v>
      </c>
      <c r="E160" s="25">
        <f>SUM(B160:D160)</f>
        <v>0</v>
      </c>
    </row>
    <row r="161" spans="1:5" x14ac:dyDescent="0.25">
      <c r="A161" s="16" t="s">
        <v>240</v>
      </c>
      <c r="B161" s="252">
        <v>0</v>
      </c>
      <c r="C161" s="252">
        <v>0</v>
      </c>
      <c r="D161" s="252">
        <v>0</v>
      </c>
      <c r="E161" s="25">
        <f>SUM(B161:D161)</f>
        <v>0</v>
      </c>
    </row>
    <row r="162" spans="1:5" x14ac:dyDescent="0.25">
      <c r="A162" s="16" t="s">
        <v>358</v>
      </c>
      <c r="B162" s="252">
        <v>0</v>
      </c>
      <c r="C162" s="252">
        <v>0</v>
      </c>
      <c r="D162" s="252">
        <v>0</v>
      </c>
      <c r="E162" s="25">
        <f>SUM(B162:D162)</f>
        <v>0</v>
      </c>
    </row>
    <row r="163" spans="1:5" x14ac:dyDescent="0.25">
      <c r="A163" s="16" t="s">
        <v>285</v>
      </c>
      <c r="B163" s="252">
        <v>0</v>
      </c>
      <c r="C163" s="252">
        <v>0</v>
      </c>
      <c r="D163" s="252">
        <v>0</v>
      </c>
      <c r="E163" s="25">
        <f>SUM(B163:D163)</f>
        <v>0</v>
      </c>
    </row>
    <row r="164" spans="1:5" x14ac:dyDescent="0.25">
      <c r="A164" s="16" t="s">
        <v>286</v>
      </c>
      <c r="B164" s="252">
        <v>0</v>
      </c>
      <c r="C164" s="252">
        <v>0</v>
      </c>
      <c r="D164" s="252">
        <v>0</v>
      </c>
      <c r="E164" s="25">
        <f>SUM(B164:D164)</f>
        <v>0</v>
      </c>
    </row>
    <row r="165" spans="1:5" x14ac:dyDescent="0.25">
      <c r="A165" s="38" t="s">
        <v>360</v>
      </c>
      <c r="B165" s="39" t="s">
        <v>356</v>
      </c>
      <c r="C165" s="40" t="s">
        <v>357</v>
      </c>
      <c r="D165" s="39" t="s">
        <v>157</v>
      </c>
      <c r="E165" s="39" t="s">
        <v>228</v>
      </c>
    </row>
    <row r="166" spans="1:5" x14ac:dyDescent="0.25">
      <c r="A166" s="16" t="s">
        <v>335</v>
      </c>
      <c r="B166" s="252">
        <v>0</v>
      </c>
      <c r="C166" s="252">
        <v>0</v>
      </c>
      <c r="D166" s="252">
        <v>0</v>
      </c>
      <c r="E166" s="25">
        <f>SUM(B166:D166)</f>
        <v>0</v>
      </c>
    </row>
    <row r="167" spans="1:5" x14ac:dyDescent="0.25">
      <c r="A167" s="16" t="s">
        <v>240</v>
      </c>
      <c r="B167" s="252">
        <v>0</v>
      </c>
      <c r="C167" s="252">
        <v>0</v>
      </c>
      <c r="D167" s="252">
        <v>0</v>
      </c>
      <c r="E167" s="25">
        <f>SUM(B167:D167)</f>
        <v>0</v>
      </c>
    </row>
    <row r="168" spans="1:5" x14ac:dyDescent="0.25">
      <c r="A168" s="16" t="s">
        <v>358</v>
      </c>
      <c r="B168" s="252">
        <v>0</v>
      </c>
      <c r="C168" s="252">
        <v>0</v>
      </c>
      <c r="D168" s="252">
        <v>0</v>
      </c>
      <c r="E168" s="25">
        <f>SUM(B168:D168)</f>
        <v>0</v>
      </c>
    </row>
    <row r="169" spans="1:5" x14ac:dyDescent="0.25">
      <c r="A169" s="16" t="s">
        <v>285</v>
      </c>
      <c r="B169" s="252">
        <v>0</v>
      </c>
      <c r="C169" s="252">
        <v>0</v>
      </c>
      <c r="D169" s="252">
        <v>0</v>
      </c>
      <c r="E169" s="25">
        <f>SUM(B169:D169)</f>
        <v>0</v>
      </c>
    </row>
    <row r="170" spans="1:5" x14ac:dyDescent="0.25">
      <c r="A170" s="16" t="s">
        <v>286</v>
      </c>
      <c r="B170" s="252">
        <v>0</v>
      </c>
      <c r="C170" s="252">
        <v>0</v>
      </c>
      <c r="D170" s="252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361</v>
      </c>
      <c r="B172" s="39" t="s">
        <v>362</v>
      </c>
      <c r="C172" s="40" t="s">
        <v>363</v>
      </c>
      <c r="D172" s="16"/>
      <c r="E172" s="16"/>
    </row>
    <row r="173" spans="1:5" x14ac:dyDescent="0.25">
      <c r="A173" s="20" t="s">
        <v>364</v>
      </c>
      <c r="B173" s="252">
        <v>0</v>
      </c>
      <c r="C173" s="25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365</v>
      </c>
      <c r="B179" s="30"/>
      <c r="C179" s="30"/>
      <c r="D179" s="30"/>
      <c r="E179" s="30"/>
    </row>
    <row r="180" spans="1:5" x14ac:dyDescent="0.25">
      <c r="A180" s="34" t="s">
        <v>366</v>
      </c>
      <c r="B180" s="34"/>
      <c r="C180" s="34"/>
      <c r="D180" s="34"/>
      <c r="E180" s="34"/>
    </row>
    <row r="181" spans="1:5" x14ac:dyDescent="0.25">
      <c r="A181" s="16" t="s">
        <v>367</v>
      </c>
      <c r="B181" s="35" t="s">
        <v>297</v>
      </c>
      <c r="C181" s="250">
        <v>73574114.019999996</v>
      </c>
      <c r="D181" s="16"/>
      <c r="E181" s="16"/>
    </row>
    <row r="182" spans="1:5" x14ac:dyDescent="0.25">
      <c r="A182" s="16" t="s">
        <v>368</v>
      </c>
      <c r="B182" s="35" t="s">
        <v>297</v>
      </c>
      <c r="C182" s="250">
        <v>2417852</v>
      </c>
      <c r="D182" s="16"/>
      <c r="E182" s="16"/>
    </row>
    <row r="183" spans="1:5" x14ac:dyDescent="0.25">
      <c r="A183" s="20" t="s">
        <v>369</v>
      </c>
      <c r="B183" s="35" t="s">
        <v>297</v>
      </c>
      <c r="C183" s="250">
        <v>6090043.04</v>
      </c>
      <c r="D183" s="16"/>
      <c r="E183" s="16"/>
    </row>
    <row r="184" spans="1:5" x14ac:dyDescent="0.25">
      <c r="A184" s="16" t="s">
        <v>370</v>
      </c>
      <c r="B184" s="35" t="s">
        <v>297</v>
      </c>
      <c r="C184" s="250">
        <v>130136476.03000002</v>
      </c>
      <c r="D184" s="16"/>
      <c r="E184" s="16"/>
    </row>
    <row r="185" spans="1:5" x14ac:dyDescent="0.25">
      <c r="A185" s="16" t="s">
        <v>371</v>
      </c>
      <c r="B185" s="35" t="s">
        <v>297</v>
      </c>
      <c r="C185" s="250">
        <v>2715838.92</v>
      </c>
      <c r="D185" s="16"/>
      <c r="E185" s="16"/>
    </row>
    <row r="186" spans="1:5" x14ac:dyDescent="0.25">
      <c r="A186" s="16" t="s">
        <v>372</v>
      </c>
      <c r="B186" s="35" t="s">
        <v>297</v>
      </c>
      <c r="C186" s="250">
        <v>61182354.310000002</v>
      </c>
      <c r="D186" s="16"/>
      <c r="E186" s="16"/>
    </row>
    <row r="187" spans="1:5" x14ac:dyDescent="0.25">
      <c r="A187" s="16" t="s">
        <v>373</v>
      </c>
      <c r="B187" s="35" t="s">
        <v>297</v>
      </c>
      <c r="C187" s="250">
        <v>-75193.570000003674</v>
      </c>
      <c r="D187" s="16"/>
      <c r="E187" s="16"/>
    </row>
    <row r="188" spans="1:5" x14ac:dyDescent="0.25">
      <c r="A188" s="16" t="s">
        <v>373</v>
      </c>
      <c r="B188" s="35" t="s">
        <v>297</v>
      </c>
      <c r="C188" s="250">
        <v>0</v>
      </c>
      <c r="D188" s="16"/>
      <c r="E188" s="16"/>
    </row>
    <row r="189" spans="1:5" x14ac:dyDescent="0.25">
      <c r="A189" s="16" t="s">
        <v>228</v>
      </c>
      <c r="B189" s="16"/>
      <c r="C189" s="22"/>
      <c r="D189" s="25">
        <f>SUM(C181:C188)</f>
        <v>276041484.75000006</v>
      </c>
      <c r="E189" s="16"/>
    </row>
    <row r="190" spans="1:5" x14ac:dyDescent="0.25">
      <c r="A190" s="34" t="s">
        <v>374</v>
      </c>
      <c r="B190" s="34"/>
      <c r="C190" s="34"/>
      <c r="D190" s="34"/>
      <c r="E190" s="34"/>
    </row>
    <row r="191" spans="1:5" x14ac:dyDescent="0.25">
      <c r="A191" s="16" t="s">
        <v>375</v>
      </c>
      <c r="B191" s="35" t="s">
        <v>297</v>
      </c>
      <c r="C191" s="250">
        <v>30175729.929999996</v>
      </c>
      <c r="D191" s="16"/>
      <c r="E191" s="16"/>
    </row>
    <row r="192" spans="1:5" x14ac:dyDescent="0.25">
      <c r="A192" s="16" t="s">
        <v>376</v>
      </c>
      <c r="B192" s="35" t="s">
        <v>297</v>
      </c>
      <c r="C192" s="250">
        <v>1452507.95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f>SUM(C191:C192)</f>
        <v>31628237.879999995</v>
      </c>
      <c r="E193" s="16"/>
    </row>
    <row r="194" spans="1:5" x14ac:dyDescent="0.25">
      <c r="A194" s="34" t="s">
        <v>377</v>
      </c>
      <c r="B194" s="34"/>
      <c r="C194" s="34"/>
      <c r="D194" s="34"/>
      <c r="E194" s="34"/>
    </row>
    <row r="195" spans="1:5" x14ac:dyDescent="0.25">
      <c r="A195" s="16" t="s">
        <v>378</v>
      </c>
      <c r="B195" s="35" t="s">
        <v>297</v>
      </c>
      <c r="C195" s="250">
        <v>1771250.97</v>
      </c>
      <c r="D195" s="16"/>
      <c r="E195" s="16"/>
    </row>
    <row r="196" spans="1:5" x14ac:dyDescent="0.25">
      <c r="A196" s="16" t="s">
        <v>379</v>
      </c>
      <c r="B196" s="35" t="s">
        <v>297</v>
      </c>
      <c r="C196" s="250">
        <v>6863615.2800000003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f>SUM(C195:C196)</f>
        <v>8634866.25</v>
      </c>
      <c r="E197" s="16"/>
    </row>
    <row r="198" spans="1:5" x14ac:dyDescent="0.25">
      <c r="A198" s="34" t="s">
        <v>380</v>
      </c>
      <c r="B198" s="34"/>
      <c r="C198" s="34"/>
      <c r="D198" s="34"/>
      <c r="E198" s="34"/>
    </row>
    <row r="199" spans="1:5" x14ac:dyDescent="0.25">
      <c r="A199" s="16" t="s">
        <v>381</v>
      </c>
      <c r="B199" s="35" t="s">
        <v>297</v>
      </c>
      <c r="C199" s="250">
        <v>0</v>
      </c>
      <c r="D199" s="16"/>
      <c r="E199" s="16"/>
    </row>
    <row r="200" spans="1:5" x14ac:dyDescent="0.25">
      <c r="A200" s="16" t="s">
        <v>382</v>
      </c>
      <c r="B200" s="35" t="s">
        <v>297</v>
      </c>
      <c r="C200" s="250">
        <v>44420445.280000001</v>
      </c>
      <c r="D200" s="16"/>
      <c r="E200" s="16"/>
    </row>
    <row r="201" spans="1:5" x14ac:dyDescent="0.25">
      <c r="A201" s="16" t="s">
        <v>157</v>
      </c>
      <c r="B201" s="35" t="s">
        <v>297</v>
      </c>
      <c r="C201" s="250">
        <v>0</v>
      </c>
      <c r="D201" s="16"/>
      <c r="E201" s="16"/>
    </row>
    <row r="202" spans="1:5" x14ac:dyDescent="0.25">
      <c r="A202" s="16" t="s">
        <v>228</v>
      </c>
      <c r="B202" s="16"/>
      <c r="C202" s="22"/>
      <c r="D202" s="25">
        <f>SUM(C199:C201)</f>
        <v>44420445.280000001</v>
      </c>
      <c r="E202" s="16"/>
    </row>
    <row r="203" spans="1:5" x14ac:dyDescent="0.25">
      <c r="A203" s="34" t="s">
        <v>383</v>
      </c>
      <c r="B203" s="34"/>
      <c r="C203" s="34"/>
      <c r="D203" s="34"/>
      <c r="E203" s="34"/>
    </row>
    <row r="204" spans="1:5" x14ac:dyDescent="0.25">
      <c r="A204" s="16" t="s">
        <v>384</v>
      </c>
      <c r="B204" s="35" t="s">
        <v>297</v>
      </c>
      <c r="C204" s="250">
        <v>0</v>
      </c>
      <c r="D204" s="16"/>
      <c r="E204" s="16"/>
    </row>
    <row r="205" spans="1:5" x14ac:dyDescent="0.25">
      <c r="A205" s="16" t="s">
        <v>385</v>
      </c>
      <c r="B205" s="35" t="s">
        <v>297</v>
      </c>
      <c r="C205" s="250">
        <v>26218945.629999999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f>SUM(C204:C205)</f>
        <v>26218945.629999999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386</v>
      </c>
      <c r="B208" s="30"/>
      <c r="C208" s="30"/>
      <c r="D208" s="30"/>
      <c r="E208" s="30"/>
    </row>
    <row r="209" spans="1:5" x14ac:dyDescent="0.25">
      <c r="A209" s="37" t="s">
        <v>387</v>
      </c>
      <c r="B209" s="30"/>
      <c r="C209" s="30"/>
      <c r="D209" s="30"/>
      <c r="E209" s="30"/>
    </row>
    <row r="210" spans="1:5" x14ac:dyDescent="0.25">
      <c r="A210" s="21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252">
        <v>266988313.39999998</v>
      </c>
      <c r="C211" s="250">
        <v>0</v>
      </c>
      <c r="D211" s="252">
        <v>0</v>
      </c>
      <c r="E211" s="25">
        <f t="shared" ref="E211:E219" si="22">SUM(B211:C211)-D211</f>
        <v>266988313.39999998</v>
      </c>
    </row>
    <row r="212" spans="1:5" x14ac:dyDescent="0.25">
      <c r="A212" s="16" t="s">
        <v>393</v>
      </c>
      <c r="B212" s="252">
        <v>14662543.99</v>
      </c>
      <c r="C212" s="250">
        <v>0</v>
      </c>
      <c r="D212" s="252">
        <v>0</v>
      </c>
      <c r="E212" s="25">
        <f t="shared" si="22"/>
        <v>14662543.99</v>
      </c>
    </row>
    <row r="213" spans="1:5" x14ac:dyDescent="0.25">
      <c r="A213" s="16" t="s">
        <v>394</v>
      </c>
      <c r="B213" s="252">
        <v>2039356829.6200001</v>
      </c>
      <c r="C213" s="250">
        <v>74194735.529999971</v>
      </c>
      <c r="D213" s="252">
        <v>0</v>
      </c>
      <c r="E213" s="25">
        <f t="shared" si="22"/>
        <v>2113551565.1500001</v>
      </c>
    </row>
    <row r="214" spans="1:5" x14ac:dyDescent="0.25">
      <c r="A214" s="16" t="s">
        <v>395</v>
      </c>
      <c r="B214" s="252">
        <v>0</v>
      </c>
      <c r="C214" s="250">
        <v>0</v>
      </c>
      <c r="D214" s="252">
        <v>0</v>
      </c>
      <c r="E214" s="25">
        <f t="shared" si="22"/>
        <v>0</v>
      </c>
    </row>
    <row r="215" spans="1:5" x14ac:dyDescent="0.25">
      <c r="A215" s="16" t="s">
        <v>396</v>
      </c>
      <c r="B215" s="252">
        <v>68561870.269999996</v>
      </c>
      <c r="C215" s="250">
        <v>3362810.8200000077</v>
      </c>
      <c r="D215" s="252">
        <v>0</v>
      </c>
      <c r="E215" s="25">
        <f t="shared" si="22"/>
        <v>71924681.090000004</v>
      </c>
    </row>
    <row r="216" spans="1:5" x14ac:dyDescent="0.25">
      <c r="A216" s="16" t="s">
        <v>397</v>
      </c>
      <c r="B216" s="252">
        <v>699290646.57000005</v>
      </c>
      <c r="C216" s="250">
        <v>61112074.809999943</v>
      </c>
      <c r="D216" s="252">
        <v>14644885.569999935</v>
      </c>
      <c r="E216" s="25">
        <f t="shared" si="22"/>
        <v>745757835.81000006</v>
      </c>
    </row>
    <row r="217" spans="1:5" x14ac:dyDescent="0.25">
      <c r="A217" s="16" t="s">
        <v>398</v>
      </c>
      <c r="B217" s="252">
        <v>0</v>
      </c>
      <c r="C217" s="250">
        <v>0</v>
      </c>
      <c r="D217" s="252">
        <v>0</v>
      </c>
      <c r="E217" s="25">
        <f t="shared" si="22"/>
        <v>0</v>
      </c>
    </row>
    <row r="218" spans="1:5" x14ac:dyDescent="0.25">
      <c r="A218" s="16" t="s">
        <v>399</v>
      </c>
      <c r="B218" s="252">
        <v>102949957.25</v>
      </c>
      <c r="C218" s="250">
        <v>4880.9800000041723</v>
      </c>
      <c r="D218" s="252">
        <v>0</v>
      </c>
      <c r="E218" s="25">
        <f t="shared" si="22"/>
        <v>102954838.23</v>
      </c>
    </row>
    <row r="219" spans="1:5" x14ac:dyDescent="0.25">
      <c r="A219" s="16" t="s">
        <v>400</v>
      </c>
      <c r="B219" s="252">
        <v>122046224.84999999</v>
      </c>
      <c r="C219" s="250">
        <v>153839670.87999842</v>
      </c>
      <c r="D219" s="252">
        <v>129996246.04999983</v>
      </c>
      <c r="E219" s="25">
        <f t="shared" si="22"/>
        <v>145889649.67999858</v>
      </c>
    </row>
    <row r="220" spans="1:5" x14ac:dyDescent="0.25">
      <c r="A220" s="16" t="s">
        <v>228</v>
      </c>
      <c r="B220" s="25">
        <f>SUM(B211:B219)</f>
        <v>3313856385.9500003</v>
      </c>
      <c r="C220" s="224">
        <f>SUM(C211:C219)</f>
        <v>292514173.01999831</v>
      </c>
      <c r="D220" s="25">
        <f>SUM(D211:D219)</f>
        <v>144641131.61999977</v>
      </c>
      <c r="E220" s="25">
        <f>SUM(E211:E219)</f>
        <v>3461729427.3499985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401</v>
      </c>
      <c r="B222" s="37"/>
      <c r="C222" s="37"/>
      <c r="D222" s="37"/>
      <c r="E222" s="37"/>
    </row>
    <row r="223" spans="1:5" x14ac:dyDescent="0.25">
      <c r="A223" s="21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42"/>
      <c r="C224" s="41"/>
      <c r="D224" s="42"/>
      <c r="E224" s="16"/>
    </row>
    <row r="225" spans="1:6" x14ac:dyDescent="0.25">
      <c r="A225" s="16" t="s">
        <v>393</v>
      </c>
      <c r="B225" s="252">
        <v>11049607.43</v>
      </c>
      <c r="C225" s="250">
        <v>748791.03000000119</v>
      </c>
      <c r="D225" s="252">
        <v>0</v>
      </c>
      <c r="E225" s="25">
        <f t="shared" ref="E225:E232" si="23">SUM(B225:C225)-D225</f>
        <v>11798398.460000001</v>
      </c>
    </row>
    <row r="226" spans="1:6" x14ac:dyDescent="0.25">
      <c r="A226" s="16" t="s">
        <v>394</v>
      </c>
      <c r="B226" s="252">
        <v>594527426.61000001</v>
      </c>
      <c r="C226" s="250">
        <v>49522409.949999928</v>
      </c>
      <c r="D226" s="252">
        <v>0</v>
      </c>
      <c r="E226" s="25">
        <f t="shared" si="23"/>
        <v>644049836.55999994</v>
      </c>
    </row>
    <row r="227" spans="1:6" x14ac:dyDescent="0.25">
      <c r="A227" s="16" t="s">
        <v>395</v>
      </c>
      <c r="B227" s="252">
        <v>0</v>
      </c>
      <c r="C227" s="250">
        <v>0</v>
      </c>
      <c r="D227" s="252">
        <v>0</v>
      </c>
      <c r="E227" s="25">
        <f t="shared" si="23"/>
        <v>0</v>
      </c>
    </row>
    <row r="228" spans="1:6" x14ac:dyDescent="0.25">
      <c r="A228" s="16" t="s">
        <v>396</v>
      </c>
      <c r="B228" s="252">
        <v>37265794.009999998</v>
      </c>
      <c r="C228" s="250">
        <v>2783004.5399999991</v>
      </c>
      <c r="D228" s="252">
        <v>0</v>
      </c>
      <c r="E228" s="25">
        <f t="shared" si="23"/>
        <v>40048798.549999997</v>
      </c>
    </row>
    <row r="229" spans="1:6" x14ac:dyDescent="0.25">
      <c r="A229" s="16" t="s">
        <v>397</v>
      </c>
      <c r="B229" s="252">
        <v>406945598.26000005</v>
      </c>
      <c r="C229" s="250">
        <v>68471797.189999923</v>
      </c>
      <c r="D229" s="252">
        <v>13703949.389999911</v>
      </c>
      <c r="E229" s="25">
        <f t="shared" si="23"/>
        <v>461713446.06000006</v>
      </c>
    </row>
    <row r="230" spans="1:6" x14ac:dyDescent="0.25">
      <c r="A230" s="16" t="s">
        <v>398</v>
      </c>
      <c r="B230" s="252">
        <v>0</v>
      </c>
      <c r="C230" s="250">
        <v>0</v>
      </c>
      <c r="D230" s="252">
        <v>0</v>
      </c>
      <c r="E230" s="25">
        <f t="shared" si="23"/>
        <v>0</v>
      </c>
    </row>
    <row r="231" spans="1:6" x14ac:dyDescent="0.25">
      <c r="A231" s="16" t="s">
        <v>399</v>
      </c>
      <c r="B231" s="252">
        <v>47451667.579999998</v>
      </c>
      <c r="C231" s="250">
        <v>8975443.8900000006</v>
      </c>
      <c r="D231" s="252">
        <v>0</v>
      </c>
      <c r="E231" s="25">
        <f t="shared" si="23"/>
        <v>56427111.469999999</v>
      </c>
    </row>
    <row r="232" spans="1:6" x14ac:dyDescent="0.25">
      <c r="A232" s="16" t="s">
        <v>400</v>
      </c>
      <c r="B232" s="252">
        <v>0</v>
      </c>
      <c r="C232" s="250">
        <v>0</v>
      </c>
      <c r="D232" s="252">
        <v>0</v>
      </c>
      <c r="E232" s="25">
        <f t="shared" si="23"/>
        <v>0</v>
      </c>
    </row>
    <row r="233" spans="1:6" x14ac:dyDescent="0.25">
      <c r="A233" s="16" t="s">
        <v>228</v>
      </c>
      <c r="B233" s="25">
        <f>SUM(B224:B232)</f>
        <v>1097240093.8899999</v>
      </c>
      <c r="C233" s="224">
        <f>SUM(C224:C232)</f>
        <v>130501446.59999986</v>
      </c>
      <c r="D233" s="25">
        <f>SUM(D224:D232)</f>
        <v>13703949.389999911</v>
      </c>
      <c r="E233" s="25">
        <f>SUM(E224:E232)</f>
        <v>1214037591.1000001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2247691836.2499981</v>
      </c>
    </row>
    <row r="235" spans="1:6" x14ac:dyDescent="0.25">
      <c r="A235" s="30" t="s">
        <v>402</v>
      </c>
      <c r="B235" s="30"/>
      <c r="C235" s="30"/>
      <c r="D235" s="30"/>
      <c r="E235" s="30"/>
    </row>
    <row r="236" spans="1:6" x14ac:dyDescent="0.25">
      <c r="A236" s="30"/>
      <c r="B236" s="326" t="s">
        <v>403</v>
      </c>
      <c r="C236" s="326"/>
      <c r="D236" s="30"/>
      <c r="E236" s="30"/>
    </row>
    <row r="237" spans="1:6" x14ac:dyDescent="0.25">
      <c r="A237" s="43" t="s">
        <v>403</v>
      </c>
      <c r="B237" s="30"/>
      <c r="C237" s="250">
        <v>3373892.5</v>
      </c>
      <c r="D237" s="32">
        <f>C237</f>
        <v>3373892.5</v>
      </c>
      <c r="E237" s="30"/>
    </row>
    <row r="238" spans="1:6" x14ac:dyDescent="0.25">
      <c r="A238" s="34" t="s">
        <v>404</v>
      </c>
      <c r="B238" s="34"/>
      <c r="C238" s="34"/>
      <c r="D238" s="34"/>
      <c r="E238" s="34"/>
    </row>
    <row r="239" spans="1:6" x14ac:dyDescent="0.25">
      <c r="A239" s="16" t="s">
        <v>405</v>
      </c>
      <c r="B239" s="35" t="s">
        <v>297</v>
      </c>
      <c r="C239" s="250">
        <v>32831787.089999996</v>
      </c>
      <c r="D239" s="16"/>
      <c r="E239" s="16"/>
    </row>
    <row r="240" spans="1:6" x14ac:dyDescent="0.25">
      <c r="A240" s="16" t="s">
        <v>406</v>
      </c>
      <c r="B240" s="35" t="s">
        <v>297</v>
      </c>
      <c r="C240" s="250">
        <v>1563475645.8099999</v>
      </c>
      <c r="D240" s="16"/>
      <c r="E240" s="16"/>
    </row>
    <row r="241" spans="1:5" x14ac:dyDescent="0.25">
      <c r="A241" s="16" t="s">
        <v>407</v>
      </c>
      <c r="B241" s="35" t="s">
        <v>297</v>
      </c>
      <c r="C241" s="250">
        <v>0</v>
      </c>
      <c r="D241" s="16"/>
      <c r="E241" s="16"/>
    </row>
    <row r="242" spans="1:5" x14ac:dyDescent="0.25">
      <c r="A242" s="16" t="s">
        <v>408</v>
      </c>
      <c r="B242" s="35" t="s">
        <v>297</v>
      </c>
      <c r="C242" s="250">
        <v>83904984.920000002</v>
      </c>
      <c r="D242" s="16"/>
      <c r="E242" s="16"/>
    </row>
    <row r="243" spans="1:5" x14ac:dyDescent="0.25">
      <c r="A243" s="16" t="s">
        <v>409</v>
      </c>
      <c r="B243" s="35" t="s">
        <v>297</v>
      </c>
      <c r="C243" s="250">
        <v>445719578.73999989</v>
      </c>
      <c r="D243" s="16"/>
      <c r="E243" s="16"/>
    </row>
    <row r="244" spans="1:5" x14ac:dyDescent="0.25">
      <c r="A244" s="16" t="s">
        <v>410</v>
      </c>
      <c r="B244" s="35" t="s">
        <v>297</v>
      </c>
      <c r="C244" s="250">
        <v>0</v>
      </c>
      <c r="D244" s="16"/>
      <c r="E244" s="16"/>
    </row>
    <row r="245" spans="1:5" x14ac:dyDescent="0.25">
      <c r="A245" s="16" t="s">
        <v>411</v>
      </c>
      <c r="B245" s="16"/>
      <c r="C245" s="22"/>
      <c r="D245" s="25">
        <f>SUM(C239:C244)</f>
        <v>2125931996.5599999</v>
      </c>
      <c r="E245" s="16"/>
    </row>
    <row r="246" spans="1:5" x14ac:dyDescent="0.25">
      <c r="A246" s="34" t="s">
        <v>412</v>
      </c>
      <c r="B246" s="34"/>
      <c r="C246" s="34"/>
      <c r="D246" s="34"/>
      <c r="E246" s="34"/>
    </row>
    <row r="247" spans="1:5" x14ac:dyDescent="0.25">
      <c r="A247" s="21" t="s">
        <v>413</v>
      </c>
      <c r="B247" s="35" t="s">
        <v>297</v>
      </c>
      <c r="C247" s="250">
        <v>29663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414</v>
      </c>
      <c r="B249" s="35" t="s">
        <v>297</v>
      </c>
      <c r="C249" s="250">
        <v>2787220.42</v>
      </c>
      <c r="D249" s="16"/>
      <c r="E249" s="16"/>
    </row>
    <row r="250" spans="1:5" x14ac:dyDescent="0.25">
      <c r="A250" s="21" t="s">
        <v>415</v>
      </c>
      <c r="B250" s="35" t="s">
        <v>297</v>
      </c>
      <c r="C250" s="250">
        <v>28708781.280000001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416</v>
      </c>
      <c r="B252" s="16"/>
      <c r="C252" s="22"/>
      <c r="D252" s="25">
        <f>SUM(C249:C251)</f>
        <v>31496001.700000003</v>
      </c>
      <c r="E252" s="16"/>
    </row>
    <row r="253" spans="1:5" x14ac:dyDescent="0.25">
      <c r="A253" s="34" t="s">
        <v>417</v>
      </c>
      <c r="B253" s="34"/>
      <c r="C253" s="34"/>
      <c r="D253" s="34"/>
      <c r="E253" s="34"/>
    </row>
    <row r="254" spans="1:5" x14ac:dyDescent="0.25">
      <c r="A254" s="16" t="s">
        <v>418</v>
      </c>
      <c r="B254" s="35" t="s">
        <v>297</v>
      </c>
      <c r="C254" s="250">
        <v>18303058.300000001</v>
      </c>
      <c r="D254" s="16"/>
      <c r="E254" s="16"/>
    </row>
    <row r="255" spans="1:5" x14ac:dyDescent="0.25">
      <c r="A255" s="16" t="s">
        <v>417</v>
      </c>
      <c r="B255" s="35" t="s">
        <v>297</v>
      </c>
      <c r="C255" s="250">
        <v>0</v>
      </c>
      <c r="D255" s="16"/>
      <c r="E255" s="16"/>
    </row>
    <row r="256" spans="1:5" x14ac:dyDescent="0.25">
      <c r="A256" s="16" t="s">
        <v>419</v>
      </c>
      <c r="B256" s="16"/>
      <c r="C256" s="22"/>
      <c r="D256" s="25">
        <f>SUM(C254:C255)</f>
        <v>18303058.300000001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420</v>
      </c>
      <c r="B258" s="16"/>
      <c r="C258" s="22"/>
      <c r="D258" s="25">
        <f>D237+D245+D252+D256</f>
        <v>2179104949.0599999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421</v>
      </c>
      <c r="B264" s="30"/>
      <c r="C264" s="30"/>
      <c r="D264" s="30"/>
      <c r="E264" s="30"/>
    </row>
    <row r="265" spans="1:5" x14ac:dyDescent="0.25">
      <c r="A265" s="34" t="s">
        <v>422</v>
      </c>
      <c r="B265" s="34"/>
      <c r="C265" s="34" t="s">
        <v>423</v>
      </c>
      <c r="D265" s="253">
        <v>0</v>
      </c>
      <c r="E265" s="34"/>
    </row>
    <row r="266" spans="1:5" x14ac:dyDescent="0.25">
      <c r="A266" s="16" t="s">
        <v>424</v>
      </c>
      <c r="B266" s="35" t="s">
        <v>297</v>
      </c>
      <c r="C266" s="250">
        <v>84771477.189999998</v>
      </c>
      <c r="D266" s="16" t="s">
        <v>246</v>
      </c>
      <c r="E266" s="16"/>
    </row>
    <row r="267" spans="1:5" x14ac:dyDescent="0.25">
      <c r="A267" s="16" t="s">
        <v>425</v>
      </c>
      <c r="B267" s="35" t="s">
        <v>297</v>
      </c>
      <c r="C267" s="250"/>
      <c r="D267" s="16"/>
      <c r="E267" s="16"/>
    </row>
    <row r="268" spans="1:5" x14ac:dyDescent="0.25">
      <c r="A268" s="16" t="s">
        <v>426</v>
      </c>
      <c r="B268" s="35" t="s">
        <v>297</v>
      </c>
      <c r="C268" s="250">
        <v>1027023432.5</v>
      </c>
      <c r="D268" s="16" t="s">
        <v>246</v>
      </c>
      <c r="E268" s="16"/>
    </row>
    <row r="269" spans="1:5" x14ac:dyDescent="0.25">
      <c r="A269" s="16" t="s">
        <v>427</v>
      </c>
      <c r="B269" s="35" t="s">
        <v>297</v>
      </c>
      <c r="C269" s="250">
        <v>544843600</v>
      </c>
      <c r="D269" s="16" t="s">
        <v>246</v>
      </c>
      <c r="E269" s="16"/>
    </row>
    <row r="270" spans="1:5" x14ac:dyDescent="0.25">
      <c r="A270" s="16" t="s">
        <v>428</v>
      </c>
      <c r="B270" s="35" t="s">
        <v>297</v>
      </c>
      <c r="C270" s="250"/>
      <c r="D270" s="16"/>
      <c r="E270" s="16"/>
    </row>
    <row r="271" spans="1:5" x14ac:dyDescent="0.25">
      <c r="A271" s="16" t="s">
        <v>429</v>
      </c>
      <c r="B271" s="35" t="s">
        <v>297</v>
      </c>
      <c r="C271" s="250">
        <v>337494842.45999998</v>
      </c>
      <c r="D271" s="16" t="s">
        <v>246</v>
      </c>
      <c r="E271" s="16"/>
    </row>
    <row r="272" spans="1:5" x14ac:dyDescent="0.25">
      <c r="A272" s="16" t="s">
        <v>430</v>
      </c>
      <c r="B272" s="35" t="s">
        <v>297</v>
      </c>
      <c r="C272" s="250"/>
      <c r="D272" s="16"/>
      <c r="E272" s="16"/>
    </row>
    <row r="273" spans="1:5" x14ac:dyDescent="0.25">
      <c r="A273" s="16" t="s">
        <v>431</v>
      </c>
      <c r="B273" s="35" t="s">
        <v>297</v>
      </c>
      <c r="C273" s="250">
        <v>26232094.899999999</v>
      </c>
      <c r="D273" s="16" t="s">
        <v>246</v>
      </c>
      <c r="E273" s="16"/>
    </row>
    <row r="274" spans="1:5" x14ac:dyDescent="0.25">
      <c r="A274" s="16" t="s">
        <v>432</v>
      </c>
      <c r="B274" s="35" t="s">
        <v>297</v>
      </c>
      <c r="C274" s="250">
        <v>45558937.590000004</v>
      </c>
      <c r="D274" s="16" t="s">
        <v>246</v>
      </c>
      <c r="E274" s="16"/>
    </row>
    <row r="275" spans="1:5" x14ac:dyDescent="0.25">
      <c r="A275" s="16" t="s">
        <v>433</v>
      </c>
      <c r="B275" s="35" t="s">
        <v>297</v>
      </c>
      <c r="C275" s="250">
        <v>26720367.050000001</v>
      </c>
      <c r="D275" s="16" t="s">
        <v>246</v>
      </c>
      <c r="E275" s="16"/>
    </row>
    <row r="276" spans="1:5" x14ac:dyDescent="0.25">
      <c r="A276" s="16" t="s">
        <v>434</v>
      </c>
      <c r="B276" s="16"/>
      <c r="C276" s="22"/>
      <c r="D276" s="25">
        <f>SUM(C266:C268)-C269+SUM(C270:C275)</f>
        <v>1002957551.6900001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297</v>
      </c>
      <c r="C278" s="250"/>
      <c r="D278" s="16"/>
      <c r="E278" s="16"/>
    </row>
    <row r="279" spans="1:5" x14ac:dyDescent="0.25">
      <c r="A279" s="16" t="s">
        <v>425</v>
      </c>
      <c r="B279" s="35" t="s">
        <v>297</v>
      </c>
      <c r="C279" s="250">
        <v>1791577735.1500001</v>
      </c>
      <c r="D279" s="16" t="s">
        <v>246</v>
      </c>
      <c r="E279" s="16"/>
    </row>
    <row r="280" spans="1:5" x14ac:dyDescent="0.25">
      <c r="A280" s="16" t="s">
        <v>436</v>
      </c>
      <c r="B280" s="35" t="s">
        <v>297</v>
      </c>
      <c r="C280" s="250">
        <v>2735110.74</v>
      </c>
      <c r="D280" s="16" t="s">
        <v>246</v>
      </c>
      <c r="E280" s="16"/>
    </row>
    <row r="281" spans="1:5" x14ac:dyDescent="0.25">
      <c r="A281" s="16" t="s">
        <v>437</v>
      </c>
      <c r="B281" s="16"/>
      <c r="C281" s="22"/>
      <c r="D281" s="25">
        <f>SUM(C278:C280)</f>
        <v>1794312845.8900001</v>
      </c>
      <c r="E281" s="16" t="s">
        <v>246</v>
      </c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392</v>
      </c>
      <c r="B283" s="35" t="s">
        <v>297</v>
      </c>
      <c r="C283" s="250">
        <v>266988313.39999998</v>
      </c>
      <c r="D283" s="16"/>
      <c r="E283" s="16"/>
    </row>
    <row r="284" spans="1:5" x14ac:dyDescent="0.25">
      <c r="A284" s="16" t="s">
        <v>393</v>
      </c>
      <c r="B284" s="35" t="s">
        <v>297</v>
      </c>
      <c r="C284" s="250">
        <v>14662543.99</v>
      </c>
      <c r="D284" s="16"/>
      <c r="E284" s="16"/>
    </row>
    <row r="285" spans="1:5" x14ac:dyDescent="0.25">
      <c r="A285" s="16" t="s">
        <v>394</v>
      </c>
      <c r="B285" s="35" t="s">
        <v>297</v>
      </c>
      <c r="C285" s="250">
        <v>2113551565.1500001</v>
      </c>
      <c r="D285" s="16"/>
      <c r="E285" s="16"/>
    </row>
    <row r="286" spans="1:5" x14ac:dyDescent="0.25">
      <c r="A286" s="16" t="s">
        <v>439</v>
      </c>
      <c r="B286" s="35" t="s">
        <v>297</v>
      </c>
      <c r="C286" s="250">
        <v>0</v>
      </c>
      <c r="D286" s="16"/>
      <c r="E286" s="16"/>
    </row>
    <row r="287" spans="1:5" x14ac:dyDescent="0.25">
      <c r="A287" s="16" t="s">
        <v>440</v>
      </c>
      <c r="B287" s="35" t="s">
        <v>297</v>
      </c>
      <c r="C287" s="250">
        <v>71924681.090000004</v>
      </c>
      <c r="D287" s="16"/>
      <c r="E287" s="16"/>
    </row>
    <row r="288" spans="1:5" x14ac:dyDescent="0.25">
      <c r="A288" s="16" t="s">
        <v>441</v>
      </c>
      <c r="B288" s="35" t="s">
        <v>297</v>
      </c>
      <c r="C288" s="250">
        <v>745757835.81000006</v>
      </c>
      <c r="D288" s="16"/>
      <c r="E288" s="16"/>
    </row>
    <row r="289" spans="1:5" x14ac:dyDescent="0.25">
      <c r="A289" s="16" t="s">
        <v>399</v>
      </c>
      <c r="B289" s="35" t="s">
        <v>297</v>
      </c>
      <c r="C289" s="250">
        <v>102954838.23</v>
      </c>
      <c r="D289" s="16"/>
      <c r="E289" s="16"/>
    </row>
    <row r="290" spans="1:5" x14ac:dyDescent="0.25">
      <c r="A290" s="16" t="s">
        <v>400</v>
      </c>
      <c r="B290" s="35" t="s">
        <v>297</v>
      </c>
      <c r="C290" s="250">
        <v>145889649.67999858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f>SUM(C283:C290)</f>
        <v>3461729427.3499985</v>
      </c>
      <c r="E291" s="16"/>
    </row>
    <row r="292" spans="1:5" x14ac:dyDescent="0.25">
      <c r="A292" s="16" t="s">
        <v>443</v>
      </c>
      <c r="B292" s="35" t="s">
        <v>297</v>
      </c>
      <c r="C292" s="250">
        <v>1214037591.1000001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f>D291-C292</f>
        <v>2247691836.2499981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297</v>
      </c>
      <c r="C295" s="250">
        <v>0</v>
      </c>
      <c r="D295" s="16"/>
      <c r="E295" s="16"/>
    </row>
    <row r="296" spans="1:5" x14ac:dyDescent="0.25">
      <c r="A296" s="16" t="s">
        <v>447</v>
      </c>
      <c r="B296" s="35" t="s">
        <v>297</v>
      </c>
      <c r="C296" s="250">
        <v>0</v>
      </c>
      <c r="D296" s="16"/>
      <c r="E296" s="16"/>
    </row>
    <row r="297" spans="1:5" x14ac:dyDescent="0.25">
      <c r="A297" s="16" t="s">
        <v>448</v>
      </c>
      <c r="B297" s="35" t="s">
        <v>297</v>
      </c>
      <c r="C297" s="250">
        <v>0</v>
      </c>
      <c r="D297" s="16"/>
      <c r="E297" s="16"/>
    </row>
    <row r="298" spans="1:5" x14ac:dyDescent="0.25">
      <c r="A298" s="16" t="s">
        <v>436</v>
      </c>
      <c r="B298" s="35" t="s">
        <v>297</v>
      </c>
      <c r="C298" s="250">
        <v>532573713.47000003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f>C295-C296+C297+C298</f>
        <v>532573713.47000003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297</v>
      </c>
      <c r="C302" s="250">
        <v>5670000</v>
      </c>
      <c r="D302" s="16"/>
      <c r="E302" s="16"/>
    </row>
    <row r="303" spans="1:5" x14ac:dyDescent="0.25">
      <c r="A303" s="16" t="s">
        <v>452</v>
      </c>
      <c r="B303" s="35" t="s">
        <v>297</v>
      </c>
      <c r="C303" s="250">
        <v>0</v>
      </c>
      <c r="D303" s="16"/>
      <c r="E303" s="16"/>
    </row>
    <row r="304" spans="1:5" x14ac:dyDescent="0.25">
      <c r="A304" s="16" t="s">
        <v>453</v>
      </c>
      <c r="B304" s="35" t="s">
        <v>297</v>
      </c>
      <c r="C304" s="250">
        <v>0</v>
      </c>
      <c r="D304" s="16"/>
      <c r="E304" s="16"/>
    </row>
    <row r="305" spans="1:6" x14ac:dyDescent="0.25">
      <c r="A305" s="16" t="s">
        <v>454</v>
      </c>
      <c r="B305" s="35" t="s">
        <v>297</v>
      </c>
      <c r="C305" s="250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f>SUM(C302:C305)</f>
        <v>5670000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f>D276+D281+D293+D299+D306</f>
        <v>5583205947.2999983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5583205947.2999983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297</v>
      </c>
      <c r="C314" s="250"/>
      <c r="D314" s="16"/>
      <c r="E314" s="16"/>
    </row>
    <row r="315" spans="1:6" x14ac:dyDescent="0.25">
      <c r="A315" s="16" t="s">
        <v>460</v>
      </c>
      <c r="B315" s="35" t="s">
        <v>297</v>
      </c>
      <c r="C315" s="250">
        <v>141996157.25</v>
      </c>
      <c r="D315" s="16"/>
      <c r="E315" s="16"/>
    </row>
    <row r="316" spans="1:6" x14ac:dyDescent="0.25">
      <c r="A316" s="16" t="s">
        <v>461</v>
      </c>
      <c r="B316" s="35" t="s">
        <v>297</v>
      </c>
      <c r="C316" s="250">
        <v>181422669.72</v>
      </c>
      <c r="D316" s="16"/>
      <c r="E316" s="16"/>
    </row>
    <row r="317" spans="1:6" x14ac:dyDescent="0.25">
      <c r="A317" s="16" t="s">
        <v>462</v>
      </c>
      <c r="B317" s="35" t="s">
        <v>297</v>
      </c>
      <c r="C317" s="250">
        <v>13932275.92</v>
      </c>
      <c r="D317" s="16"/>
      <c r="E317" s="16"/>
    </row>
    <row r="318" spans="1:6" x14ac:dyDescent="0.25">
      <c r="A318" s="16" t="s">
        <v>463</v>
      </c>
      <c r="B318" s="35" t="s">
        <v>297</v>
      </c>
      <c r="C318" s="250" t="s">
        <v>464</v>
      </c>
      <c r="D318" s="16"/>
      <c r="E318" s="16"/>
    </row>
    <row r="319" spans="1:6" x14ac:dyDescent="0.25">
      <c r="A319" s="16" t="s">
        <v>465</v>
      </c>
      <c r="B319" s="35" t="s">
        <v>297</v>
      </c>
      <c r="C319" s="250" t="s">
        <v>464</v>
      </c>
      <c r="D319" s="16"/>
      <c r="E319" s="16"/>
    </row>
    <row r="320" spans="1:6" x14ac:dyDescent="0.25">
      <c r="A320" s="16" t="s">
        <v>466</v>
      </c>
      <c r="B320" s="35" t="s">
        <v>297</v>
      </c>
      <c r="C320" s="250"/>
      <c r="D320" s="16"/>
      <c r="E320" s="16"/>
    </row>
    <row r="321" spans="1:5" x14ac:dyDescent="0.25">
      <c r="A321" s="16" t="s">
        <v>467</v>
      </c>
      <c r="B321" s="35" t="s">
        <v>297</v>
      </c>
      <c r="C321" s="250"/>
      <c r="D321" s="16"/>
      <c r="E321" s="16"/>
    </row>
    <row r="322" spans="1:5" x14ac:dyDescent="0.25">
      <c r="A322" s="16" t="s">
        <v>468</v>
      </c>
      <c r="B322" s="35" t="s">
        <v>297</v>
      </c>
      <c r="C322" s="250">
        <v>515907124.73000002</v>
      </c>
      <c r="D322" s="16"/>
      <c r="E322" s="16"/>
    </row>
    <row r="323" spans="1:5" x14ac:dyDescent="0.25">
      <c r="A323" s="16" t="s">
        <v>469</v>
      </c>
      <c r="B323" s="35" t="s">
        <v>297</v>
      </c>
      <c r="C323" s="250">
        <v>21324344.579999998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874582572.20000017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297</v>
      </c>
      <c r="C326" s="250">
        <v>0</v>
      </c>
      <c r="D326" s="16"/>
      <c r="E326" s="16"/>
    </row>
    <row r="327" spans="1:5" x14ac:dyDescent="0.25">
      <c r="A327" s="16" t="s">
        <v>473</v>
      </c>
      <c r="B327" s="35" t="s">
        <v>297</v>
      </c>
      <c r="C327" s="250">
        <v>0</v>
      </c>
      <c r="D327" s="16"/>
      <c r="E327" s="16"/>
    </row>
    <row r="328" spans="1:5" x14ac:dyDescent="0.25">
      <c r="A328" s="16" t="s">
        <v>474</v>
      </c>
      <c r="B328" s="35" t="s">
        <v>297</v>
      </c>
      <c r="C328" s="250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297</v>
      </c>
      <c r="C331" s="250"/>
      <c r="D331" s="16"/>
      <c r="E331" s="16"/>
    </row>
    <row r="332" spans="1:5" x14ac:dyDescent="0.25">
      <c r="A332" s="16" t="s">
        <v>478</v>
      </c>
      <c r="B332" s="35" t="s">
        <v>297</v>
      </c>
      <c r="C332" s="250"/>
      <c r="D332" s="16"/>
      <c r="E332" s="16"/>
    </row>
    <row r="333" spans="1:5" x14ac:dyDescent="0.25">
      <c r="A333" s="16" t="s">
        <v>479</v>
      </c>
      <c r="B333" s="35" t="s">
        <v>297</v>
      </c>
      <c r="C333" s="250"/>
      <c r="D333" s="16"/>
      <c r="E333" s="16"/>
    </row>
    <row r="334" spans="1:5" x14ac:dyDescent="0.25">
      <c r="A334" s="21" t="s">
        <v>480</v>
      </c>
      <c r="B334" s="35" t="s">
        <v>297</v>
      </c>
      <c r="C334" s="250">
        <v>206723107.84</v>
      </c>
      <c r="D334" s="16"/>
      <c r="E334" s="16"/>
    </row>
    <row r="335" spans="1:5" x14ac:dyDescent="0.25">
      <c r="A335" s="16" t="s">
        <v>481</v>
      </c>
      <c r="B335" s="35" t="s">
        <v>297</v>
      </c>
      <c r="C335" s="250">
        <v>886093638.59000003</v>
      </c>
      <c r="D335" s="16"/>
      <c r="E335" s="16"/>
    </row>
    <row r="336" spans="1:5" x14ac:dyDescent="0.25">
      <c r="A336" s="21" t="s">
        <v>482</v>
      </c>
      <c r="B336" s="35" t="s">
        <v>297</v>
      </c>
      <c r="C336" s="250"/>
      <c r="D336" s="16"/>
      <c r="E336" s="16"/>
    </row>
    <row r="337" spans="1:5" x14ac:dyDescent="0.25">
      <c r="A337" s="21" t="s">
        <v>483</v>
      </c>
      <c r="B337" s="35" t="s">
        <v>297</v>
      </c>
      <c r="C337" s="262"/>
      <c r="D337" s="16"/>
      <c r="E337" s="16"/>
    </row>
    <row r="338" spans="1:5" x14ac:dyDescent="0.25">
      <c r="A338" s="16" t="s">
        <v>484</v>
      </c>
      <c r="B338" s="35" t="s">
        <v>297</v>
      </c>
      <c r="C338" s="250">
        <v>61415285.32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f>SUM(C331:C338)</f>
        <v>1154232031.75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21324344.579999998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1132907687.1700001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297</v>
      </c>
      <c r="C343" s="254">
        <v>3575715687.9299998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297</v>
      </c>
      <c r="C345" s="251">
        <v>0</v>
      </c>
      <c r="D345" s="16"/>
      <c r="E345" s="16"/>
    </row>
    <row r="346" spans="1:5" x14ac:dyDescent="0.25">
      <c r="A346" s="16" t="s">
        <v>489</v>
      </c>
      <c r="B346" s="35" t="s">
        <v>297</v>
      </c>
      <c r="C346" s="251">
        <v>0</v>
      </c>
      <c r="D346" s="16"/>
      <c r="E346" s="16"/>
    </row>
    <row r="347" spans="1:5" x14ac:dyDescent="0.25">
      <c r="A347" s="16" t="s">
        <v>490</v>
      </c>
      <c r="B347" s="35" t="s">
        <v>297</v>
      </c>
      <c r="C347" s="251">
        <v>0</v>
      </c>
      <c r="D347" s="16"/>
      <c r="E347" s="16"/>
    </row>
    <row r="348" spans="1:5" x14ac:dyDescent="0.25">
      <c r="A348" s="16" t="s">
        <v>491</v>
      </c>
      <c r="B348" s="35" t="s">
        <v>297</v>
      </c>
      <c r="C348" s="251">
        <v>0</v>
      </c>
      <c r="D348" s="16"/>
      <c r="E348" s="16"/>
    </row>
    <row r="349" spans="1:5" x14ac:dyDescent="0.25">
      <c r="A349" s="16" t="s">
        <v>492</v>
      </c>
      <c r="B349" s="35" t="s">
        <v>297</v>
      </c>
      <c r="C349" s="251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5583205947.3000002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5583205947.2999983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297</v>
      </c>
      <c r="C358" s="251">
        <v>2484792685</v>
      </c>
      <c r="D358" s="16"/>
      <c r="E358" s="16"/>
    </row>
    <row r="359" spans="1:5" x14ac:dyDescent="0.25">
      <c r="A359" s="16" t="s">
        <v>498</v>
      </c>
      <c r="B359" s="35" t="s">
        <v>297</v>
      </c>
      <c r="C359" s="251">
        <v>1400469559.7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3885262244.6999998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403</v>
      </c>
      <c r="B362" s="34"/>
      <c r="C362" s="250">
        <v>3373892.5</v>
      </c>
      <c r="D362" s="16"/>
      <c r="E362" s="34"/>
    </row>
    <row r="363" spans="1:5" x14ac:dyDescent="0.25">
      <c r="A363" s="16" t="s">
        <v>501</v>
      </c>
      <c r="B363" s="35" t="s">
        <v>297</v>
      </c>
      <c r="C363" s="250">
        <v>2125931996.5599999</v>
      </c>
      <c r="D363" s="16"/>
      <c r="E363" s="16"/>
    </row>
    <row r="364" spans="1:5" x14ac:dyDescent="0.25">
      <c r="A364" s="16" t="s">
        <v>502</v>
      </c>
      <c r="B364" s="35" t="s">
        <v>297</v>
      </c>
      <c r="C364" s="250">
        <v>31496001.700000003</v>
      </c>
      <c r="D364" s="16"/>
      <c r="E364" s="16"/>
    </row>
    <row r="365" spans="1:5" x14ac:dyDescent="0.25">
      <c r="A365" s="16" t="s">
        <v>503</v>
      </c>
      <c r="B365" s="35" t="s">
        <v>297</v>
      </c>
      <c r="C365" s="250">
        <v>18303058.300000001</v>
      </c>
      <c r="D365" s="16"/>
      <c r="E365" s="16"/>
    </row>
    <row r="366" spans="1:5" x14ac:dyDescent="0.25">
      <c r="A366" s="16" t="s">
        <v>420</v>
      </c>
      <c r="B366" s="16"/>
      <c r="C366" s="22"/>
      <c r="D366" s="25">
        <f>SUM(C362:C365)</f>
        <v>2179104949.0599999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1706157295.6399999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297</v>
      </c>
      <c r="C370" s="250"/>
      <c r="D370" s="25">
        <v>0</v>
      </c>
      <c r="E370" s="25"/>
    </row>
    <row r="371" spans="1:6" x14ac:dyDescent="0.25">
      <c r="A371" s="46" t="s">
        <v>508</v>
      </c>
      <c r="B371" s="32" t="s">
        <v>297</v>
      </c>
      <c r="C371" s="250"/>
      <c r="D371" s="25">
        <v>0</v>
      </c>
      <c r="E371" s="25"/>
    </row>
    <row r="372" spans="1:6" x14ac:dyDescent="0.25">
      <c r="A372" s="46" t="s">
        <v>509</v>
      </c>
      <c r="B372" s="32" t="s">
        <v>297</v>
      </c>
      <c r="C372" s="250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297</v>
      </c>
      <c r="C373" s="250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297</v>
      </c>
      <c r="C374" s="250">
        <v>300152655.30000001</v>
      </c>
      <c r="D374" s="25">
        <v>0</v>
      </c>
      <c r="E374" s="25"/>
    </row>
    <row r="375" spans="1:6" x14ac:dyDescent="0.25">
      <c r="A375" s="46" t="s">
        <v>512</v>
      </c>
      <c r="B375" s="32" t="s">
        <v>297</v>
      </c>
      <c r="C375" s="250">
        <v>2056946.3800000001</v>
      </c>
      <c r="D375" s="25">
        <v>0</v>
      </c>
      <c r="E375" s="25"/>
    </row>
    <row r="376" spans="1:6" x14ac:dyDescent="0.25">
      <c r="A376" s="46" t="s">
        <v>513</v>
      </c>
      <c r="B376" s="32" t="s">
        <v>297</v>
      </c>
      <c r="C376" s="250">
        <v>102002543.46000001</v>
      </c>
      <c r="D376" s="25">
        <v>0</v>
      </c>
      <c r="E376" s="25"/>
    </row>
    <row r="377" spans="1:6" x14ac:dyDescent="0.25">
      <c r="A377" s="46" t="s">
        <v>514</v>
      </c>
      <c r="B377" s="32" t="s">
        <v>297</v>
      </c>
      <c r="C377" s="250">
        <v>2944023.9</v>
      </c>
      <c r="D377" s="25">
        <v>0</v>
      </c>
      <c r="E377" s="25"/>
    </row>
    <row r="378" spans="1:6" x14ac:dyDescent="0.25">
      <c r="A378" s="46" t="s">
        <v>515</v>
      </c>
      <c r="B378" s="32" t="s">
        <v>297</v>
      </c>
      <c r="C378" s="250">
        <v>19836692.16</v>
      </c>
      <c r="D378" s="25">
        <v>0</v>
      </c>
      <c r="E378" s="25"/>
    </row>
    <row r="379" spans="1:6" x14ac:dyDescent="0.25">
      <c r="A379" s="46" t="s">
        <v>516</v>
      </c>
      <c r="B379" s="32" t="s">
        <v>297</v>
      </c>
      <c r="C379" s="250">
        <v>4523842.5000000009</v>
      </c>
      <c r="D379" s="25">
        <v>0</v>
      </c>
      <c r="E379" s="25"/>
    </row>
    <row r="380" spans="1:6" x14ac:dyDescent="0.25">
      <c r="A380" s="46" t="s">
        <v>517</v>
      </c>
      <c r="B380" s="32" t="s">
        <v>297</v>
      </c>
      <c r="C380" s="255">
        <v>383917649.10000002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815434352.79999995</v>
      </c>
      <c r="E381" s="25"/>
      <c r="F381" s="47"/>
    </row>
    <row r="382" spans="1:6" x14ac:dyDescent="0.25">
      <c r="A382" s="43" t="s">
        <v>519</v>
      </c>
      <c r="B382" s="35" t="s">
        <v>297</v>
      </c>
      <c r="C382" s="250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815434352.79999995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2521591648.4399996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297</v>
      </c>
      <c r="C389" s="250">
        <v>994527196.99000001</v>
      </c>
      <c r="D389" s="16"/>
      <c r="E389" s="16"/>
    </row>
    <row r="390" spans="1:5" x14ac:dyDescent="0.25">
      <c r="A390" s="16" t="s">
        <v>9</v>
      </c>
      <c r="B390" s="35" t="s">
        <v>297</v>
      </c>
      <c r="C390" s="250">
        <v>273407448.66000003</v>
      </c>
      <c r="D390" s="16"/>
      <c r="E390" s="16"/>
    </row>
    <row r="391" spans="1:5" x14ac:dyDescent="0.25">
      <c r="A391" s="16" t="s">
        <v>262</v>
      </c>
      <c r="B391" s="35" t="s">
        <v>297</v>
      </c>
      <c r="C391" s="250">
        <v>227921548.50999999</v>
      </c>
      <c r="D391" s="16"/>
      <c r="E391" s="16"/>
    </row>
    <row r="392" spans="1:5" x14ac:dyDescent="0.25">
      <c r="A392" s="16" t="s">
        <v>524</v>
      </c>
      <c r="B392" s="35" t="s">
        <v>297</v>
      </c>
      <c r="C392" s="250">
        <v>242899662.21000001</v>
      </c>
      <c r="D392" s="16"/>
      <c r="E392" s="16"/>
    </row>
    <row r="393" spans="1:5" x14ac:dyDescent="0.25">
      <c r="A393" s="16" t="s">
        <v>525</v>
      </c>
      <c r="B393" s="35" t="s">
        <v>297</v>
      </c>
      <c r="C393" s="250"/>
      <c r="D393" s="16"/>
      <c r="E393" s="16"/>
    </row>
    <row r="394" spans="1:5" x14ac:dyDescent="0.25">
      <c r="A394" s="16" t="s">
        <v>526</v>
      </c>
      <c r="B394" s="35" t="s">
        <v>297</v>
      </c>
      <c r="C394" s="250">
        <v>176791545.80999997</v>
      </c>
      <c r="D394" s="16"/>
      <c r="E394" s="16"/>
    </row>
    <row r="395" spans="1:5" x14ac:dyDescent="0.25">
      <c r="A395" s="16" t="s">
        <v>14</v>
      </c>
      <c r="B395" s="35" t="s">
        <v>297</v>
      </c>
      <c r="C395" s="250">
        <v>141473101.49000001</v>
      </c>
      <c r="D395" s="16"/>
      <c r="E395" s="16"/>
    </row>
    <row r="396" spans="1:5" x14ac:dyDescent="0.25">
      <c r="A396" s="16" t="s">
        <v>527</v>
      </c>
      <c r="B396" s="35" t="s">
        <v>297</v>
      </c>
      <c r="C396" s="250">
        <v>31628237.879999999</v>
      </c>
      <c r="D396" s="16"/>
      <c r="E396" s="16"/>
    </row>
    <row r="397" spans="1:5" x14ac:dyDescent="0.25">
      <c r="A397" s="16" t="s">
        <v>528</v>
      </c>
      <c r="B397" s="35" t="s">
        <v>297</v>
      </c>
      <c r="C397" s="250">
        <v>6863615.2800000003</v>
      </c>
      <c r="D397" s="16"/>
      <c r="E397" s="16"/>
    </row>
    <row r="398" spans="1:5" x14ac:dyDescent="0.25">
      <c r="A398" s="16" t="s">
        <v>529</v>
      </c>
      <c r="B398" s="35" t="s">
        <v>297</v>
      </c>
      <c r="C398" s="250">
        <v>44420445.280000001</v>
      </c>
      <c r="D398" s="16"/>
      <c r="E398" s="16"/>
    </row>
    <row r="399" spans="1:5" x14ac:dyDescent="0.25">
      <c r="A399" s="16" t="s">
        <v>530</v>
      </c>
      <c r="B399" s="35" t="s">
        <v>297</v>
      </c>
      <c r="C399" s="250">
        <v>26218945.629999999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297</v>
      </c>
      <c r="C401" s="250">
        <v>3980322.47</v>
      </c>
      <c r="D401" s="25">
        <v>0</v>
      </c>
      <c r="E401" s="25"/>
    </row>
    <row r="402" spans="1:9" x14ac:dyDescent="0.25">
      <c r="A402" s="26" t="s">
        <v>269</v>
      </c>
      <c r="B402" s="32" t="s">
        <v>297</v>
      </c>
      <c r="C402" s="250">
        <v>33625241.979999997</v>
      </c>
      <c r="D402" s="25">
        <v>0</v>
      </c>
      <c r="E402" s="25"/>
    </row>
    <row r="403" spans="1:9" x14ac:dyDescent="0.25">
      <c r="A403" s="26" t="s">
        <v>532</v>
      </c>
      <c r="B403" s="32" t="s">
        <v>297</v>
      </c>
      <c r="C403" s="250">
        <v>39767044.239999995</v>
      </c>
      <c r="D403" s="25">
        <v>0</v>
      </c>
      <c r="E403" s="25"/>
      <c r="G403" s="11">
        <f>SUM(C396:C399)+C414</f>
        <v>161865621.25999999</v>
      </c>
    </row>
    <row r="404" spans="1:9" x14ac:dyDescent="0.25">
      <c r="A404" s="26" t="s">
        <v>271</v>
      </c>
      <c r="B404" s="32" t="s">
        <v>297</v>
      </c>
      <c r="C404" s="250">
        <v>1771250.97</v>
      </c>
      <c r="D404" s="25">
        <v>0</v>
      </c>
      <c r="E404" s="25"/>
    </row>
    <row r="405" spans="1:9" x14ac:dyDescent="0.25">
      <c r="A405" s="26" t="s">
        <v>272</v>
      </c>
      <c r="B405" s="32" t="s">
        <v>297</v>
      </c>
      <c r="C405" s="250">
        <v>3879152.47</v>
      </c>
      <c r="D405" s="25">
        <v>0</v>
      </c>
      <c r="E405" s="25"/>
    </row>
    <row r="406" spans="1:9" x14ac:dyDescent="0.25">
      <c r="A406" s="26" t="s">
        <v>273</v>
      </c>
      <c r="B406" s="32" t="s">
        <v>297</v>
      </c>
      <c r="C406" s="250">
        <v>8772067.9000000004</v>
      </c>
      <c r="D406" s="25">
        <v>0</v>
      </c>
      <c r="E406" s="25"/>
    </row>
    <row r="407" spans="1:9" x14ac:dyDescent="0.25">
      <c r="A407" s="26" t="s">
        <v>274</v>
      </c>
      <c r="B407" s="32" t="s">
        <v>297</v>
      </c>
      <c r="C407" s="250">
        <v>14926252.029999999</v>
      </c>
      <c r="D407" s="25">
        <v>0</v>
      </c>
      <c r="E407" s="25"/>
    </row>
    <row r="408" spans="1:9" x14ac:dyDescent="0.25">
      <c r="A408" s="26" t="s">
        <v>275</v>
      </c>
      <c r="B408" s="32" t="s">
        <v>297</v>
      </c>
      <c r="C408" s="250">
        <v>29472666.289999999</v>
      </c>
      <c r="D408" s="25">
        <v>0</v>
      </c>
      <c r="E408" s="25"/>
    </row>
    <row r="409" spans="1:9" x14ac:dyDescent="0.25">
      <c r="A409" s="26" t="s">
        <v>276</v>
      </c>
      <c r="B409" s="32" t="s">
        <v>297</v>
      </c>
      <c r="C409" s="250">
        <v>0</v>
      </c>
      <c r="D409" s="25">
        <v>0</v>
      </c>
      <c r="E409" s="25"/>
    </row>
    <row r="410" spans="1:9" x14ac:dyDescent="0.25">
      <c r="A410" s="26" t="s">
        <v>277</v>
      </c>
      <c r="B410" s="32" t="s">
        <v>297</v>
      </c>
      <c r="C410" s="250">
        <v>2566515.1799999997</v>
      </c>
      <c r="D410" s="25">
        <v>0</v>
      </c>
      <c r="E410" s="25"/>
    </row>
    <row r="411" spans="1:9" x14ac:dyDescent="0.25">
      <c r="A411" s="26" t="s">
        <v>278</v>
      </c>
      <c r="B411" s="32" t="s">
        <v>297</v>
      </c>
      <c r="C411" s="250">
        <v>1767223.3</v>
      </c>
      <c r="D411" s="25">
        <v>0</v>
      </c>
      <c r="E411" s="25"/>
    </row>
    <row r="412" spans="1:9" x14ac:dyDescent="0.25">
      <c r="A412" s="26" t="s">
        <v>279</v>
      </c>
      <c r="B412" s="32" t="s">
        <v>297</v>
      </c>
      <c r="C412" s="250"/>
      <c r="D412" s="25">
        <v>0</v>
      </c>
      <c r="E412" s="25"/>
    </row>
    <row r="413" spans="1:9" x14ac:dyDescent="0.25">
      <c r="A413" s="26" t="s">
        <v>280</v>
      </c>
      <c r="B413" s="32" t="s">
        <v>297</v>
      </c>
      <c r="C413" s="250">
        <v>19221629.710000001</v>
      </c>
      <c r="D413" s="25">
        <v>0</v>
      </c>
      <c r="E413" s="25"/>
    </row>
    <row r="414" spans="1:9" x14ac:dyDescent="0.25">
      <c r="A414" s="26" t="s">
        <v>281</v>
      </c>
      <c r="B414" s="32" t="s">
        <v>297</v>
      </c>
      <c r="C414" s="255">
        <v>52734377.189999998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212483743.73000002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2378635491.4700003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142956156.96999931</v>
      </c>
      <c r="E417" s="25"/>
    </row>
    <row r="418" spans="1:13" x14ac:dyDescent="0.25">
      <c r="A418" s="25" t="s">
        <v>536</v>
      </c>
      <c r="B418" s="16"/>
      <c r="C418" s="255">
        <v>0</v>
      </c>
      <c r="D418" s="25">
        <v>0</v>
      </c>
      <c r="E418" s="25"/>
    </row>
    <row r="419" spans="1:13" x14ac:dyDescent="0.25">
      <c r="A419" s="46" t="s">
        <v>537</v>
      </c>
      <c r="B419" s="35" t="s">
        <v>297</v>
      </c>
      <c r="C419" s="250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0</v>
      </c>
      <c r="E420" s="25"/>
      <c r="F420" s="11">
        <f>D420-C399</f>
        <v>-26218945.629999999</v>
      </c>
    </row>
    <row r="421" spans="1:13" x14ac:dyDescent="0.25">
      <c r="A421" s="25" t="s">
        <v>539</v>
      </c>
      <c r="B421" s="16"/>
      <c r="C421" s="22"/>
      <c r="D421" s="25">
        <f>D417+D420</f>
        <v>142956156.96999931</v>
      </c>
      <c r="E421" s="25"/>
      <c r="F421" s="50"/>
    </row>
    <row r="422" spans="1:13" x14ac:dyDescent="0.25">
      <c r="A422" s="25" t="s">
        <v>540</v>
      </c>
      <c r="B422" s="35" t="s">
        <v>297</v>
      </c>
      <c r="C422" s="250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297</v>
      </c>
      <c r="C423" s="250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142956156.96999931</v>
      </c>
      <c r="E424" s="16"/>
    </row>
    <row r="426" spans="1:13" x14ac:dyDescent="0.25">
      <c r="A426" s="307" t="s">
        <v>1364</v>
      </c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1867965.2413705997</v>
      </c>
      <c r="E612" s="218">
        <f>SUM(C624:D647)+SUM(C668:D713)</f>
        <v>1809127025.3480277</v>
      </c>
      <c r="F612" s="218">
        <f>CE64-(AX64+BD64+BE64+BG64+BJ64+BN64+BP64+BQ64+CB64+CC64+CD64)</f>
        <v>243792820.39999998</v>
      </c>
      <c r="G612" s="216">
        <f>CE91-(AX91+AY91+BD91+BE91+BG91+BJ91+BN91+BP91+BQ91+CB91+CC91+CD91)</f>
        <v>0</v>
      </c>
      <c r="H612" s="221">
        <f>CE60-(AX60+AY60+AZ60+BD60+BE60+BG60+BJ60+BN60+BO60+BP60+BQ60+BR60+CB60+CC60+CD60)</f>
        <v>7470.5036015240385</v>
      </c>
      <c r="I612" s="216">
        <f>CE92-(AX92+AY92+AZ92+BD92+BE92+BF92+BG92+BJ92+BN92+BO92+BP92+BQ92+BR92+CB92+CC92+CD92)</f>
        <v>256525.85832081406</v>
      </c>
      <c r="J612" s="216">
        <f>CE93-(AX93+AY93+AZ93+BA93+BD93+BE93+BF93+BG93+BJ93+BN93+BO93+BP93+BQ93+BR93+CB93+CC93+CD93)</f>
        <v>3971693</v>
      </c>
      <c r="K612" s="216">
        <f>CE89-(AW89+AX89+AY89+AZ89+BA89+BB89+BC89+BD89+BE89+BF89+BG89+BH89+BI89+BJ89+BK89+BL89+BM89+BN89+BO89+BP89+BQ89+BR89+BS89+BT89+BU89+BV89+BW89+BX89+CB89+CC89+CD89)</f>
        <v>4185414899.6600003</v>
      </c>
      <c r="L612" s="222">
        <f>CE94-(AW94+AX94+AY94+AZ94+BA94+BB94+BC94+BD94+BE94+BF94+BG94+BH94+BI94+BJ94+BK94+BL94+BM94+BN94+BO94+BP94+BQ94+BR94+BS94+BT94+BU94+BV94+BW94+BX94+BY94+BZ94+CA94+CB94+CC94+CD94)</f>
        <v>1404.4642981135714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165</v>
      </c>
      <c r="C614" s="216">
        <f>BE85</f>
        <v>111065610.32000002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0</v>
      </c>
      <c r="D615" s="216">
        <f>SUM(C614:C615)</f>
        <v>111065610.32000002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1197835.5900000001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170</v>
      </c>
      <c r="C617" s="216">
        <f>BJ85</f>
        <v>14586350.919999998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5720711.2400000002</v>
      </c>
      <c r="D618" s="216">
        <f>(D615/D612)*BG90</f>
        <v>118080.73436090567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46339349.309999995</v>
      </c>
      <c r="D619" s="216">
        <f>(D615/D612)*BN90</f>
        <v>1328113.3374170735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128936317.71000001</v>
      </c>
      <c r="D620" s="216">
        <f>(D615/D612)*CC90</f>
        <v>4145866.9587291051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11573837.439999999</v>
      </c>
      <c r="D621" s="216">
        <f>(D615/D612)*BP90</f>
        <v>214518.98678635745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11091094.710000001</v>
      </c>
      <c r="D623" s="216">
        <f>(D615/D612)*BQ90</f>
        <v>552523.81467863393</v>
      </c>
      <c r="E623" s="218">
        <f>SUM(C616:D623)</f>
        <v>225804600.75197211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164</v>
      </c>
      <c r="C624" s="216">
        <f>BD85</f>
        <v>3228188.4499999997</v>
      </c>
      <c r="D624" s="216">
        <f>(D615/D612)*BD90</f>
        <v>0</v>
      </c>
      <c r="E624" s="218">
        <f>(E623/E612)*SUM(C624:D624)</f>
        <v>402923.50613918283</v>
      </c>
      <c r="F624" s="218">
        <f>SUM(C624:E624)</f>
        <v>3631111.9561391827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160</v>
      </c>
      <c r="C625" s="216">
        <f>AY85</f>
        <v>21763662.66</v>
      </c>
      <c r="D625" s="216">
        <f>(D615/D612)*AY90</f>
        <v>3104259.9406958795</v>
      </c>
      <c r="E625" s="218">
        <f>(E623/E612)*SUM(C625:D625)</f>
        <v>3103867.9184513562</v>
      </c>
      <c r="F625" s="218">
        <f>(F624/F612)*AY64</f>
        <v>54570.068305962843</v>
      </c>
      <c r="G625" s="216">
        <f>SUM(C625:F625)</f>
        <v>28026360.587453198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177</v>
      </c>
      <c r="C626" s="216">
        <f>BR85</f>
        <v>23353633.710000001</v>
      </c>
      <c r="D626" s="216">
        <f>(D615/D612)*BR90</f>
        <v>3399.0210951130134</v>
      </c>
      <c r="E626" s="218">
        <f>(E623/E612)*SUM(C626:D626)</f>
        <v>2915287.5263587842</v>
      </c>
      <c r="F626" s="218">
        <f>(F624/F612)*BR64</f>
        <v>1472.8012323171479</v>
      </c>
      <c r="G626" s="216" t="e">
        <f>(G625/G612)*BR91</f>
        <v>#DIV/0!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2258765.5200000005</v>
      </c>
      <c r="D627" s="216">
        <f>(D615/D612)*BO90</f>
        <v>38641.515392364097</v>
      </c>
      <c r="E627" s="218">
        <f>(E623/E612)*SUM(C627:D627)</f>
        <v>286748.84135996376</v>
      </c>
      <c r="F627" s="218">
        <f>(F624/F612)*BO64</f>
        <v>2473.0277740045831</v>
      </c>
      <c r="G627" s="216" t="e">
        <f>(G625/G612)*BO91</f>
        <v>#DIV/0!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161</v>
      </c>
      <c r="C628" s="216">
        <f>AZ85</f>
        <v>158196.30999999994</v>
      </c>
      <c r="D628" s="216">
        <f>(D615/D612)*AZ90</f>
        <v>77715.114250180908</v>
      </c>
      <c r="E628" s="218">
        <f>(E623/E612)*SUM(C628:D628)</f>
        <v>29445.07722192337</v>
      </c>
      <c r="F628" s="218">
        <f>(F624/F612)*AZ64</f>
        <v>1393.7428350709765</v>
      </c>
      <c r="G628" s="216" t="e">
        <f>(G625/G612)*AZ91</f>
        <v>#DIV/0!</v>
      </c>
      <c r="H628" s="218" t="e">
        <f>SUM(C626:G628)</f>
        <v>#DIV/0!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166</v>
      </c>
      <c r="C629" s="216">
        <f>BF85</f>
        <v>22748890.759999994</v>
      </c>
      <c r="D629" s="216">
        <f>(D615/D612)*BF90</f>
        <v>522600.15523939626</v>
      </c>
      <c r="E629" s="218">
        <f>(E623/E612)*SUM(C629:D629)</f>
        <v>2904610.6997422646</v>
      </c>
      <c r="F629" s="218">
        <f>(F624/F612)*BF64</f>
        <v>23836.835247636744</v>
      </c>
      <c r="G629" s="216" t="e">
        <f>(G625/G612)*BF91</f>
        <v>#DIV/0!</v>
      </c>
      <c r="H629" s="218" t="e">
        <f>(H628/H612)*BF60</f>
        <v>#DIV/0!</v>
      </c>
      <c r="I629" s="216" t="e">
        <f>SUM(C629:H629)</f>
        <v>#DIV/0!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4509875.4800000004</v>
      </c>
      <c r="D630" s="216">
        <f>(D615/D612)*BA90</f>
        <v>72634.070992292123</v>
      </c>
      <c r="E630" s="218">
        <f>(E623/E612)*SUM(C630:D630)</f>
        <v>571961.90488882619</v>
      </c>
      <c r="F630" s="218">
        <f>(F624/F612)*BA64</f>
        <v>162.50151364450574</v>
      </c>
      <c r="G630" s="216" t="e">
        <f>(G625/G612)*BA91</f>
        <v>#DIV/0!</v>
      </c>
      <c r="H630" s="218" t="e">
        <f>(H628/H612)*BA60</f>
        <v>#DIV/0!</v>
      </c>
      <c r="I630" s="216" t="e">
        <f>(I629/I612)*BA92</f>
        <v>#DIV/0!</v>
      </c>
      <c r="J630" s="216" t="e">
        <f>SUM(C630:I630)</f>
        <v>#DIV/0!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187250289.34000003</v>
      </c>
      <c r="D631" s="216">
        <f>(D615/D612)*AW90</f>
        <v>328778.16134450259</v>
      </c>
      <c r="E631" s="218">
        <f>(E623/E612)*SUM(C631:D631)</f>
        <v>23412516.563573044</v>
      </c>
      <c r="F631" s="218">
        <f>(F624/F612)*AW64</f>
        <v>316793.7928215292</v>
      </c>
      <c r="G631" s="216" t="e">
        <f>(G625/G612)*AW91</f>
        <v>#DIV/0!</v>
      </c>
      <c r="H631" s="218" t="e">
        <f>(H628/H612)*AW60</f>
        <v>#DIV/0!</v>
      </c>
      <c r="I631" s="216" t="e">
        <f>(I629/I612)*AW92</f>
        <v>#DIV/0!</v>
      </c>
      <c r="J631" s="216" t="e">
        <f>(J630/J612)*AW93</f>
        <v>#DIV/0!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28653151.210000008</v>
      </c>
      <c r="D632" s="216">
        <f>(D615/D612)*BB90</f>
        <v>1118914.7701487821</v>
      </c>
      <c r="E632" s="218">
        <f>(E623/E612)*SUM(C632:D632)</f>
        <v>3715974.2671555122</v>
      </c>
      <c r="F632" s="218">
        <f>(F624/F612)*BB64</f>
        <v>4228.4937788644957</v>
      </c>
      <c r="G632" s="216" t="e">
        <f>(G625/G612)*BB91</f>
        <v>#DIV/0!</v>
      </c>
      <c r="H632" s="218" t="e">
        <f>(H628/H612)*BB60</f>
        <v>#DIV/0!</v>
      </c>
      <c r="I632" s="216" t="e">
        <f>(I629/I612)*BB92</f>
        <v>#DIV/0!</v>
      </c>
      <c r="J632" s="216" t="e">
        <f>(J630/J612)*BB93</f>
        <v>#DIV/0!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399525.58999999997</v>
      </c>
      <c r="D633" s="216">
        <f>(D615/D612)*BC90</f>
        <v>55380.615012104121</v>
      </c>
      <c r="E633" s="218">
        <f>(E623/E612)*SUM(C633:D633)</f>
        <v>56778.718444379199</v>
      </c>
      <c r="F633" s="218">
        <f>(F624/F612)*BC64</f>
        <v>0</v>
      </c>
      <c r="G633" s="216" t="e">
        <f>(G625/G612)*BC91</f>
        <v>#DIV/0!</v>
      </c>
      <c r="H633" s="218" t="e">
        <f>(H628/H612)*BC60</f>
        <v>#DIV/0!</v>
      </c>
      <c r="I633" s="216" t="e">
        <f>(I629/I612)*BC92</f>
        <v>#DIV/0!</v>
      </c>
      <c r="J633" s="216" t="e">
        <f>(J630/J612)*BC93</f>
        <v>#DIV/0!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7719081.8400000008</v>
      </c>
      <c r="D634" s="216">
        <f>(D615/D612)*BI90</f>
        <v>215931.36016003313</v>
      </c>
      <c r="E634" s="218">
        <f>(E623/E612)*SUM(C634:D634)</f>
        <v>990401.70342880033</v>
      </c>
      <c r="F634" s="218">
        <f>(F624/F612)*BI64</f>
        <v>1053.8747474788804</v>
      </c>
      <c r="G634" s="216" t="e">
        <f>(G625/G612)*BI91</f>
        <v>#DIV/0!</v>
      </c>
      <c r="H634" s="218" t="e">
        <f>(H628/H612)*BI60</f>
        <v>#DIV/0!</v>
      </c>
      <c r="I634" s="216" t="e">
        <f>(I629/I612)*BI92</f>
        <v>#DIV/0!</v>
      </c>
      <c r="J634" s="216" t="e">
        <f>(J630/J612)*BI93</f>
        <v>#DIV/0!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18366651.579999998</v>
      </c>
      <c r="D635" s="216">
        <f>(D615/D612)*BK90</f>
        <v>0</v>
      </c>
      <c r="E635" s="218">
        <f>(E623/E612)*SUM(C635:D635)</f>
        <v>2292417.4859278621</v>
      </c>
      <c r="F635" s="218">
        <f>(F624/F612)*BK64</f>
        <v>2263.1151719712616</v>
      </c>
      <c r="G635" s="216" t="e">
        <f>(G625/G612)*BK91</f>
        <v>#DIV/0!</v>
      </c>
      <c r="H635" s="218" t="e">
        <f>(H628/H612)*BK60</f>
        <v>#DIV/0!</v>
      </c>
      <c r="I635" s="216" t="e">
        <f>(I629/I612)*BK92</f>
        <v>#DIV/0!</v>
      </c>
      <c r="J635" s="216" t="e">
        <f>(J630/J612)*BK93</f>
        <v>#DIV/0!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113113570.09</v>
      </c>
      <c r="D636" s="216">
        <f>(D615/D612)*BH90</f>
        <v>885484.93960476317</v>
      </c>
      <c r="E636" s="218">
        <f>(E623/E612)*SUM(C636:D636)</f>
        <v>14228691.930634348</v>
      </c>
      <c r="F636" s="218">
        <f>(F624/F612)*BH64</f>
        <v>2866.5961972737618</v>
      </c>
      <c r="G636" s="216" t="e">
        <f>(G625/G612)*BH91</f>
        <v>#DIV/0!</v>
      </c>
      <c r="H636" s="218" t="e">
        <f>(H628/H612)*BH60</f>
        <v>#DIV/0!</v>
      </c>
      <c r="I636" s="216" t="e">
        <f>(I629/I612)*BH92</f>
        <v>#DIV/0!</v>
      </c>
      <c r="J636" s="216" t="e">
        <f>(J630/J612)*BH93</f>
        <v>#DIV/0!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172</v>
      </c>
      <c r="C637" s="216">
        <f>BL85</f>
        <v>11045599.899999999</v>
      </c>
      <c r="D637" s="216">
        <f>(D615/D612)*BL90</f>
        <v>307166.6129754188</v>
      </c>
      <c r="E637" s="218">
        <f>(E623/E612)*SUM(C637:D637)</f>
        <v>1416985.5814295972</v>
      </c>
      <c r="F637" s="218">
        <f>(F624/F612)*BL64</f>
        <v>612.19222707744382</v>
      </c>
      <c r="G637" s="216" t="e">
        <f>(G625/G612)*BL91</f>
        <v>#DIV/0!</v>
      </c>
      <c r="H637" s="218" t="e">
        <f>(H628/H612)*BL60</f>
        <v>#DIV/0!</v>
      </c>
      <c r="I637" s="216" t="e">
        <f>(I629/I612)*BL92</f>
        <v>#DIV/0!</v>
      </c>
      <c r="J637" s="216" t="e">
        <f>(J630/J612)*BL93</f>
        <v>#DIV/0!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 t="e">
        <f>(G625/G612)*BM91</f>
        <v>#DIV/0!</v>
      </c>
      <c r="H638" s="218" t="e">
        <f>(H628/H612)*BM60</f>
        <v>#DIV/0!</v>
      </c>
      <c r="I638" s="216" t="e">
        <f>(I629/I612)*BM92</f>
        <v>#DIV/0!</v>
      </c>
      <c r="J638" s="216" t="e">
        <f>(J630/J612)*BM93</f>
        <v>#DIV/0!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69634</v>
      </c>
      <c r="D639" s="216">
        <f>(D615/D612)*BS90</f>
        <v>40595.437480517452</v>
      </c>
      <c r="E639" s="218">
        <f>(E623/E612)*SUM(C639:D639)</f>
        <v>13758.190427017962</v>
      </c>
      <c r="F639" s="218">
        <f>(F624/F612)*BS64</f>
        <v>0</v>
      </c>
      <c r="G639" s="216" t="e">
        <f>(G625/G612)*BS91</f>
        <v>#DIV/0!</v>
      </c>
      <c r="H639" s="218" t="e">
        <f>(H628/H612)*BS60</f>
        <v>#DIV/0!</v>
      </c>
      <c r="I639" s="216" t="e">
        <f>(I629/I612)*BS92</f>
        <v>#DIV/0!</v>
      </c>
      <c r="J639" s="216" t="e">
        <f>(J630/J612)*BS93</f>
        <v>#DIV/0!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1672434.1600000001</v>
      </c>
      <c r="D640" s="216">
        <f>(D615/D612)*BT90</f>
        <v>316961.24322444113</v>
      </c>
      <c r="E640" s="218">
        <f>(E623/E612)*SUM(C640:D640)</f>
        <v>248304.64001082876</v>
      </c>
      <c r="F640" s="218">
        <f>(F624/F612)*BT64</f>
        <v>139.96784927920956</v>
      </c>
      <c r="G640" s="216" t="e">
        <f>(G625/G612)*BT91</f>
        <v>#DIV/0!</v>
      </c>
      <c r="H640" s="218" t="e">
        <f>(H628/H612)*BT60</f>
        <v>#DIV/0!</v>
      </c>
      <c r="I640" s="216" t="e">
        <f>(I629/I612)*BT92</f>
        <v>#DIV/0!</v>
      </c>
      <c r="J640" s="216" t="e">
        <f>(J630/J612)*BT93</f>
        <v>#DIV/0!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1848632.08</v>
      </c>
      <c r="D641" s="216">
        <f>(D615/D612)*BU90</f>
        <v>225702.0992907664</v>
      </c>
      <c r="E641" s="218">
        <f>(E623/E612)*SUM(C641:D641)</f>
        <v>258906.19874567111</v>
      </c>
      <c r="F641" s="218">
        <f>(F624/F612)*BU64</f>
        <v>9.5053633469858543</v>
      </c>
      <c r="G641" s="216" t="e">
        <f>(G625/G612)*BU91</f>
        <v>#DIV/0!</v>
      </c>
      <c r="H641" s="218" t="e">
        <f>(H628/H612)*BU60</f>
        <v>#DIV/0!</v>
      </c>
      <c r="I641" s="216" t="e">
        <f>(I629/I612)*BU92</f>
        <v>#DIV/0!</v>
      </c>
      <c r="J641" s="216" t="e">
        <f>(J630/J612)*BU93</f>
        <v>#DIV/0!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3347707.7899999996</v>
      </c>
      <c r="D642" s="216">
        <f>(D615/D612)*BV90</f>
        <v>18317.564118779879</v>
      </c>
      <c r="E642" s="218">
        <f>(E623/E612)*SUM(C642:D642)</f>
        <v>420127.49826761917</v>
      </c>
      <c r="F642" s="218">
        <f>(F624/F612)*BV64</f>
        <v>236.36449754559845</v>
      </c>
      <c r="G642" s="216" t="e">
        <f>(G625/G612)*BV91</f>
        <v>#DIV/0!</v>
      </c>
      <c r="H642" s="218" t="e">
        <f>(H628/H612)*BV60</f>
        <v>#DIV/0!</v>
      </c>
      <c r="I642" s="216" t="e">
        <f>(I629/I612)*BV92</f>
        <v>#DIV/0!</v>
      </c>
      <c r="J642" s="216" t="e">
        <f>(J630/J612)*BV93</f>
        <v>#DIV/0!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46405284</v>
      </c>
      <c r="D643" s="216">
        <f>(D615/D612)*BW90</f>
        <v>1537443.6523428794</v>
      </c>
      <c r="E643" s="218">
        <f>(E623/E612)*SUM(C643:D643)</f>
        <v>5983929.4448742447</v>
      </c>
      <c r="F643" s="218">
        <f>(F624/F612)*BW64</f>
        <v>11064.876239530751</v>
      </c>
      <c r="G643" s="216" t="e">
        <f>(G625/G612)*BW91</f>
        <v>#DIV/0!</v>
      </c>
      <c r="H643" s="218" t="e">
        <f>(H628/H612)*BW60</f>
        <v>#DIV/0!</v>
      </c>
      <c r="I643" s="216" t="e">
        <f>(I629/I612)*BW92</f>
        <v>#DIV/0!</v>
      </c>
      <c r="J643" s="216" t="e">
        <f>(J630/J612)*BW93</f>
        <v>#DIV/0!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21826672.260000002</v>
      </c>
      <c r="D644" s="216">
        <f>(D615/D612)*BX90</f>
        <v>383618.30550739839</v>
      </c>
      <c r="E644" s="218">
        <f>(E623/E612)*SUM(C644:D644)</f>
        <v>2772157.910119608</v>
      </c>
      <c r="F644" s="218">
        <f>(F624/F612)*BX64</f>
        <v>4290.3628676208373</v>
      </c>
      <c r="G644" s="216" t="e">
        <f>(G625/G612)*BX91</f>
        <v>#DIV/0!</v>
      </c>
      <c r="H644" s="218" t="e">
        <f>(H628/H612)*BX60</f>
        <v>#DIV/0!</v>
      </c>
      <c r="I644" s="216" t="e">
        <f>(I629/I612)*BX92</f>
        <v>#DIV/0!</v>
      </c>
      <c r="J644" s="216" t="e">
        <f>(J630/J612)*BX93</f>
        <v>#DIV/0!</v>
      </c>
      <c r="K644" s="218" t="e">
        <f>SUM(C631:J644)</f>
        <v>#DIV/0!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20620006.959999997</v>
      </c>
      <c r="D645" s="216">
        <f>(D615/D612)*BY90</f>
        <v>318015.77353584452</v>
      </c>
      <c r="E645" s="218">
        <f>(E623/E612)*SUM(C645:D645)</f>
        <v>2613360.9180771895</v>
      </c>
      <c r="F645" s="218">
        <f>(F624/F612)*BY64</f>
        <v>876.64877527997817</v>
      </c>
      <c r="G645" s="216" t="e">
        <f>(G625/G612)*BY91</f>
        <v>#DIV/0!</v>
      </c>
      <c r="H645" s="218" t="e">
        <f>(H628/H612)*BY60</f>
        <v>#DIV/0!</v>
      </c>
      <c r="I645" s="216" t="e">
        <f>(I629/I612)*BY92</f>
        <v>#DIV/0!</v>
      </c>
      <c r="J645" s="216" t="e">
        <f>(J630/J612)*BY93</f>
        <v>#DIV/0!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9797236.4799999986</v>
      </c>
      <c r="D646" s="216">
        <f>(D615/D612)*BZ90</f>
        <v>7917.6115023796301</v>
      </c>
      <c r="E646" s="218">
        <f>(E623/E612)*SUM(C646:D646)</f>
        <v>1223821.6962777041</v>
      </c>
      <c r="F646" s="218">
        <f>(F624/F612)*BZ64</f>
        <v>45.952792073763383</v>
      </c>
      <c r="G646" s="216" t="e">
        <f>(G625/G612)*BZ91</f>
        <v>#DIV/0!</v>
      </c>
      <c r="H646" s="218" t="e">
        <f>(H628/H612)*BZ60</f>
        <v>#DIV/0!</v>
      </c>
      <c r="I646" s="216" t="e">
        <f>(I629/I612)*BZ92</f>
        <v>#DIV/0!</v>
      </c>
      <c r="J646" s="216" t="e">
        <f>(J630/J612)*BZ93</f>
        <v>#DIV/0!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0</v>
      </c>
      <c r="D647" s="216">
        <f>(D615/D612)*CA90</f>
        <v>0</v>
      </c>
      <c r="E647" s="218">
        <f>(E623/E612)*SUM(C647:D647)</f>
        <v>0</v>
      </c>
      <c r="F647" s="218">
        <f>(F624/F612)*CA64</f>
        <v>0</v>
      </c>
      <c r="G647" s="216" t="e">
        <f>(G625/G612)*CA91</f>
        <v>#DIV/0!</v>
      </c>
      <c r="H647" s="218" t="e">
        <f>(H628/H612)*CA60</f>
        <v>#DIV/0!</v>
      </c>
      <c r="I647" s="216" t="e">
        <f>(I629/I612)*CA92</f>
        <v>#DIV/0!</v>
      </c>
      <c r="J647" s="216" t="e">
        <f>(J630/J612)*CA93</f>
        <v>#DIV/0!</v>
      </c>
      <c r="K647" s="218">
        <v>0</v>
      </c>
      <c r="L647" s="218" t="e">
        <f>SUM(C645:K647)</f>
        <v>#DIV/0!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880667797.41000021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341</v>
      </c>
      <c r="C668" s="216">
        <f>C85</f>
        <v>107599830.15000001</v>
      </c>
      <c r="D668" s="216">
        <f>(D615/D612)*C90</f>
        <v>8849531.0133560505</v>
      </c>
      <c r="E668" s="218">
        <f>(E623/E612)*SUM(C668:D668)</f>
        <v>14534524.738668034</v>
      </c>
      <c r="F668" s="218">
        <f>(F624/F612)*C64</f>
        <v>80198.485738998716</v>
      </c>
      <c r="G668" s="216" t="e">
        <f>(G625/G612)*C91</f>
        <v>#DIV/0!</v>
      </c>
      <c r="H668" s="218" t="e">
        <f>(H628/H612)*C60</f>
        <v>#DIV/0!</v>
      </c>
      <c r="I668" s="216" t="e">
        <f>(I629/I612)*C92</f>
        <v>#DIV/0!</v>
      </c>
      <c r="J668" s="216" t="e">
        <f>(J630/J612)*C93</f>
        <v>#DIV/0!</v>
      </c>
      <c r="K668" s="216" t="e">
        <f>(K644/K612)*C89</f>
        <v>#DIV/0!</v>
      </c>
      <c r="L668" s="216" t="e">
        <f>(L647/L612)*C94</f>
        <v>#DIV/0!</v>
      </c>
      <c r="M668" s="202" t="e">
        <f t="shared" ref="M668:M713" si="24">ROUND(SUM(D668:L668),0)</f>
        <v>#DIV/0!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342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 t="e">
        <f>(G625/G612)*D91</f>
        <v>#DIV/0!</v>
      </c>
      <c r="H669" s="218" t="e">
        <f>(H628/H612)*D60</f>
        <v>#DIV/0!</v>
      </c>
      <c r="I669" s="216" t="e">
        <f>(I629/I612)*D92</f>
        <v>#DIV/0!</v>
      </c>
      <c r="J669" s="216" t="e">
        <f>(J630/J612)*D93</f>
        <v>#DIV/0!</v>
      </c>
      <c r="K669" s="216" t="e">
        <f>(K644/K612)*D89</f>
        <v>#DIV/0!</v>
      </c>
      <c r="L669" s="216" t="e">
        <f>(L647/L612)*D94</f>
        <v>#DIV/0!</v>
      </c>
      <c r="M669" s="202" t="e">
        <f t="shared" si="24"/>
        <v>#DIV/0!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136228246.38999996</v>
      </c>
      <c r="D670" s="216">
        <f>(D615/D612)*E90</f>
        <v>19733821.212111767</v>
      </c>
      <c r="E670" s="218">
        <f>(E623/E612)*SUM(C670:D670)</f>
        <v>19466268.489672318</v>
      </c>
      <c r="F670" s="218">
        <f>(F624/F612)*E64</f>
        <v>72366.961038862399</v>
      </c>
      <c r="G670" s="216" t="e">
        <f>(G625/G612)*E91</f>
        <v>#DIV/0!</v>
      </c>
      <c r="H670" s="218" t="e">
        <f>(H628/H612)*E60</f>
        <v>#DIV/0!</v>
      </c>
      <c r="I670" s="216" t="e">
        <f>(I629/I612)*E92</f>
        <v>#DIV/0!</v>
      </c>
      <c r="J670" s="216" t="e">
        <f>(J630/J612)*E93</f>
        <v>#DIV/0!</v>
      </c>
      <c r="K670" s="216" t="e">
        <f>(K644/K612)*E89</f>
        <v>#DIV/0!</v>
      </c>
      <c r="L670" s="216" t="e">
        <f>(L647/L612)*E94</f>
        <v>#DIV/0!</v>
      </c>
      <c r="M670" s="202" t="e">
        <f t="shared" si="24"/>
        <v>#DIV/0!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 t="e">
        <f>(G625/G612)*F91</f>
        <v>#DIV/0!</v>
      </c>
      <c r="H671" s="218" t="e">
        <f>(H628/H612)*F60</f>
        <v>#DIV/0!</v>
      </c>
      <c r="I671" s="216" t="e">
        <f>(I629/I612)*F92</f>
        <v>#DIV/0!</v>
      </c>
      <c r="J671" s="216" t="e">
        <f>(J630/J612)*F93</f>
        <v>#DIV/0!</v>
      </c>
      <c r="K671" s="216" t="e">
        <f>(K644/K612)*F89</f>
        <v>#DIV/0!</v>
      </c>
      <c r="L671" s="216" t="e">
        <f>(L647/L612)*F94</f>
        <v>#DIV/0!</v>
      </c>
      <c r="M671" s="202" t="e">
        <f t="shared" si="24"/>
        <v>#DIV/0!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7861123.4400000004</v>
      </c>
      <c r="D672" s="216">
        <f>(D615/D612)*G90</f>
        <v>1223914.0040746722</v>
      </c>
      <c r="E672" s="218">
        <f>(E623/E612)*SUM(C672:D672)</f>
        <v>1133940.9693917737</v>
      </c>
      <c r="F672" s="218">
        <f>(F624/F612)*G64</f>
        <v>2612.0015808359672</v>
      </c>
      <c r="G672" s="216" t="e">
        <f>(G625/G612)*G91</f>
        <v>#DIV/0!</v>
      </c>
      <c r="H672" s="218" t="e">
        <f>(H628/H612)*G60</f>
        <v>#DIV/0!</v>
      </c>
      <c r="I672" s="216" t="e">
        <f>(I629/I612)*G92</f>
        <v>#DIV/0!</v>
      </c>
      <c r="J672" s="216" t="e">
        <f>(J630/J612)*G93</f>
        <v>#DIV/0!</v>
      </c>
      <c r="K672" s="216" t="e">
        <f>(K644/K612)*G89</f>
        <v>#DIV/0!</v>
      </c>
      <c r="L672" s="216" t="e">
        <f>(L647/L612)*G94</f>
        <v>#DIV/0!</v>
      </c>
      <c r="M672" s="202" t="e">
        <f t="shared" si="24"/>
        <v>#DIV/0!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27187675.68</v>
      </c>
      <c r="D673" s="216">
        <f>(D615/D612)*H90</f>
        <v>3636004.4630036163</v>
      </c>
      <c r="E673" s="218">
        <f>(E623/E612)*SUM(C673:D673)</f>
        <v>3847230.5652824347</v>
      </c>
      <c r="F673" s="218">
        <f>(F624/F612)*H64</f>
        <v>3213.6135263245974</v>
      </c>
      <c r="G673" s="216" t="e">
        <f>(G625/G612)*H91</f>
        <v>#DIV/0!</v>
      </c>
      <c r="H673" s="218" t="e">
        <f>(H628/H612)*H60</f>
        <v>#DIV/0!</v>
      </c>
      <c r="I673" s="216" t="e">
        <f>(I629/I612)*H92</f>
        <v>#DIV/0!</v>
      </c>
      <c r="J673" s="216" t="e">
        <f>(J630/J612)*H93</f>
        <v>#DIV/0!</v>
      </c>
      <c r="K673" s="216" t="e">
        <f>(K644/K612)*H89</f>
        <v>#DIV/0!</v>
      </c>
      <c r="L673" s="216" t="e">
        <f>(L647/L612)*H94</f>
        <v>#DIV/0!</v>
      </c>
      <c r="M673" s="202" t="e">
        <f t="shared" si="24"/>
        <v>#DIV/0!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 t="e">
        <f>(G625/G612)*I91</f>
        <v>#DIV/0!</v>
      </c>
      <c r="H674" s="218" t="e">
        <f>(H628/H612)*I60</f>
        <v>#DIV/0!</v>
      </c>
      <c r="I674" s="216" t="e">
        <f>(I629/I612)*I92</f>
        <v>#DIV/0!</v>
      </c>
      <c r="J674" s="216" t="e">
        <f>(J630/J612)*I93</f>
        <v>#DIV/0!</v>
      </c>
      <c r="K674" s="216" t="e">
        <f>(K644/K612)*I89</f>
        <v>#DIV/0!</v>
      </c>
      <c r="L674" s="216" t="e">
        <f>(L647/L612)*I94</f>
        <v>#DIV/0!</v>
      </c>
      <c r="M674" s="202" t="e">
        <f t="shared" si="24"/>
        <v>#DIV/0!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123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 t="e">
        <f>(G625/G612)*J91</f>
        <v>#DIV/0!</v>
      </c>
      <c r="H675" s="218" t="e">
        <f>(H628/H612)*J60</f>
        <v>#DIV/0!</v>
      </c>
      <c r="I675" s="216" t="e">
        <f>(I629/I612)*J92</f>
        <v>#DIV/0!</v>
      </c>
      <c r="J675" s="216" t="e">
        <f>(J630/J612)*J93</f>
        <v>#DIV/0!</v>
      </c>
      <c r="K675" s="216" t="e">
        <f>(K644/K612)*J89</f>
        <v>#DIV/0!</v>
      </c>
      <c r="L675" s="216" t="e">
        <f>(L647/L612)*J94</f>
        <v>#DIV/0!</v>
      </c>
      <c r="M675" s="202" t="e">
        <f t="shared" si="24"/>
        <v>#DIV/0!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347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 t="e">
        <f>(G625/G612)*K91</f>
        <v>#DIV/0!</v>
      </c>
      <c r="H676" s="218" t="e">
        <f>(H628/H612)*K60</f>
        <v>#DIV/0!</v>
      </c>
      <c r="I676" s="216" t="e">
        <f>(I629/I612)*K92</f>
        <v>#DIV/0!</v>
      </c>
      <c r="J676" s="216" t="e">
        <f>(J630/J612)*K93</f>
        <v>#DIV/0!</v>
      </c>
      <c r="K676" s="216" t="e">
        <f>(K644/K612)*K89</f>
        <v>#DIV/0!</v>
      </c>
      <c r="L676" s="216" t="e">
        <f>(L647/L612)*K94</f>
        <v>#DIV/0!</v>
      </c>
      <c r="M676" s="202" t="e">
        <f t="shared" si="24"/>
        <v>#DIV/0!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348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 t="e">
        <f>(G625/G612)*L91</f>
        <v>#DIV/0!</v>
      </c>
      <c r="H677" s="218" t="e">
        <f>(H628/H612)*L60</f>
        <v>#DIV/0!</v>
      </c>
      <c r="I677" s="216" t="e">
        <f>(I629/I612)*L92</f>
        <v>#DIV/0!</v>
      </c>
      <c r="J677" s="216" t="e">
        <f>(J630/J612)*L93</f>
        <v>#DIV/0!</v>
      </c>
      <c r="K677" s="216" t="e">
        <f>(K644/K612)*L89</f>
        <v>#DIV/0!</v>
      </c>
      <c r="L677" s="216" t="e">
        <f>(L647/L612)*L94</f>
        <v>#DIV/0!</v>
      </c>
      <c r="M677" s="202" t="e">
        <f t="shared" si="24"/>
        <v>#DIV/0!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 t="e">
        <f>(G625/G612)*M91</f>
        <v>#DIV/0!</v>
      </c>
      <c r="H678" s="218" t="e">
        <f>(H628/H612)*M60</f>
        <v>#DIV/0!</v>
      </c>
      <c r="I678" s="216" t="e">
        <f>(I629/I612)*M92</f>
        <v>#DIV/0!</v>
      </c>
      <c r="J678" s="216" t="e">
        <f>(J630/J612)*M93</f>
        <v>#DIV/0!</v>
      </c>
      <c r="K678" s="216" t="e">
        <f>(K644/K612)*M89</f>
        <v>#DIV/0!</v>
      </c>
      <c r="L678" s="216" t="e">
        <f>(L647/L612)*M94</f>
        <v>#DIV/0!</v>
      </c>
      <c r="M678" s="202" t="e">
        <f t="shared" si="24"/>
        <v>#DIV/0!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 t="e">
        <f>(G625/G612)*N91</f>
        <v>#DIV/0!</v>
      </c>
      <c r="H679" s="218" t="e">
        <f>(H628/H612)*N60</f>
        <v>#DIV/0!</v>
      </c>
      <c r="I679" s="216" t="e">
        <f>(I629/I612)*N92</f>
        <v>#DIV/0!</v>
      </c>
      <c r="J679" s="216" t="e">
        <f>(J630/J612)*N93</f>
        <v>#DIV/0!</v>
      </c>
      <c r="K679" s="216" t="e">
        <f>(K644/K612)*N89</f>
        <v>#DIV/0!</v>
      </c>
      <c r="L679" s="216" t="e">
        <f>(L647/L612)*N94</f>
        <v>#DIV/0!</v>
      </c>
      <c r="M679" s="202" t="e">
        <f t="shared" si="24"/>
        <v>#DIV/0!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 t="e">
        <f>(G625/G612)*O91</f>
        <v>#DIV/0!</v>
      </c>
      <c r="H680" s="218" t="e">
        <f>(H628/H612)*O60</f>
        <v>#DIV/0!</v>
      </c>
      <c r="I680" s="216" t="e">
        <f>(I629/I612)*O92</f>
        <v>#DIV/0!</v>
      </c>
      <c r="J680" s="216" t="e">
        <f>(J630/J612)*O93</f>
        <v>#DIV/0!</v>
      </c>
      <c r="K680" s="216" t="e">
        <f>(K644/K612)*O89</f>
        <v>#DIV/0!</v>
      </c>
      <c r="L680" s="216" t="e">
        <f>(L647/L612)*O94</f>
        <v>#DIV/0!</v>
      </c>
      <c r="M680" s="202" t="e">
        <f t="shared" si="24"/>
        <v>#DIV/0!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96343769.890000001</v>
      </c>
      <c r="D681" s="216">
        <f>(D615/D612)*P90</f>
        <v>10718183.422241177</v>
      </c>
      <c r="E681" s="218">
        <f>(E623/E612)*SUM(C681:D681)</f>
        <v>13362843.672486877</v>
      </c>
      <c r="F681" s="218">
        <f>(F624/F612)*P64</f>
        <v>555321.94961125834</v>
      </c>
      <c r="G681" s="216" t="e">
        <f>(G625/G612)*P91</f>
        <v>#DIV/0!</v>
      </c>
      <c r="H681" s="218" t="e">
        <f>(H628/H612)*P60</f>
        <v>#DIV/0!</v>
      </c>
      <c r="I681" s="216" t="e">
        <f>(I629/I612)*P92</f>
        <v>#DIV/0!</v>
      </c>
      <c r="J681" s="216" t="e">
        <f>(J630/J612)*P93</f>
        <v>#DIV/0!</v>
      </c>
      <c r="K681" s="216" t="e">
        <f>(K644/K612)*P89</f>
        <v>#DIV/0!</v>
      </c>
      <c r="L681" s="216" t="e">
        <f>(L647/L612)*P94</f>
        <v>#DIV/0!</v>
      </c>
      <c r="M681" s="202" t="e">
        <f t="shared" si="24"/>
        <v>#DIV/0!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18908486.82</v>
      </c>
      <c r="D682" s="216">
        <f>(D615/D612)*Q90</f>
        <v>1421801.7525154208</v>
      </c>
      <c r="E682" s="218">
        <f>(E623/E612)*SUM(C682:D682)</f>
        <v>2537507.1125290957</v>
      </c>
      <c r="F682" s="218">
        <f>(F624/F612)*Q64</f>
        <v>6169.8540622494975</v>
      </c>
      <c r="G682" s="216" t="e">
        <f>(G625/G612)*Q91</f>
        <v>#DIV/0!</v>
      </c>
      <c r="H682" s="218" t="e">
        <f>(H628/H612)*Q60</f>
        <v>#DIV/0!</v>
      </c>
      <c r="I682" s="216" t="e">
        <f>(I629/I612)*Q92</f>
        <v>#DIV/0!</v>
      </c>
      <c r="J682" s="216" t="e">
        <f>(J630/J612)*Q93</f>
        <v>#DIV/0!</v>
      </c>
      <c r="K682" s="216" t="e">
        <f>(K644/K612)*Q89</f>
        <v>#DIV/0!</v>
      </c>
      <c r="L682" s="216" t="e">
        <f>(L647/L612)*Q94</f>
        <v>#DIV/0!</v>
      </c>
      <c r="M682" s="202" t="e">
        <f t="shared" si="24"/>
        <v>#DIV/0!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131</v>
      </c>
      <c r="C683" s="216">
        <f>R85</f>
        <v>11494709.939999999</v>
      </c>
      <c r="D683" s="216">
        <f>(D615/D612)*R90</f>
        <v>831878.34971620608</v>
      </c>
      <c r="E683" s="218">
        <f>(E623/E612)*SUM(C683:D683)</f>
        <v>1538532.2912070537</v>
      </c>
      <c r="F683" s="218">
        <f>(F624/F612)*R64</f>
        <v>35829.849695203447</v>
      </c>
      <c r="G683" s="216" t="e">
        <f>(G625/G612)*R91</f>
        <v>#DIV/0!</v>
      </c>
      <c r="H683" s="218" t="e">
        <f>(H628/H612)*R60</f>
        <v>#DIV/0!</v>
      </c>
      <c r="I683" s="216" t="e">
        <f>(I629/I612)*R92</f>
        <v>#DIV/0!</v>
      </c>
      <c r="J683" s="216" t="e">
        <f>(J630/J612)*R93</f>
        <v>#DIV/0!</v>
      </c>
      <c r="K683" s="216" t="e">
        <f>(K644/K612)*R89</f>
        <v>#DIV/0!</v>
      </c>
      <c r="L683" s="216" t="e">
        <f>(L647/L612)*R94</f>
        <v>#DIV/0!</v>
      </c>
      <c r="M683" s="202" t="e">
        <f t="shared" si="24"/>
        <v>#DIV/0!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25341144</v>
      </c>
      <c r="D684" s="216">
        <f>(D615/D612)*S90</f>
        <v>3873838.23210346</v>
      </c>
      <c r="E684" s="218">
        <f>(E623/E612)*SUM(C684:D684)</f>
        <v>3646442.3484177501</v>
      </c>
      <c r="F684" s="218">
        <f>(F624/F612)*S64</f>
        <v>20498.832515999125</v>
      </c>
      <c r="G684" s="216" t="e">
        <f>(G625/G612)*S91</f>
        <v>#DIV/0!</v>
      </c>
      <c r="H684" s="218" t="e">
        <f>(H628/H612)*S60</f>
        <v>#DIV/0!</v>
      </c>
      <c r="I684" s="216" t="e">
        <f>(I629/I612)*S92</f>
        <v>#DIV/0!</v>
      </c>
      <c r="J684" s="216" t="e">
        <f>(J630/J612)*S93</f>
        <v>#DIV/0!</v>
      </c>
      <c r="K684" s="216" t="e">
        <f>(K644/K612)*S89</f>
        <v>#DIV/0!</v>
      </c>
      <c r="L684" s="216" t="e">
        <f>(L647/L612)*S94</f>
        <v>#DIV/0!</v>
      </c>
      <c r="M684" s="202" t="e">
        <f t="shared" si="24"/>
        <v>#DIV/0!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2773613.4500000007</v>
      </c>
      <c r="D685" s="216">
        <f>(D615/D612)*T90</f>
        <v>44314.147537191289</v>
      </c>
      <c r="E685" s="218">
        <f>(E623/E612)*SUM(C685:D685)</f>
        <v>351717.15816220385</v>
      </c>
      <c r="F685" s="218">
        <f>(F624/F612)*T64</f>
        <v>3112.4525043960807</v>
      </c>
      <c r="G685" s="216" t="e">
        <f>(G625/G612)*T91</f>
        <v>#DIV/0!</v>
      </c>
      <c r="H685" s="218" t="e">
        <f>(H628/H612)*T60</f>
        <v>#DIV/0!</v>
      </c>
      <c r="I685" s="216" t="e">
        <f>(I629/I612)*T92</f>
        <v>#DIV/0!</v>
      </c>
      <c r="J685" s="216" t="e">
        <f>(J630/J612)*T93</f>
        <v>#DIV/0!</v>
      </c>
      <c r="K685" s="216" t="e">
        <f>(K644/K612)*T89</f>
        <v>#DIV/0!</v>
      </c>
      <c r="L685" s="216" t="e">
        <f>(L647/L612)*T94</f>
        <v>#DIV/0!</v>
      </c>
      <c r="M685" s="202" t="e">
        <f t="shared" si="24"/>
        <v>#DIV/0!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134</v>
      </c>
      <c r="C686" s="216">
        <f>U85</f>
        <v>73372522.160000011</v>
      </c>
      <c r="D686" s="216">
        <f>(D615/D612)*U90</f>
        <v>4760429.7238302808</v>
      </c>
      <c r="E686" s="218">
        <f>(E623/E612)*SUM(C686:D686)</f>
        <v>9752095.7669113073</v>
      </c>
      <c r="F686" s="218">
        <f>(F624/F612)*U64</f>
        <v>174252.07422811439</v>
      </c>
      <c r="G686" s="216" t="e">
        <f>(G625/G612)*U91</f>
        <v>#DIV/0!</v>
      </c>
      <c r="H686" s="218" t="e">
        <f>(H628/H612)*U60</f>
        <v>#DIV/0!</v>
      </c>
      <c r="I686" s="216" t="e">
        <f>(I629/I612)*U92</f>
        <v>#DIV/0!</v>
      </c>
      <c r="J686" s="216" t="e">
        <f>(J630/J612)*U93</f>
        <v>#DIV/0!</v>
      </c>
      <c r="K686" s="216" t="e">
        <f>(K644/K612)*U89</f>
        <v>#DIV/0!</v>
      </c>
      <c r="L686" s="216" t="e">
        <f>(L647/L612)*U94</f>
        <v>#DIV/0!</v>
      </c>
      <c r="M686" s="202" t="e">
        <f t="shared" si="24"/>
        <v>#DIV/0!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13233268.93</v>
      </c>
      <c r="D687" s="216">
        <f>(D615/D612)*V90</f>
        <v>952712.6183349489</v>
      </c>
      <c r="E687" s="218">
        <f>(E623/E612)*SUM(C687:D687)</f>
        <v>1770610.8277169729</v>
      </c>
      <c r="F687" s="218">
        <f>(F624/F612)*V64</f>
        <v>9253.9027792725337</v>
      </c>
      <c r="G687" s="216" t="e">
        <f>(G625/G612)*V91</f>
        <v>#DIV/0!</v>
      </c>
      <c r="H687" s="218" t="e">
        <f>(H628/H612)*V60</f>
        <v>#DIV/0!</v>
      </c>
      <c r="I687" s="216" t="e">
        <f>(I629/I612)*V92</f>
        <v>#DIV/0!</v>
      </c>
      <c r="J687" s="216" t="e">
        <f>(J630/J612)*V93</f>
        <v>#DIV/0!</v>
      </c>
      <c r="K687" s="216" t="e">
        <f>(K644/K612)*V89</f>
        <v>#DIV/0!</v>
      </c>
      <c r="L687" s="216" t="e">
        <f>(L647/L612)*V94</f>
        <v>#DIV/0!</v>
      </c>
      <c r="M687" s="202" t="e">
        <f t="shared" si="24"/>
        <v>#DIV/0!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5258482</v>
      </c>
      <c r="D688" s="216">
        <f>(D615/D612)*W90</f>
        <v>1118278.384602705</v>
      </c>
      <c r="E688" s="218">
        <f>(E623/E612)*SUM(C688:D688)</f>
        <v>795909.74683450279</v>
      </c>
      <c r="F688" s="218">
        <f>(F624/F612)*W64</f>
        <v>990.77881909971074</v>
      </c>
      <c r="G688" s="216" t="e">
        <f>(G625/G612)*W91</f>
        <v>#DIV/0!</v>
      </c>
      <c r="H688" s="218" t="e">
        <f>(H628/H612)*W60</f>
        <v>#DIV/0!</v>
      </c>
      <c r="I688" s="216" t="e">
        <f>(I629/I612)*W92</f>
        <v>#DIV/0!</v>
      </c>
      <c r="J688" s="216" t="e">
        <f>(J630/J612)*W93</f>
        <v>#DIV/0!</v>
      </c>
      <c r="K688" s="216" t="e">
        <f>(K644/K612)*W89</f>
        <v>#DIV/0!</v>
      </c>
      <c r="L688" s="216" t="e">
        <f>(L647/L612)*W94</f>
        <v>#DIV/0!</v>
      </c>
      <c r="M688" s="202" t="e">
        <f t="shared" si="24"/>
        <v>#DIV/0!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3531295.6599999997</v>
      </c>
      <c r="D689" s="216">
        <f>(D615/D612)*X90</f>
        <v>306958.83136062371</v>
      </c>
      <c r="E689" s="218">
        <f>(E623/E612)*SUM(C689:D689)</f>
        <v>479068.3632838995</v>
      </c>
      <c r="F689" s="218">
        <f>(F624/F612)*X64</f>
        <v>1483.135311903226</v>
      </c>
      <c r="G689" s="216" t="e">
        <f>(G625/G612)*X91</f>
        <v>#DIV/0!</v>
      </c>
      <c r="H689" s="218" t="e">
        <f>(H628/H612)*X60</f>
        <v>#DIV/0!</v>
      </c>
      <c r="I689" s="216" t="e">
        <f>(I629/I612)*X92</f>
        <v>#DIV/0!</v>
      </c>
      <c r="J689" s="216" t="e">
        <f>(J630/J612)*X93</f>
        <v>#DIV/0!</v>
      </c>
      <c r="K689" s="216" t="e">
        <f>(K644/K612)*X89</f>
        <v>#DIV/0!</v>
      </c>
      <c r="L689" s="216" t="e">
        <f>(L647/L612)*X94</f>
        <v>#DIV/0!</v>
      </c>
      <c r="M689" s="202" t="e">
        <f t="shared" si="24"/>
        <v>#DIV/0!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36775810.389999993</v>
      </c>
      <c r="D690" s="216">
        <f>(D615/D612)*Y90</f>
        <v>4083613.8281303444</v>
      </c>
      <c r="E690" s="218">
        <f>(E623/E612)*SUM(C690:D690)</f>
        <v>5099833.1478440538</v>
      </c>
      <c r="F690" s="218">
        <f>(F624/F612)*Y64</f>
        <v>83318.381497408511</v>
      </c>
      <c r="G690" s="216" t="e">
        <f>(G625/G612)*Y91</f>
        <v>#DIV/0!</v>
      </c>
      <c r="H690" s="218" t="e">
        <f>(H628/H612)*Y60</f>
        <v>#DIV/0!</v>
      </c>
      <c r="I690" s="216" t="e">
        <f>(I629/I612)*Y92</f>
        <v>#DIV/0!</v>
      </c>
      <c r="J690" s="216" t="e">
        <f>(J630/J612)*Y93</f>
        <v>#DIV/0!</v>
      </c>
      <c r="K690" s="216" t="e">
        <f>(K644/K612)*Y89</f>
        <v>#DIV/0!</v>
      </c>
      <c r="L690" s="216" t="e">
        <f>(L647/L612)*Y94</f>
        <v>#DIV/0!</v>
      </c>
      <c r="M690" s="202" t="e">
        <f t="shared" si="24"/>
        <v>#DIV/0!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2876099.3200000003</v>
      </c>
      <c r="D691" s="216">
        <f>(D615/D612)*Z90</f>
        <v>224993.56653074609</v>
      </c>
      <c r="E691" s="218">
        <f>(E623/E612)*SUM(C691:D691)</f>
        <v>387060.18501003168</v>
      </c>
      <c r="F691" s="218">
        <f>(F624/F612)*Z64</f>
        <v>1226.3153451188689</v>
      </c>
      <c r="G691" s="216" t="e">
        <f>(G625/G612)*Z91</f>
        <v>#DIV/0!</v>
      </c>
      <c r="H691" s="218" t="e">
        <f>(H628/H612)*Z60</f>
        <v>#DIV/0!</v>
      </c>
      <c r="I691" s="216" t="e">
        <f>(I629/I612)*Z92</f>
        <v>#DIV/0!</v>
      </c>
      <c r="J691" s="216" t="e">
        <f>(J630/J612)*Z93</f>
        <v>#DIV/0!</v>
      </c>
      <c r="K691" s="216" t="e">
        <f>(K644/K612)*Z89</f>
        <v>#DIV/0!</v>
      </c>
      <c r="L691" s="216" t="e">
        <f>(L647/L612)*Z94</f>
        <v>#DIV/0!</v>
      </c>
      <c r="M691" s="202" t="e">
        <f t="shared" si="24"/>
        <v>#DIV/0!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1817047.5000000002</v>
      </c>
      <c r="D692" s="216">
        <f>(D615/D612)*AA90</f>
        <v>140195.85340179087</v>
      </c>
      <c r="E692" s="218">
        <f>(E623/E612)*SUM(C692:D692)</f>
        <v>244291.6101506594</v>
      </c>
      <c r="F692" s="218">
        <f>(F624/F612)*AA64</f>
        <v>9485.1491646463273</v>
      </c>
      <c r="G692" s="216" t="e">
        <f>(G625/G612)*AA91</f>
        <v>#DIV/0!</v>
      </c>
      <c r="H692" s="218" t="e">
        <f>(H628/H612)*AA60</f>
        <v>#DIV/0!</v>
      </c>
      <c r="I692" s="216" t="e">
        <f>(I629/I612)*AA92</f>
        <v>#DIV/0!</v>
      </c>
      <c r="J692" s="216" t="e">
        <f>(J630/J612)*AA93</f>
        <v>#DIV/0!</v>
      </c>
      <c r="K692" s="216" t="e">
        <f>(K644/K612)*AA89</f>
        <v>#DIV/0!</v>
      </c>
      <c r="L692" s="216" t="e">
        <f>(L647/L612)*AA94</f>
        <v>#DIV/0!</v>
      </c>
      <c r="M692" s="202" t="e">
        <f t="shared" si="24"/>
        <v>#DIV/0!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140</v>
      </c>
      <c r="C693" s="216">
        <f>AB85</f>
        <v>159743689.25999999</v>
      </c>
      <c r="D693" s="216">
        <f>(D615/D612)*AB90</f>
        <v>2789768.5375491325</v>
      </c>
      <c r="E693" s="218">
        <f>(E623/E612)*SUM(C693:D693)</f>
        <v>20286470.785407033</v>
      </c>
      <c r="F693" s="218">
        <f>(F624/F612)*AB64</f>
        <v>1748009.9486399225</v>
      </c>
      <c r="G693" s="216" t="e">
        <f>(G625/G612)*AB91</f>
        <v>#DIV/0!</v>
      </c>
      <c r="H693" s="218" t="e">
        <f>(H628/H612)*AB60</f>
        <v>#DIV/0!</v>
      </c>
      <c r="I693" s="216" t="e">
        <f>(I629/I612)*AB92</f>
        <v>#DIV/0!</v>
      </c>
      <c r="J693" s="216" t="e">
        <f>(J630/J612)*AB93</f>
        <v>#DIV/0!</v>
      </c>
      <c r="K693" s="216" t="e">
        <f>(K644/K612)*AB89</f>
        <v>#DIV/0!</v>
      </c>
      <c r="L693" s="216" t="e">
        <f>(L647/L612)*AB94</f>
        <v>#DIV/0!</v>
      </c>
      <c r="M693" s="202" t="e">
        <f t="shared" si="24"/>
        <v>#DIV/0!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26755020.640000001</v>
      </c>
      <c r="D694" s="216">
        <f>(D615/D612)*AC90</f>
        <v>398387.41392614623</v>
      </c>
      <c r="E694" s="218">
        <f>(E623/E612)*SUM(C694:D694)</f>
        <v>3389128.7780042239</v>
      </c>
      <c r="F694" s="218">
        <f>(F624/F612)*AC64</f>
        <v>50245.344992351071</v>
      </c>
      <c r="G694" s="216" t="e">
        <f>(G625/G612)*AC91</f>
        <v>#DIV/0!</v>
      </c>
      <c r="H694" s="218" t="e">
        <f>(H628/H612)*AC60</f>
        <v>#DIV/0!</v>
      </c>
      <c r="I694" s="216" t="e">
        <f>(I629/I612)*AC92</f>
        <v>#DIV/0!</v>
      </c>
      <c r="J694" s="216" t="e">
        <f>(J630/J612)*AC93</f>
        <v>#DIV/0!</v>
      </c>
      <c r="K694" s="216" t="e">
        <f>(K644/K612)*AC89</f>
        <v>#DIV/0!</v>
      </c>
      <c r="L694" s="216" t="e">
        <f>(L647/L612)*AC94</f>
        <v>#DIV/0!</v>
      </c>
      <c r="M694" s="202" t="e">
        <f t="shared" si="24"/>
        <v>#DIV/0!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142</v>
      </c>
      <c r="C695" s="216">
        <f>AD85</f>
        <v>8704923.0200000014</v>
      </c>
      <c r="D695" s="216">
        <f>(D615/D612)*AD90</f>
        <v>833780.43178565952</v>
      </c>
      <c r="E695" s="218">
        <f>(E623/E612)*SUM(C695:D695)</f>
        <v>1190564.8936992525</v>
      </c>
      <c r="F695" s="218">
        <f>(F624/F612)*AD64</f>
        <v>17324.790636918777</v>
      </c>
      <c r="G695" s="216" t="e">
        <f>(G625/G612)*AD91</f>
        <v>#DIV/0!</v>
      </c>
      <c r="H695" s="218" t="e">
        <f>(H628/H612)*AD60</f>
        <v>#DIV/0!</v>
      </c>
      <c r="I695" s="216" t="e">
        <f>(I629/I612)*AD92</f>
        <v>#DIV/0!</v>
      </c>
      <c r="J695" s="216" t="e">
        <f>(J630/J612)*AD93</f>
        <v>#DIV/0!</v>
      </c>
      <c r="K695" s="216" t="e">
        <f>(K644/K612)*AD89</f>
        <v>#DIV/0!</v>
      </c>
      <c r="L695" s="216" t="e">
        <f>(L647/L612)*AD94</f>
        <v>#DIV/0!</v>
      </c>
      <c r="M695" s="202" t="e">
        <f t="shared" si="24"/>
        <v>#DIV/0!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19471909.100000001</v>
      </c>
      <c r="D696" s="216">
        <f>(D615/D612)*AE90</f>
        <v>671693.66827816062</v>
      </c>
      <c r="E696" s="218">
        <f>(E623/E612)*SUM(C696:D696)</f>
        <v>2514206.0878352961</v>
      </c>
      <c r="F696" s="218">
        <f>(F624/F612)*AE64</f>
        <v>1299.1766905030861</v>
      </c>
      <c r="G696" s="216" t="e">
        <f>(G625/G612)*AE91</f>
        <v>#DIV/0!</v>
      </c>
      <c r="H696" s="218" t="e">
        <f>(H628/H612)*AE60</f>
        <v>#DIV/0!</v>
      </c>
      <c r="I696" s="216" t="e">
        <f>(I629/I612)*AE92</f>
        <v>#DIV/0!</v>
      </c>
      <c r="J696" s="216" t="e">
        <f>(J630/J612)*AE93</f>
        <v>#DIV/0!</v>
      </c>
      <c r="K696" s="216" t="e">
        <f>(K644/K612)*AE89</f>
        <v>#DIV/0!</v>
      </c>
      <c r="L696" s="216" t="e">
        <f>(L647/L612)*AE94</f>
        <v>#DIV/0!</v>
      </c>
      <c r="M696" s="202" t="e">
        <f t="shared" si="24"/>
        <v>#DIV/0!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28601367.089999992</v>
      </c>
      <c r="D697" s="216">
        <f>(D615/D612)*AF90</f>
        <v>2439371.0485543632</v>
      </c>
      <c r="E697" s="218">
        <f>(E623/E612)*SUM(C697:D697)</f>
        <v>3874322.4683597931</v>
      </c>
      <c r="F697" s="218">
        <f>(F624/F612)*AF64</f>
        <v>2632.5255636387055</v>
      </c>
      <c r="G697" s="216" t="e">
        <f>(G625/G612)*AF91</f>
        <v>#DIV/0!</v>
      </c>
      <c r="H697" s="218" t="e">
        <f>(H628/H612)*AF60</f>
        <v>#DIV/0!</v>
      </c>
      <c r="I697" s="216" t="e">
        <f>(I629/I612)*AF92</f>
        <v>#DIV/0!</v>
      </c>
      <c r="J697" s="216" t="e">
        <f>(J630/J612)*AF93</f>
        <v>#DIV/0!</v>
      </c>
      <c r="K697" s="216" t="e">
        <f>(K644/K612)*AF89</f>
        <v>#DIV/0!</v>
      </c>
      <c r="L697" s="216" t="e">
        <f>(L647/L612)*AF94</f>
        <v>#DIV/0!</v>
      </c>
      <c r="M697" s="202" t="e">
        <f t="shared" si="24"/>
        <v>#DIV/0!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42211401.059999995</v>
      </c>
      <c r="D698" s="216">
        <f>(D615/D612)*AG90</f>
        <v>3671565.8166008834</v>
      </c>
      <c r="E698" s="218">
        <f>(E623/E612)*SUM(C698:D698)</f>
        <v>5726842.2126930095</v>
      </c>
      <c r="F698" s="218">
        <f>(F624/F612)*AG64</f>
        <v>37436.075582497222</v>
      </c>
      <c r="G698" s="216" t="e">
        <f>(G625/G612)*AG91</f>
        <v>#DIV/0!</v>
      </c>
      <c r="H698" s="218" t="e">
        <f>(H628/H612)*AG60</f>
        <v>#DIV/0!</v>
      </c>
      <c r="I698" s="216" t="e">
        <f>(I629/I612)*AG92</f>
        <v>#DIV/0!</v>
      </c>
      <c r="J698" s="216" t="e">
        <f>(J630/J612)*AG93</f>
        <v>#DIV/0!</v>
      </c>
      <c r="K698" s="216" t="e">
        <f>(K644/K612)*AG89</f>
        <v>#DIV/0!</v>
      </c>
      <c r="L698" s="216" t="e">
        <f>(L647/L612)*AG94</f>
        <v>#DIV/0!</v>
      </c>
      <c r="M698" s="202" t="e">
        <f t="shared" si="24"/>
        <v>#DIV/0!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144</v>
      </c>
      <c r="C699" s="216">
        <f>AH85</f>
        <v>11919222.340000002</v>
      </c>
      <c r="D699" s="216">
        <f>(D615/D612)*AH90</f>
        <v>4008365.5076539833</v>
      </c>
      <c r="E699" s="218">
        <f>(E623/E612)*SUM(C699:D699)</f>
        <v>1987987.8883516188</v>
      </c>
      <c r="F699" s="218">
        <f>(F624/F612)*AH64</f>
        <v>1715.9802974556992</v>
      </c>
      <c r="G699" s="216" t="e">
        <f>(G625/G612)*AH91</f>
        <v>#DIV/0!</v>
      </c>
      <c r="H699" s="218" t="e">
        <f>(H628/H612)*AH60</f>
        <v>#DIV/0!</v>
      </c>
      <c r="I699" s="216" t="e">
        <f>(I629/I612)*AH92</f>
        <v>#DIV/0!</v>
      </c>
      <c r="J699" s="216" t="e">
        <f>(J630/J612)*AH93</f>
        <v>#DIV/0!</v>
      </c>
      <c r="K699" s="216" t="e">
        <f>(K644/K612)*AH89</f>
        <v>#DIV/0!</v>
      </c>
      <c r="L699" s="216" t="e">
        <f>(L647/L612)*AH94</f>
        <v>#DIV/0!</v>
      </c>
      <c r="M699" s="202" t="e">
        <f t="shared" si="24"/>
        <v>#DIV/0!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 t="e">
        <f>(G625/G612)*AI91</f>
        <v>#DIV/0!</v>
      </c>
      <c r="H700" s="218" t="e">
        <f>(H628/H612)*AI60</f>
        <v>#DIV/0!</v>
      </c>
      <c r="I700" s="216" t="e">
        <f>(I629/I612)*AI92</f>
        <v>#DIV/0!</v>
      </c>
      <c r="J700" s="216" t="e">
        <f>(J630/J612)*AI93</f>
        <v>#DIV/0!</v>
      </c>
      <c r="K700" s="216" t="e">
        <f>(K644/K612)*AI89</f>
        <v>#DIV/0!</v>
      </c>
      <c r="L700" s="216" t="e">
        <f>(L647/L612)*AI94</f>
        <v>#DIV/0!</v>
      </c>
      <c r="M700" s="202" t="e">
        <f t="shared" si="24"/>
        <v>#DIV/0!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146</v>
      </c>
      <c r="C701" s="216">
        <f>AJ85</f>
        <v>234970226.87</v>
      </c>
      <c r="D701" s="216">
        <f>(D615/D612)*AJ90</f>
        <v>17274464.5323462</v>
      </c>
      <c r="E701" s="218">
        <f>(E623/E612)*SUM(C701:D701)</f>
        <v>31483699.616368283</v>
      </c>
      <c r="F701" s="218">
        <f>(F624/F612)*AJ64</f>
        <v>77537.658711505341</v>
      </c>
      <c r="G701" s="216" t="e">
        <f>(G625/G612)*AJ91</f>
        <v>#DIV/0!</v>
      </c>
      <c r="H701" s="218" t="e">
        <f>(H628/H612)*AJ60</f>
        <v>#DIV/0!</v>
      </c>
      <c r="I701" s="216" t="e">
        <f>(I629/I612)*AJ92</f>
        <v>#DIV/0!</v>
      </c>
      <c r="J701" s="216" t="e">
        <f>(J630/J612)*AJ93</f>
        <v>#DIV/0!</v>
      </c>
      <c r="K701" s="216" t="e">
        <f>(K644/K612)*AJ89</f>
        <v>#DIV/0!</v>
      </c>
      <c r="L701" s="216" t="e">
        <f>(L647/L612)*AJ94</f>
        <v>#DIV/0!</v>
      </c>
      <c r="M701" s="202" t="e">
        <f t="shared" si="24"/>
        <v>#DIV/0!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5038545.129999999</v>
      </c>
      <c r="D702" s="216">
        <f>(D615/D612)*AK90</f>
        <v>355975.34845840832</v>
      </c>
      <c r="E702" s="218">
        <f>(E623/E612)*SUM(C702:D702)</f>
        <v>673312.33562900696</v>
      </c>
      <c r="F702" s="218">
        <f>(F624/F612)*AK64</f>
        <v>2051.7530612321807</v>
      </c>
      <c r="G702" s="216" t="e">
        <f>(G625/G612)*AK91</f>
        <v>#DIV/0!</v>
      </c>
      <c r="H702" s="218" t="e">
        <f>(H628/H612)*AK60</f>
        <v>#DIV/0!</v>
      </c>
      <c r="I702" s="216" t="e">
        <f>(I629/I612)*AK92</f>
        <v>#DIV/0!</v>
      </c>
      <c r="J702" s="216" t="e">
        <f>(J630/J612)*AK93</f>
        <v>#DIV/0!</v>
      </c>
      <c r="K702" s="216" t="e">
        <f>(K644/K612)*AK89</f>
        <v>#DIV/0!</v>
      </c>
      <c r="L702" s="216" t="e">
        <f>(L647/L612)*AK94</f>
        <v>#DIV/0!</v>
      </c>
      <c r="M702" s="202" t="e">
        <f t="shared" si="24"/>
        <v>#DIV/0!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3913287.35</v>
      </c>
      <c r="D703" s="216">
        <f>(D615/D612)*AL90</f>
        <v>160334.26217215907</v>
      </c>
      <c r="E703" s="218">
        <f>(E623/E612)*SUM(C703:D703)</f>
        <v>508445.50375017826</v>
      </c>
      <c r="F703" s="218">
        <f>(F624/F612)*AL64</f>
        <v>772.46660306502156</v>
      </c>
      <c r="G703" s="216" t="e">
        <f>(G625/G612)*AL91</f>
        <v>#DIV/0!</v>
      </c>
      <c r="H703" s="218" t="e">
        <f>(H628/H612)*AL60</f>
        <v>#DIV/0!</v>
      </c>
      <c r="I703" s="216" t="e">
        <f>(I629/I612)*AL92</f>
        <v>#DIV/0!</v>
      </c>
      <c r="J703" s="216" t="e">
        <f>(J630/J612)*AL93</f>
        <v>#DIV/0!</v>
      </c>
      <c r="K703" s="216" t="e">
        <f>(K644/K612)*AL89</f>
        <v>#DIV/0!</v>
      </c>
      <c r="L703" s="216" t="e">
        <f>(L647/L612)*AL94</f>
        <v>#DIV/0!</v>
      </c>
      <c r="M703" s="202" t="e">
        <f t="shared" si="24"/>
        <v>#DIV/0!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5202205.5900000008</v>
      </c>
      <c r="D704" s="216">
        <f>(D615/D612)*AM90</f>
        <v>481346.69165664294</v>
      </c>
      <c r="E704" s="218">
        <f>(E623/E612)*SUM(C704:D704)</f>
        <v>709387.58629486058</v>
      </c>
      <c r="F704" s="218">
        <f>(F624/F612)*AM64</f>
        <v>260.77796558695206</v>
      </c>
      <c r="G704" s="216" t="e">
        <f>(G625/G612)*AM91</f>
        <v>#DIV/0!</v>
      </c>
      <c r="H704" s="218" t="e">
        <f>(H628/H612)*AM60</f>
        <v>#DIV/0!</v>
      </c>
      <c r="I704" s="216" t="e">
        <f>(I629/I612)*AM92</f>
        <v>#DIV/0!</v>
      </c>
      <c r="J704" s="216" t="e">
        <f>(J630/J612)*AM93</f>
        <v>#DIV/0!</v>
      </c>
      <c r="K704" s="216" t="e">
        <f>(K644/K612)*AM89</f>
        <v>#DIV/0!</v>
      </c>
      <c r="L704" s="216" t="e">
        <f>(L647/L612)*AM94</f>
        <v>#DIV/0!</v>
      </c>
      <c r="M704" s="202" t="e">
        <f t="shared" si="24"/>
        <v>#DIV/0!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 t="e">
        <f>(G625/G612)*AN91</f>
        <v>#DIV/0!</v>
      </c>
      <c r="H705" s="218" t="e">
        <f>(H628/H612)*AN60</f>
        <v>#DIV/0!</v>
      </c>
      <c r="I705" s="216" t="e">
        <f>(I629/I612)*AN92</f>
        <v>#DIV/0!</v>
      </c>
      <c r="J705" s="216" t="e">
        <f>(J630/J612)*AN93</f>
        <v>#DIV/0!</v>
      </c>
      <c r="K705" s="216" t="e">
        <f>(K644/K612)*AN89</f>
        <v>#DIV/0!</v>
      </c>
      <c r="L705" s="216" t="e">
        <f>(L647/L612)*AN94</f>
        <v>#DIV/0!</v>
      </c>
      <c r="M705" s="202" t="e">
        <f t="shared" si="24"/>
        <v>#DIV/0!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 t="e">
        <f>(G625/G612)*AO91</f>
        <v>#DIV/0!</v>
      </c>
      <c r="H706" s="218" t="e">
        <f>(H628/H612)*AO60</f>
        <v>#DIV/0!</v>
      </c>
      <c r="I706" s="216" t="e">
        <f>(I629/I612)*AO92</f>
        <v>#DIV/0!</v>
      </c>
      <c r="J706" s="216" t="e">
        <f>(J630/J612)*AO93</f>
        <v>#DIV/0!</v>
      </c>
      <c r="K706" s="216" t="e">
        <f>(K644/K612)*AO89</f>
        <v>#DIV/0!</v>
      </c>
      <c r="L706" s="216" t="e">
        <f>(L647/L612)*AO94</f>
        <v>#DIV/0!</v>
      </c>
      <c r="M706" s="202" t="e">
        <f t="shared" si="24"/>
        <v>#DIV/0!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 t="e">
        <f>(G625/G612)*AP91</f>
        <v>#DIV/0!</v>
      </c>
      <c r="H707" s="218" t="e">
        <f>(H628/H612)*AP60</f>
        <v>#DIV/0!</v>
      </c>
      <c r="I707" s="216" t="e">
        <f>(I629/I612)*AP92</f>
        <v>#DIV/0!</v>
      </c>
      <c r="J707" s="216" t="e">
        <f>(J630/J612)*AP93</f>
        <v>#DIV/0!</v>
      </c>
      <c r="K707" s="216" t="e">
        <f>(K644/K612)*AP89</f>
        <v>#DIV/0!</v>
      </c>
      <c r="L707" s="216" t="e">
        <f>(L647/L612)*AP94</f>
        <v>#DIV/0!</v>
      </c>
      <c r="M707" s="202" t="e">
        <f t="shared" si="24"/>
        <v>#DIV/0!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249.2</v>
      </c>
      <c r="D708" s="216">
        <f>(D615/D612)*AQ90</f>
        <v>0</v>
      </c>
      <c r="E708" s="218">
        <f>(E623/E612)*SUM(C708:D708)</f>
        <v>31.10367913307055</v>
      </c>
      <c r="F708" s="218">
        <f>(F624/F612)*AQ64</f>
        <v>0</v>
      </c>
      <c r="G708" s="216" t="e">
        <f>(G625/G612)*AQ91</f>
        <v>#DIV/0!</v>
      </c>
      <c r="H708" s="218" t="e">
        <f>(H628/H612)*AQ60</f>
        <v>#DIV/0!</v>
      </c>
      <c r="I708" s="216" t="e">
        <f>(I629/I612)*AQ92</f>
        <v>#DIV/0!</v>
      </c>
      <c r="J708" s="216" t="e">
        <f>(J630/J612)*AQ93</f>
        <v>#DIV/0!</v>
      </c>
      <c r="K708" s="216" t="e">
        <f>(K644/K612)*AQ89</f>
        <v>#DIV/0!</v>
      </c>
      <c r="L708" s="216" t="e">
        <f>(L647/L612)*AQ94</f>
        <v>#DIV/0!</v>
      </c>
      <c r="M708" s="202" t="e">
        <f t="shared" si="24"/>
        <v>#DIV/0!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22834047.5</v>
      </c>
      <c r="D709" s="216">
        <f>(D615/D612)*AR90</f>
        <v>2108.8301204811492</v>
      </c>
      <c r="E709" s="218">
        <f>(E623/E612)*SUM(C709:D709)</f>
        <v>2850274.7958455277</v>
      </c>
      <c r="F709" s="218">
        <f>(F624/F612)*AR64</f>
        <v>186110.86181623573</v>
      </c>
      <c r="G709" s="216" t="e">
        <f>(G625/G612)*AR91</f>
        <v>#DIV/0!</v>
      </c>
      <c r="H709" s="218" t="e">
        <f>(H628/H612)*AR60</f>
        <v>#DIV/0!</v>
      </c>
      <c r="I709" s="216" t="e">
        <f>(I629/I612)*AR92</f>
        <v>#DIV/0!</v>
      </c>
      <c r="J709" s="216" t="e">
        <f>(J630/J612)*AR93</f>
        <v>#DIV/0!</v>
      </c>
      <c r="K709" s="216" t="e">
        <f>(K644/K612)*AR89</f>
        <v>#DIV/0!</v>
      </c>
      <c r="L709" s="216" t="e">
        <f>(L647/L612)*AR94</f>
        <v>#DIV/0!</v>
      </c>
      <c r="M709" s="202" t="e">
        <f t="shared" si="24"/>
        <v>#DIV/0!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154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 t="e">
        <f>(G625/G612)*AS91</f>
        <v>#DIV/0!</v>
      </c>
      <c r="H710" s="218" t="e">
        <f>(H628/H612)*AS60</f>
        <v>#DIV/0!</v>
      </c>
      <c r="I710" s="216" t="e">
        <f>(I629/I612)*AS92</f>
        <v>#DIV/0!</v>
      </c>
      <c r="J710" s="216" t="e">
        <f>(J630/J612)*AS93</f>
        <v>#DIV/0!</v>
      </c>
      <c r="K710" s="216" t="e">
        <f>(K644/K612)*AS89</f>
        <v>#DIV/0!</v>
      </c>
      <c r="L710" s="216" t="e">
        <f>(L647/L612)*AS94</f>
        <v>#DIV/0!</v>
      </c>
      <c r="M710" s="202" t="e">
        <f t="shared" si="24"/>
        <v>#DIV/0!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5380385.2599999998</v>
      </c>
      <c r="D711" s="216">
        <f>(D615/D612)*AT90</f>
        <v>79475.09941527895</v>
      </c>
      <c r="E711" s="218">
        <f>(E623/E612)*SUM(C711:D711)</f>
        <v>681467.67548404529</v>
      </c>
      <c r="F711" s="218">
        <f>(F624/F612)*AT64</f>
        <v>1867.6654556007222</v>
      </c>
      <c r="G711" s="216" t="e">
        <f>(G625/G612)*AT91</f>
        <v>#DIV/0!</v>
      </c>
      <c r="H711" s="218" t="e">
        <f>(H628/H612)*AT60</f>
        <v>#DIV/0!</v>
      </c>
      <c r="I711" s="216" t="e">
        <f>(I629/I612)*AT92</f>
        <v>#DIV/0!</v>
      </c>
      <c r="J711" s="216" t="e">
        <f>(J630/J612)*AT93</f>
        <v>#DIV/0!</v>
      </c>
      <c r="K711" s="216" t="e">
        <f>(K644/K612)*AT89</f>
        <v>#DIV/0!</v>
      </c>
      <c r="L711" s="216" t="e">
        <f>(L647/L612)*AT94</f>
        <v>#DIV/0!</v>
      </c>
      <c r="M711" s="202" t="e">
        <f t="shared" si="24"/>
        <v>#DIV/0!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 t="e">
        <f>(G625/G612)*AU91</f>
        <v>#DIV/0!</v>
      </c>
      <c r="H712" s="218" t="e">
        <f>(H628/H612)*AU60</f>
        <v>#DIV/0!</v>
      </c>
      <c r="I712" s="216" t="e">
        <f>(I629/I612)*AU92</f>
        <v>#DIV/0!</v>
      </c>
      <c r="J712" s="216" t="e">
        <f>(J630/J612)*AU93</f>
        <v>#DIV/0!</v>
      </c>
      <c r="K712" s="216" t="e">
        <f>(K644/K612)*AU89</f>
        <v>#DIV/0!</v>
      </c>
      <c r="L712" s="216" t="e">
        <f>(L647/L612)*AU94</f>
        <v>#DIV/0!</v>
      </c>
      <c r="M712" s="202" t="e">
        <f t="shared" si="24"/>
        <v>#DIV/0!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8914223.5600000024</v>
      </c>
      <c r="D713" s="216">
        <f>(D615/D612)*AV90</f>
        <v>39921.932745622515</v>
      </c>
      <c r="E713" s="218">
        <f>(E623/E612)*SUM(C713:D713)</f>
        <v>1117603.805446187</v>
      </c>
      <c r="F713" s="218">
        <f>(F624/F612)*AV64</f>
        <v>16122.472465468814</v>
      </c>
      <c r="G713" s="216" t="e">
        <f>(G625/G612)*AV91</f>
        <v>#DIV/0!</v>
      </c>
      <c r="H713" s="218" t="e">
        <f>(H628/H612)*AV60</f>
        <v>#DIV/0!</v>
      </c>
      <c r="I713" s="216" t="e">
        <f>(I629/I612)*AV92</f>
        <v>#DIV/0!</v>
      </c>
      <c r="J713" s="216" t="e">
        <f>(J630/J612)*AV93</f>
        <v>#DIV/0!</v>
      </c>
      <c r="K713" s="216" t="e">
        <f>(K644/K612)*AV89</f>
        <v>#DIV/0!</v>
      </c>
      <c r="L713" s="216" t="e">
        <f>(L647/L612)*AV94</f>
        <v>#DIV/0!</v>
      </c>
      <c r="M713" s="202" t="e">
        <f t="shared" si="24"/>
        <v>#DIV/0!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2034931626.0999999</v>
      </c>
      <c r="D715" s="202">
        <f>SUM(D616:D647)+SUM(D668:D713)</f>
        <v>111065610.32000002</v>
      </c>
      <c r="E715" s="202">
        <f>SUM(E624:E647)+SUM(E668:E713)</f>
        <v>225804600.75197214</v>
      </c>
      <c r="F715" s="202">
        <f>SUM(F625:F648)+SUM(F668:F713)</f>
        <v>3631111.9561391827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0" t="s">
        <v>697</v>
      </c>
    </row>
    <row r="716" spans="1:14" s="202" customFormat="1" ht="12.6" customHeight="1" x14ac:dyDescent="0.2">
      <c r="C716" s="213">
        <f>CE85</f>
        <v>2034931626.0999997</v>
      </c>
      <c r="D716" s="202">
        <f>D615</f>
        <v>111065610.32000002</v>
      </c>
      <c r="E716" s="202">
        <f>E623</f>
        <v>225804600.75197211</v>
      </c>
      <c r="F716" s="202">
        <f>F624</f>
        <v>3631111.9561391827</v>
      </c>
      <c r="G716" s="202">
        <f>G625</f>
        <v>28026360.587453198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880667797.41000021</v>
      </c>
      <c r="N716" s="210" t="s">
        <v>698</v>
      </c>
    </row>
  </sheetData>
  <sheetProtection algorithmName="SHA-512" hashValue="8z/DdK2xoNlumJIqtfQOIk24fMHIEmoJpPNdRQNuRXNU34XHXazej8bkz2VN5oWXCmTtPExhPk5lV3buUsq0aw==" saltValue="naaZej4x88/9PKjyw0PSBA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7097-3C0F-4C3D-A13E-CB62FEE3B79C}">
  <sheetPr codeName="Sheet8">
    <pageSetUpPr fitToPage="1"/>
  </sheetPr>
  <dimension ref="A1:C179"/>
  <sheetViews>
    <sheetView topLeftCell="A30" workbookViewId="0">
      <selection activeCell="F23" sqref="F23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Seattle Children's Hospital</v>
      </c>
      <c r="B3" s="170"/>
      <c r="C3" s="142" t="str">
        <f>"FYE: "&amp;data!C96</f>
        <v>FYE: 09/30/2024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422</v>
      </c>
      <c r="C5" s="175"/>
    </row>
    <row r="6" spans="1:3" ht="20.100000000000001" customHeight="1" x14ac:dyDescent="0.25">
      <c r="A6" s="174">
        <v>2</v>
      </c>
      <c r="B6" s="176" t="s">
        <v>424</v>
      </c>
      <c r="C6" s="176">
        <f>data!C266</f>
        <v>84771477.189999998</v>
      </c>
    </row>
    <row r="7" spans="1:3" ht="20.100000000000001" customHeight="1" x14ac:dyDescent="0.25">
      <c r="A7" s="174">
        <v>3</v>
      </c>
      <c r="B7" s="176" t="s">
        <v>425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426</v>
      </c>
      <c r="C8" s="176">
        <f>data!C268</f>
        <v>1027023432.5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544843600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337494842.45999998</v>
      </c>
    </row>
    <row r="12" spans="1:3" ht="20.100000000000001" customHeight="1" x14ac:dyDescent="0.25">
      <c r="A12" s="174">
        <v>8</v>
      </c>
      <c r="B12" s="176" t="s">
        <v>430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431</v>
      </c>
      <c r="C13" s="176">
        <f>data!C273</f>
        <v>26232094.899999999</v>
      </c>
    </row>
    <row r="14" spans="1:3" ht="20.100000000000001" customHeight="1" x14ac:dyDescent="0.25">
      <c r="A14" s="174">
        <v>10</v>
      </c>
      <c r="B14" s="176" t="s">
        <v>432</v>
      </c>
      <c r="C14" s="176">
        <f>data!C274</f>
        <v>45558937.590000004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26720367.050000001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1002957551.6900001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424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425</v>
      </c>
      <c r="C20" s="176">
        <f>data!C279</f>
        <v>1791577735.1500001</v>
      </c>
    </row>
    <row r="21" spans="1:3" ht="20.100000000000001" customHeight="1" x14ac:dyDescent="0.25">
      <c r="A21" s="174">
        <v>17</v>
      </c>
      <c r="B21" s="176" t="s">
        <v>436</v>
      </c>
      <c r="C21" s="176">
        <f>data!C280</f>
        <v>2735110.74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1794312845.8900001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392</v>
      </c>
      <c r="C25" s="176">
        <f>data!C283</f>
        <v>266988313.39999998</v>
      </c>
    </row>
    <row r="26" spans="1:3" ht="20.100000000000001" customHeight="1" x14ac:dyDescent="0.25">
      <c r="A26" s="174">
        <v>22</v>
      </c>
      <c r="B26" s="176" t="s">
        <v>393</v>
      </c>
      <c r="C26" s="176">
        <f>data!C284</f>
        <v>14662543.99</v>
      </c>
    </row>
    <row r="27" spans="1:3" ht="20.100000000000001" customHeight="1" x14ac:dyDescent="0.25">
      <c r="A27" s="174">
        <v>23</v>
      </c>
      <c r="B27" s="176" t="s">
        <v>394</v>
      </c>
      <c r="C27" s="176">
        <f>data!C285</f>
        <v>2113551565.1500001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396</v>
      </c>
      <c r="C29" s="176">
        <f>data!C287</f>
        <v>71924681.090000004</v>
      </c>
    </row>
    <row r="30" spans="1:3" ht="20.100000000000001" customHeight="1" x14ac:dyDescent="0.25">
      <c r="A30" s="174">
        <v>26</v>
      </c>
      <c r="B30" s="176" t="s">
        <v>441</v>
      </c>
      <c r="C30" s="176">
        <f>data!C288</f>
        <v>745757835.81000006</v>
      </c>
    </row>
    <row r="31" spans="1:3" ht="20.100000000000001" customHeight="1" x14ac:dyDescent="0.25">
      <c r="A31" s="174">
        <v>27</v>
      </c>
      <c r="B31" s="176" t="s">
        <v>399</v>
      </c>
      <c r="C31" s="176">
        <f>data!C289</f>
        <v>102954838.23</v>
      </c>
    </row>
    <row r="32" spans="1:3" ht="20.100000000000001" customHeight="1" x14ac:dyDescent="0.25">
      <c r="A32" s="174">
        <v>28</v>
      </c>
      <c r="B32" s="176" t="s">
        <v>400</v>
      </c>
      <c r="C32" s="176">
        <f>data!C290</f>
        <v>145889649.67999858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1214037591.1000001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2247691836.2499981</v>
      </c>
    </row>
    <row r="36" spans="1:3" ht="20.100000000000001" customHeight="1" x14ac:dyDescent="0.25">
      <c r="A36" s="174">
        <v>32</v>
      </c>
      <c r="B36" s="178" t="s">
        <v>1387</v>
      </c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448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436</v>
      </c>
      <c r="C41" s="176">
        <f>data!C298</f>
        <v>532573713.47000003</v>
      </c>
    </row>
    <row r="42" spans="1:3" ht="20.100000000000001" customHeight="1" x14ac:dyDescent="0.25">
      <c r="A42" s="174">
        <v>38</v>
      </c>
      <c r="B42" s="176" t="s">
        <v>1388</v>
      </c>
      <c r="C42" s="176">
        <f>data!D299</f>
        <v>532573713.47000003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451</v>
      </c>
      <c r="C45" s="176">
        <f>data!C302</f>
        <v>5670000</v>
      </c>
    </row>
    <row r="46" spans="1:3" ht="20.100000000000001" customHeight="1" x14ac:dyDescent="0.25">
      <c r="A46" s="174">
        <v>42</v>
      </c>
      <c r="B46" s="176" t="s">
        <v>452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454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5670000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5583205947.2999983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Seattle Children's Hospital</v>
      </c>
      <c r="B55" s="170"/>
      <c r="C55" s="142" t="str">
        <f>"FYE: "&amp;data!C96</f>
        <v>FYE: 09/30/2024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458</v>
      </c>
      <c r="C57" s="184"/>
    </row>
    <row r="58" spans="1:3" ht="20.100000000000001" customHeight="1" x14ac:dyDescent="0.25">
      <c r="A58" s="174">
        <v>2</v>
      </c>
      <c r="B58" s="176" t="s">
        <v>459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141996157.25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181422669.72</v>
      </c>
    </row>
    <row r="61" spans="1:3" ht="20.100000000000001" customHeight="1" x14ac:dyDescent="0.25">
      <c r="A61" s="174">
        <v>5</v>
      </c>
      <c r="B61" s="176" t="s">
        <v>462</v>
      </c>
      <c r="C61" s="176">
        <f>data!C317</f>
        <v>13932275.92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 t="str">
        <f>data!C319</f>
        <v xml:space="preserve"> 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data!C322</f>
        <v>515907124.73000002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21324344.579999998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874582572.20000017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206723107.84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data!C335</f>
        <v>886093638.59000003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data!C338</f>
        <v>61415285.32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1154232031.75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21324344.579999998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1132907687.1700001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3575715687.9299998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3575715687.9299998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5583205947.2999983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Seattle Children's Hospital</v>
      </c>
      <c r="B108" s="170"/>
      <c r="C108" s="142" t="str">
        <f>"FYE: "&amp;data!C96</f>
        <v>FYE: 09/30/2024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2484792685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1400469559.7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3885262244.6999998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3373892.5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2125931996.5599999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31496001.700000003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18303058.300000001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2179104949.0599999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1706157295.6399999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957</v>
      </c>
      <c r="B125" s="192" t="s">
        <v>507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508</v>
      </c>
      <c r="C126" s="191">
        <f>data!C371</f>
        <v>0</v>
      </c>
    </row>
    <row r="127" spans="1:3" ht="20.100000000000001" customHeight="1" x14ac:dyDescent="0.25">
      <c r="A127" s="195" t="s">
        <v>959</v>
      </c>
      <c r="B127" s="192" t="s">
        <v>509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511</v>
      </c>
      <c r="C129" s="191">
        <f>data!C374</f>
        <v>300152655.30000001</v>
      </c>
    </row>
    <row r="130" spans="1:3" ht="20.100000000000001" customHeight="1" x14ac:dyDescent="0.25">
      <c r="A130" s="195" t="s">
        <v>962</v>
      </c>
      <c r="B130" s="192" t="s">
        <v>512</v>
      </c>
      <c r="C130" s="191">
        <f>data!C375</f>
        <v>2056946.3800000001</v>
      </c>
    </row>
    <row r="131" spans="1:3" ht="20.100000000000001" customHeight="1" x14ac:dyDescent="0.25">
      <c r="A131" s="195" t="s">
        <v>963</v>
      </c>
      <c r="B131" s="192" t="s">
        <v>513</v>
      </c>
      <c r="C131" s="191">
        <f>data!C376</f>
        <v>102002543.46000001</v>
      </c>
    </row>
    <row r="132" spans="1:3" ht="20.100000000000001" customHeight="1" x14ac:dyDescent="0.25">
      <c r="A132" s="195" t="s">
        <v>964</v>
      </c>
      <c r="B132" s="192" t="s">
        <v>514</v>
      </c>
      <c r="C132" s="191">
        <f>data!C377</f>
        <v>2944023.9</v>
      </c>
    </row>
    <row r="133" spans="1:3" ht="20.100000000000001" customHeight="1" x14ac:dyDescent="0.25">
      <c r="A133" s="195" t="s">
        <v>965</v>
      </c>
      <c r="B133" s="192" t="s">
        <v>515</v>
      </c>
      <c r="C133" s="191">
        <f>data!C378</f>
        <v>19836692.16</v>
      </c>
    </row>
    <row r="134" spans="1:3" ht="20.100000000000001" customHeight="1" x14ac:dyDescent="0.25">
      <c r="A134" s="195" t="s">
        <v>966</v>
      </c>
      <c r="B134" s="192" t="s">
        <v>516</v>
      </c>
      <c r="C134" s="191">
        <f>data!C379</f>
        <v>4523842.5000000009</v>
      </c>
    </row>
    <row r="135" spans="1:3" ht="20.100000000000001" customHeight="1" x14ac:dyDescent="0.25">
      <c r="A135" s="195" t="s">
        <v>967</v>
      </c>
      <c r="B135" s="192" t="s">
        <v>517</v>
      </c>
      <c r="C135" s="191">
        <f>data!C380</f>
        <v>383917649.10000002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815434352.79999995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2521591648.4399996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994527196.99000001</v>
      </c>
    </row>
    <row r="142" spans="1:3" ht="20.100000000000001" customHeight="1" x14ac:dyDescent="0.25">
      <c r="A142" s="174">
        <v>22</v>
      </c>
      <c r="B142" s="176" t="s">
        <v>9</v>
      </c>
      <c r="C142" s="189">
        <f>data!C390</f>
        <v>273407448.66000003</v>
      </c>
    </row>
    <row r="143" spans="1:3" ht="20.100000000000001" customHeight="1" x14ac:dyDescent="0.25">
      <c r="A143" s="174">
        <v>23</v>
      </c>
      <c r="B143" s="176" t="s">
        <v>262</v>
      </c>
      <c r="C143" s="189">
        <f>data!C391</f>
        <v>227921548.50999999</v>
      </c>
    </row>
    <row r="144" spans="1:3" ht="20.100000000000001" customHeight="1" x14ac:dyDescent="0.25">
      <c r="A144" s="174">
        <v>24</v>
      </c>
      <c r="B144" s="176" t="s">
        <v>263</v>
      </c>
      <c r="C144" s="189">
        <f>data!C392</f>
        <v>242899662.21000001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176791545.80999997</v>
      </c>
    </row>
    <row r="147" spans="1:3" ht="20.100000000000001" customHeight="1" x14ac:dyDescent="0.25">
      <c r="A147" s="174">
        <v>27</v>
      </c>
      <c r="B147" s="176" t="s">
        <v>14</v>
      </c>
      <c r="C147" s="189">
        <f>data!C395</f>
        <v>141473101.49000001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31628237.879999999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6863615.2800000003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44420445.280000001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26218945.629999999</v>
      </c>
    </row>
    <row r="152" spans="1:3" ht="20.100000000000001" customHeight="1" x14ac:dyDescent="0.25">
      <c r="A152" s="174">
        <v>32</v>
      </c>
      <c r="B152" s="176" t="s">
        <v>267</v>
      </c>
      <c r="C152" s="189"/>
    </row>
    <row r="153" spans="1:3" ht="20.100000000000001" customHeight="1" x14ac:dyDescent="0.25">
      <c r="A153" s="195" t="s">
        <v>975</v>
      </c>
      <c r="B153" s="193" t="s">
        <v>268</v>
      </c>
      <c r="C153" s="189">
        <f>data!C401</f>
        <v>3980322.47</v>
      </c>
    </row>
    <row r="154" spans="1:3" ht="20.100000000000001" customHeight="1" x14ac:dyDescent="0.25">
      <c r="A154" s="195" t="s">
        <v>976</v>
      </c>
      <c r="B154" s="193" t="s">
        <v>269</v>
      </c>
      <c r="C154" s="189">
        <f>data!C402</f>
        <v>33625241.979999997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39767044.239999995</v>
      </c>
    </row>
    <row r="156" spans="1:3" ht="20.100000000000001" customHeight="1" x14ac:dyDescent="0.25">
      <c r="A156" s="195" t="s">
        <v>979</v>
      </c>
      <c r="B156" s="193" t="s">
        <v>271</v>
      </c>
      <c r="C156" s="189">
        <f>data!C404</f>
        <v>1771250.97</v>
      </c>
    </row>
    <row r="157" spans="1:3" ht="20.100000000000001" customHeight="1" x14ac:dyDescent="0.25">
      <c r="A157" s="195" t="s">
        <v>980</v>
      </c>
      <c r="B157" s="193" t="s">
        <v>272</v>
      </c>
      <c r="C157" s="189">
        <f>data!C405</f>
        <v>3879152.47</v>
      </c>
    </row>
    <row r="158" spans="1:3" ht="20.100000000000001" customHeight="1" x14ac:dyDescent="0.25">
      <c r="A158" s="195" t="s">
        <v>981</v>
      </c>
      <c r="B158" s="193" t="s">
        <v>273</v>
      </c>
      <c r="C158" s="189">
        <f>data!C406</f>
        <v>8772067.9000000004</v>
      </c>
    </row>
    <row r="159" spans="1:3" ht="20.100000000000001" customHeight="1" x14ac:dyDescent="0.25">
      <c r="A159" s="195" t="s">
        <v>982</v>
      </c>
      <c r="B159" s="193" t="s">
        <v>274</v>
      </c>
      <c r="C159" s="189">
        <f>data!C407</f>
        <v>14926252.029999999</v>
      </c>
    </row>
    <row r="160" spans="1:3" ht="20.100000000000001" customHeight="1" x14ac:dyDescent="0.25">
      <c r="A160" s="195" t="s">
        <v>983</v>
      </c>
      <c r="B160" s="193" t="s">
        <v>275</v>
      </c>
      <c r="C160" s="189">
        <f>data!C408</f>
        <v>29472666.289999999</v>
      </c>
    </row>
    <row r="161" spans="1:3" ht="20.100000000000001" customHeight="1" x14ac:dyDescent="0.25">
      <c r="A161" s="195" t="s">
        <v>984</v>
      </c>
      <c r="B161" s="193" t="s">
        <v>276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277</v>
      </c>
      <c r="C162" s="189">
        <f>data!C410</f>
        <v>2566515.1799999997</v>
      </c>
    </row>
    <row r="163" spans="1:3" ht="20.100000000000001" customHeight="1" x14ac:dyDescent="0.25">
      <c r="A163" s="195" t="s">
        <v>986</v>
      </c>
      <c r="B163" s="193" t="s">
        <v>278</v>
      </c>
      <c r="C163" s="189">
        <f>data!C411</f>
        <v>1767223.3</v>
      </c>
    </row>
    <row r="164" spans="1:3" ht="20.100000000000001" customHeight="1" x14ac:dyDescent="0.25">
      <c r="A164" s="195" t="s">
        <v>987</v>
      </c>
      <c r="B164" s="193" t="s">
        <v>279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280</v>
      </c>
      <c r="C165" s="189">
        <f>data!C413</f>
        <v>19221629.710000001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52734377.189999998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2378635491.4700003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142956156.96999931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142956156.96999931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142956156.96999931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6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" zoomScale="65" workbookViewId="0">
      <selection activeCell="F23" sqref="F23"/>
    </sheetView>
  </sheetViews>
  <sheetFormatPr defaultColWidth="8.88671875" defaultRowHeight="20.100000000000001" customHeight="1" x14ac:dyDescent="0.2"/>
  <cols>
    <col min="1" max="1" width="5.77734375" style="267" customWidth="1"/>
    <col min="2" max="2" width="22.44140625" style="267" customWidth="1"/>
    <col min="3" max="8" width="13.77734375" style="267" customWidth="1"/>
    <col min="9" max="9" width="15.77734375" style="267" customWidth="1"/>
    <col min="10" max="13" width="8.88671875" style="267" customWidth="1"/>
    <col min="14" max="16384" width="8.88671875" style="267"/>
  </cols>
  <sheetData>
    <row r="1" spans="1:9" customFormat="1" ht="20.100000000000001" customHeight="1" x14ac:dyDescent="0.2">
      <c r="A1" s="268" t="s">
        <v>999</v>
      </c>
      <c r="B1" s="269"/>
      <c r="C1" s="269"/>
      <c r="D1" s="269"/>
      <c r="E1" s="269"/>
      <c r="F1" s="269"/>
      <c r="G1" s="269"/>
      <c r="H1" s="269"/>
    </row>
    <row r="2" spans="1:9" customFormat="1" ht="20.100000000000001" customHeight="1" x14ac:dyDescent="0.2">
      <c r="A2" s="270"/>
      <c r="I2" s="271" t="s">
        <v>1000</v>
      </c>
    </row>
    <row r="3" spans="1:9" customFormat="1" ht="20.100000000000001" customHeight="1" x14ac:dyDescent="0.2">
      <c r="A3" s="270"/>
      <c r="I3" s="270"/>
    </row>
    <row r="4" spans="1:9" customFormat="1" ht="20.100000000000001" customHeight="1" x14ac:dyDescent="0.2">
      <c r="A4" s="272" t="str">
        <f>"Hospital: "&amp;data!C98</f>
        <v>Hospital: Seattle Children's Hospital</v>
      </c>
      <c r="G4" s="273"/>
      <c r="H4" s="272" t="str">
        <f>"FYE: "&amp;data!C96</f>
        <v>FYE: 09/30/2024</v>
      </c>
    </row>
    <row r="5" spans="1:9" customFormat="1" ht="20.100000000000001" customHeight="1" x14ac:dyDescent="0.2">
      <c r="A5" s="274">
        <v>1</v>
      </c>
      <c r="B5" s="275" t="s">
        <v>234</v>
      </c>
      <c r="C5" s="276" t="s">
        <v>34</v>
      </c>
      <c r="D5" s="277" t="s">
        <v>35</v>
      </c>
      <c r="E5" s="277" t="s">
        <v>36</v>
      </c>
      <c r="F5" s="277" t="s">
        <v>37</v>
      </c>
      <c r="G5" s="277" t="s">
        <v>38</v>
      </c>
      <c r="H5" s="277" t="s">
        <v>39</v>
      </c>
      <c r="I5" s="277" t="s">
        <v>40</v>
      </c>
    </row>
    <row r="6" spans="1:9" customFormat="1" ht="20.100000000000001" customHeight="1" x14ac:dyDescent="0.2">
      <c r="A6" s="278">
        <v>2</v>
      </c>
      <c r="B6" s="279" t="s">
        <v>1001</v>
      </c>
      <c r="C6" s="280" t="s">
        <v>116</v>
      </c>
      <c r="D6" s="281" t="s">
        <v>1002</v>
      </c>
      <c r="E6" s="281" t="s">
        <v>118</v>
      </c>
      <c r="F6" s="281" t="s">
        <v>119</v>
      </c>
      <c r="G6" s="281" t="s">
        <v>120</v>
      </c>
      <c r="H6" s="281" t="s">
        <v>121</v>
      </c>
      <c r="I6" s="281" t="s">
        <v>122</v>
      </c>
    </row>
    <row r="7" spans="1:9" customFormat="1" ht="20.100000000000001" customHeight="1" x14ac:dyDescent="0.2">
      <c r="A7" s="278"/>
      <c r="B7" s="279"/>
      <c r="C7" s="281" t="s">
        <v>188</v>
      </c>
      <c r="D7" s="281" t="s">
        <v>1003</v>
      </c>
      <c r="E7" s="281" t="s">
        <v>188</v>
      </c>
      <c r="F7" s="281" t="s">
        <v>1004</v>
      </c>
      <c r="G7" s="281" t="s">
        <v>190</v>
      </c>
      <c r="H7" s="281" t="s">
        <v>188</v>
      </c>
      <c r="I7" s="281" t="s">
        <v>191</v>
      </c>
    </row>
    <row r="8" spans="1:9" customFormat="1" ht="20.100000000000001" customHeight="1" x14ac:dyDescent="0.2">
      <c r="A8" s="274">
        <v>3</v>
      </c>
      <c r="B8" s="275" t="s">
        <v>1005</v>
      </c>
      <c r="C8" s="277" t="s">
        <v>240</v>
      </c>
      <c r="D8" s="277" t="s">
        <v>240</v>
      </c>
      <c r="E8" s="277" t="s">
        <v>240</v>
      </c>
      <c r="F8" s="277" t="s">
        <v>240</v>
      </c>
      <c r="G8" s="277" t="s">
        <v>240</v>
      </c>
      <c r="H8" s="277" t="s">
        <v>240</v>
      </c>
      <c r="I8" s="277" t="s">
        <v>240</v>
      </c>
    </row>
    <row r="9" spans="1:9" customFormat="1" ht="20.100000000000001" customHeight="1" x14ac:dyDescent="0.2">
      <c r="A9" s="274">
        <v>4</v>
      </c>
      <c r="B9" s="275" t="s">
        <v>259</v>
      </c>
      <c r="C9" s="275">
        <f>data!C59</f>
        <v>28117.856849999996</v>
      </c>
      <c r="D9" s="275">
        <f>data!D59</f>
        <v>0</v>
      </c>
      <c r="E9" s="275">
        <f>data!E59</f>
        <v>70194.360050000018</v>
      </c>
      <c r="F9" s="275">
        <f>data!F59</f>
        <v>0</v>
      </c>
      <c r="G9" s="275">
        <f>data!G59</f>
        <v>3742.0019000000002</v>
      </c>
      <c r="H9" s="275">
        <f>data!H59</f>
        <v>10122.432249999998</v>
      </c>
      <c r="I9" s="275">
        <f>data!I59</f>
        <v>0</v>
      </c>
    </row>
    <row r="10" spans="1:9" customFormat="1" ht="20.100000000000001" customHeight="1" x14ac:dyDescent="0.2">
      <c r="A10" s="274">
        <v>5</v>
      </c>
      <c r="B10" s="275" t="s">
        <v>260</v>
      </c>
      <c r="C10" s="282">
        <f>data!C60</f>
        <v>471.41990345415525</v>
      </c>
      <c r="D10" s="282">
        <f>data!D60</f>
        <v>0</v>
      </c>
      <c r="E10" s="282">
        <f>data!E60</f>
        <v>669.62389597913455</v>
      </c>
      <c r="F10" s="282">
        <f>data!F60</f>
        <v>0</v>
      </c>
      <c r="G10" s="282">
        <f>data!G60</f>
        <v>38.57390440662774</v>
      </c>
      <c r="H10" s="282">
        <f>data!H60</f>
        <v>162.69303450859891</v>
      </c>
      <c r="I10" s="282">
        <f>data!I60</f>
        <v>0</v>
      </c>
    </row>
    <row r="11" spans="1:9" customFormat="1" ht="20.100000000000001" customHeight="1" x14ac:dyDescent="0.2">
      <c r="A11" s="274">
        <v>6</v>
      </c>
      <c r="B11" s="275" t="s">
        <v>261</v>
      </c>
      <c r="C11" s="275">
        <f>data!C61</f>
        <v>56621358.060000002</v>
      </c>
      <c r="D11" s="275">
        <f>data!D61</f>
        <v>0</v>
      </c>
      <c r="E11" s="275">
        <f>data!E61</f>
        <v>73868289.729999989</v>
      </c>
      <c r="F11" s="275">
        <f>data!F61</f>
        <v>0</v>
      </c>
      <c r="G11" s="275">
        <f>data!G61</f>
        <v>4352887.3100000005</v>
      </c>
      <c r="H11" s="275">
        <f>data!H61</f>
        <v>14314159.960000001</v>
      </c>
      <c r="I11" s="275">
        <f>data!I61</f>
        <v>0</v>
      </c>
    </row>
    <row r="12" spans="1:9" customFormat="1" ht="20.100000000000001" customHeight="1" x14ac:dyDescent="0.2">
      <c r="A12" s="274">
        <v>7</v>
      </c>
      <c r="B12" s="275" t="s">
        <v>9</v>
      </c>
      <c r="C12" s="275">
        <f>data!C62</f>
        <v>15565890</v>
      </c>
      <c r="D12" s="275">
        <f>data!D62</f>
        <v>0</v>
      </c>
      <c r="E12" s="275">
        <f>data!E62</f>
        <v>20307278</v>
      </c>
      <c r="F12" s="275">
        <f>data!F62</f>
        <v>0</v>
      </c>
      <c r="G12" s="275">
        <f>data!G62</f>
        <v>1196661</v>
      </c>
      <c r="H12" s="275">
        <f>data!H62</f>
        <v>3935134</v>
      </c>
      <c r="I12" s="275">
        <f>data!I62</f>
        <v>0</v>
      </c>
    </row>
    <row r="13" spans="1:9" customFormat="1" ht="20.100000000000001" customHeight="1" x14ac:dyDescent="0.2">
      <c r="A13" s="274">
        <v>8</v>
      </c>
      <c r="B13" s="275" t="s">
        <v>262</v>
      </c>
      <c r="C13" s="275">
        <f>data!C63</f>
        <v>1254454.7000000002</v>
      </c>
      <c r="D13" s="275">
        <f>data!D63</f>
        <v>0</v>
      </c>
      <c r="E13" s="275">
        <f>data!E63</f>
        <v>0</v>
      </c>
      <c r="F13" s="275">
        <f>data!F63</f>
        <v>0</v>
      </c>
      <c r="G13" s="275">
        <f>data!G63</f>
        <v>0</v>
      </c>
      <c r="H13" s="275">
        <f>data!H63</f>
        <v>397815.25</v>
      </c>
      <c r="I13" s="275">
        <f>data!I63</f>
        <v>0</v>
      </c>
    </row>
    <row r="14" spans="1:9" customFormat="1" ht="20.100000000000001" customHeight="1" x14ac:dyDescent="0.2">
      <c r="A14" s="274">
        <v>9</v>
      </c>
      <c r="B14" s="275" t="s">
        <v>263</v>
      </c>
      <c r="C14" s="275">
        <f>data!C64</f>
        <v>5384525.5300000012</v>
      </c>
      <c r="D14" s="275">
        <f>data!D64</f>
        <v>0</v>
      </c>
      <c r="E14" s="275">
        <f>data!E64</f>
        <v>4858717.0399999991</v>
      </c>
      <c r="F14" s="275">
        <f>data!F64</f>
        <v>0</v>
      </c>
      <c r="G14" s="275">
        <f>data!G64</f>
        <v>175369.75999999998</v>
      </c>
      <c r="H14" s="275">
        <f>data!H64</f>
        <v>215761.97999999998</v>
      </c>
      <c r="I14" s="275">
        <f>data!I64</f>
        <v>0</v>
      </c>
    </row>
    <row r="15" spans="1:9" customFormat="1" ht="20.100000000000001" customHeight="1" x14ac:dyDescent="0.2">
      <c r="A15" s="274">
        <v>10</v>
      </c>
      <c r="B15" s="275" t="s">
        <v>525</v>
      </c>
      <c r="C15" s="275">
        <f>data!C65</f>
        <v>0</v>
      </c>
      <c r="D15" s="275">
        <f>data!D65</f>
        <v>0</v>
      </c>
      <c r="E15" s="275">
        <f>data!E65</f>
        <v>0</v>
      </c>
      <c r="F15" s="275">
        <f>data!F65</f>
        <v>0</v>
      </c>
      <c r="G15" s="275">
        <f>data!G65</f>
        <v>0</v>
      </c>
      <c r="H15" s="275">
        <f>data!H65</f>
        <v>0</v>
      </c>
      <c r="I15" s="275">
        <f>data!I65</f>
        <v>0</v>
      </c>
    </row>
    <row r="16" spans="1:9" customFormat="1" ht="20.100000000000001" customHeight="1" x14ac:dyDescent="0.2">
      <c r="A16" s="274">
        <v>11</v>
      </c>
      <c r="B16" s="275" t="s">
        <v>526</v>
      </c>
      <c r="C16" s="275">
        <f>data!C66</f>
        <v>118368.84</v>
      </c>
      <c r="D16" s="275">
        <f>data!D66</f>
        <v>0</v>
      </c>
      <c r="E16" s="275">
        <f>data!E66</f>
        <v>157975.74</v>
      </c>
      <c r="F16" s="275">
        <f>data!F66</f>
        <v>0</v>
      </c>
      <c r="G16" s="275">
        <f>data!G66</f>
        <v>11939.75</v>
      </c>
      <c r="H16" s="275">
        <f>data!H66</f>
        <v>10640.220000000001</v>
      </c>
      <c r="I16" s="275">
        <f>data!I66</f>
        <v>0</v>
      </c>
    </row>
    <row r="17" spans="1:9" customFormat="1" ht="20.100000000000001" customHeight="1" x14ac:dyDescent="0.2">
      <c r="A17" s="274">
        <v>12</v>
      </c>
      <c r="B17" s="275" t="s">
        <v>14</v>
      </c>
      <c r="C17" s="275">
        <f>data!C67</f>
        <v>15179830</v>
      </c>
      <c r="D17" s="275">
        <f>data!D67</f>
        <v>0</v>
      </c>
      <c r="E17" s="275">
        <f>data!E67</f>
        <v>33849934</v>
      </c>
      <c r="F17" s="275">
        <f>data!F67</f>
        <v>0</v>
      </c>
      <c r="G17" s="275">
        <f>data!G67</f>
        <v>2099411</v>
      </c>
      <c r="H17" s="275">
        <f>data!H67</f>
        <v>6236933</v>
      </c>
      <c r="I17" s="275">
        <f>data!I67</f>
        <v>0</v>
      </c>
    </row>
    <row r="18" spans="1:9" customFormat="1" ht="20.100000000000001" customHeight="1" x14ac:dyDescent="0.2">
      <c r="A18" s="274">
        <v>13</v>
      </c>
      <c r="B18" s="275" t="s">
        <v>1006</v>
      </c>
      <c r="C18" s="275">
        <f>data!C68</f>
        <v>10368.109999999999</v>
      </c>
      <c r="D18" s="275">
        <f>data!D68</f>
        <v>0</v>
      </c>
      <c r="E18" s="275">
        <f>data!E68</f>
        <v>27617.319999999996</v>
      </c>
      <c r="F18" s="275">
        <f>data!F68</f>
        <v>0</v>
      </c>
      <c r="G18" s="275">
        <f>data!G68</f>
        <v>0</v>
      </c>
      <c r="H18" s="275">
        <f>data!H68</f>
        <v>0</v>
      </c>
      <c r="I18" s="275">
        <f>data!I68</f>
        <v>0</v>
      </c>
    </row>
    <row r="19" spans="1:9" customFormat="1" ht="20.100000000000001" customHeight="1" x14ac:dyDescent="0.2">
      <c r="A19" s="274">
        <v>14</v>
      </c>
      <c r="B19" s="275" t="s">
        <v>1007</v>
      </c>
      <c r="C19" s="275">
        <f>data!C69</f>
        <v>13465034.910000002</v>
      </c>
      <c r="D19" s="275">
        <f>data!D69</f>
        <v>0</v>
      </c>
      <c r="E19" s="275">
        <f>data!E69</f>
        <v>2525912.27</v>
      </c>
      <c r="F19" s="275">
        <f>data!F69</f>
        <v>0</v>
      </c>
      <c r="G19" s="275">
        <f>data!G69</f>
        <v>37227.620000000003</v>
      </c>
      <c r="H19" s="275">
        <f>data!H69</f>
        <v>2077231.27</v>
      </c>
      <c r="I19" s="275">
        <f>data!I69</f>
        <v>0</v>
      </c>
    </row>
    <row r="20" spans="1:9" customFormat="1" ht="20.100000000000001" customHeight="1" x14ac:dyDescent="0.2">
      <c r="A20" s="274">
        <v>15</v>
      </c>
      <c r="B20" s="275" t="s">
        <v>282</v>
      </c>
      <c r="C20" s="275">
        <f>-data!C84</f>
        <v>0</v>
      </c>
      <c r="D20" s="275">
        <f>-data!D84</f>
        <v>0</v>
      </c>
      <c r="E20" s="275">
        <f>-data!E84</f>
        <v>632522.28999999957</v>
      </c>
      <c r="F20" s="275">
        <f>-data!F84</f>
        <v>0</v>
      </c>
      <c r="G20" s="275">
        <f>-data!G84</f>
        <v>-12373</v>
      </c>
      <c r="H20" s="275">
        <f>-data!H84</f>
        <v>0</v>
      </c>
      <c r="I20" s="275">
        <f>-data!I84</f>
        <v>0</v>
      </c>
    </row>
    <row r="21" spans="1:9" customFormat="1" ht="20.100000000000001" customHeight="1" x14ac:dyDescent="0.2">
      <c r="A21" s="274">
        <v>16</v>
      </c>
      <c r="B21" s="283" t="s">
        <v>1008</v>
      </c>
      <c r="C21" s="275">
        <f>data!C85</f>
        <v>107599830.15000001</v>
      </c>
      <c r="D21" s="275">
        <f>data!D85</f>
        <v>0</v>
      </c>
      <c r="E21" s="275">
        <f>data!E85</f>
        <v>136228246.38999996</v>
      </c>
      <c r="F21" s="275">
        <f>data!F85</f>
        <v>0</v>
      </c>
      <c r="G21" s="275">
        <f>data!G85</f>
        <v>7861123.4400000004</v>
      </c>
      <c r="H21" s="275">
        <f>data!H85</f>
        <v>27187675.68</v>
      </c>
      <c r="I21" s="275">
        <f>data!I85</f>
        <v>0</v>
      </c>
    </row>
    <row r="22" spans="1:9" customFormat="1" ht="20.100000000000001" customHeight="1" x14ac:dyDescent="0.2">
      <c r="A22" s="274">
        <v>17</v>
      </c>
      <c r="B22" s="275" t="s">
        <v>284</v>
      </c>
      <c r="C22" s="284"/>
      <c r="D22" s="285"/>
      <c r="E22" s="285"/>
      <c r="F22" s="285"/>
      <c r="G22" s="285"/>
      <c r="H22" s="285"/>
      <c r="I22" s="285"/>
    </row>
    <row r="23" spans="1:9" customFormat="1" ht="20.100000000000001" customHeight="1" x14ac:dyDescent="0.2">
      <c r="A23" s="274">
        <v>18</v>
      </c>
      <c r="B23" s="275" t="s">
        <v>1009</v>
      </c>
      <c r="C23" s="283" t="e">
        <f>+data!M668</f>
        <v>#DIV/0!</v>
      </c>
      <c r="D23" s="283" t="e">
        <f>+data!M669</f>
        <v>#DIV/0!</v>
      </c>
      <c r="E23" s="283" t="e">
        <f>+data!M670</f>
        <v>#DIV/0!</v>
      </c>
      <c r="F23" s="283" t="e">
        <f>+data!M671</f>
        <v>#DIV/0!</v>
      </c>
      <c r="G23" s="283" t="e">
        <f>+data!M672</f>
        <v>#DIV/0!</v>
      </c>
      <c r="H23" s="283" t="e">
        <f>+data!M673</f>
        <v>#DIV/0!</v>
      </c>
      <c r="I23" s="283" t="e">
        <f>+data!M674</f>
        <v>#DIV/0!</v>
      </c>
    </row>
    <row r="24" spans="1:9" customFormat="1" ht="20.100000000000001" customHeight="1" x14ac:dyDescent="0.2">
      <c r="A24" s="274">
        <v>19</v>
      </c>
      <c r="B24" s="283" t="s">
        <v>1010</v>
      </c>
      <c r="C24" s="275">
        <f>data!C87</f>
        <v>671046359.89999998</v>
      </c>
      <c r="D24" s="275">
        <f>data!D87</f>
        <v>0</v>
      </c>
      <c r="E24" s="275">
        <f>data!E87</f>
        <v>577164992.4000001</v>
      </c>
      <c r="F24" s="275">
        <f>data!F87</f>
        <v>0</v>
      </c>
      <c r="G24" s="275">
        <f>data!G87</f>
        <v>33534576.300000001</v>
      </c>
      <c r="H24" s="275">
        <f>data!H87</f>
        <v>92387324.099999994</v>
      </c>
      <c r="I24" s="275">
        <f>data!I87</f>
        <v>0</v>
      </c>
    </row>
    <row r="25" spans="1:9" customFormat="1" ht="20.100000000000001" customHeight="1" x14ac:dyDescent="0.2">
      <c r="A25" s="274">
        <v>20</v>
      </c>
      <c r="B25" s="283" t="s">
        <v>1011</v>
      </c>
      <c r="C25" s="275">
        <f>data!C88</f>
        <v>985775.5</v>
      </c>
      <c r="D25" s="275">
        <f>data!D88</f>
        <v>0</v>
      </c>
      <c r="E25" s="275">
        <f>data!E88</f>
        <v>55076244.949999996</v>
      </c>
      <c r="F25" s="275">
        <f>data!F88</f>
        <v>0</v>
      </c>
      <c r="G25" s="275">
        <f>data!G88</f>
        <v>1987417.5</v>
      </c>
      <c r="H25" s="275">
        <f>data!H88</f>
        <v>6681</v>
      </c>
      <c r="I25" s="275">
        <f>data!I88</f>
        <v>0</v>
      </c>
    </row>
    <row r="26" spans="1:9" customFormat="1" ht="18" customHeight="1" x14ac:dyDescent="0.2">
      <c r="A26" s="274">
        <v>21</v>
      </c>
      <c r="B26" s="283" t="s">
        <v>1012</v>
      </c>
      <c r="C26" s="275">
        <f>data!C89</f>
        <v>672032135.39999998</v>
      </c>
      <c r="D26" s="275">
        <f>data!D89</f>
        <v>0</v>
      </c>
      <c r="E26" s="275">
        <f>data!E89</f>
        <v>632241237.35000014</v>
      </c>
      <c r="F26" s="275">
        <f>data!F89</f>
        <v>0</v>
      </c>
      <c r="G26" s="275">
        <f>data!G89</f>
        <v>35521993.799999997</v>
      </c>
      <c r="H26" s="275">
        <f>data!H89</f>
        <v>92394005.099999994</v>
      </c>
      <c r="I26" s="275">
        <f>data!I89</f>
        <v>0</v>
      </c>
    </row>
    <row r="27" spans="1:9" customFormat="1" ht="20.100000000000001" customHeight="1" x14ac:dyDescent="0.2">
      <c r="A27" s="274" t="s">
        <v>1013</v>
      </c>
      <c r="B27" s="275"/>
      <c r="C27" s="285"/>
      <c r="D27" s="285"/>
      <c r="E27" s="285"/>
      <c r="F27" s="285"/>
      <c r="G27" s="285"/>
      <c r="H27" s="285"/>
      <c r="I27" s="285"/>
    </row>
    <row r="28" spans="1:9" customFormat="1" ht="20.100000000000001" customHeight="1" x14ac:dyDescent="0.2">
      <c r="A28" s="274">
        <v>22</v>
      </c>
      <c r="B28" s="275" t="s">
        <v>1014</v>
      </c>
      <c r="C28" s="275">
        <f>data!C90</f>
        <v>148836.49662350534</v>
      </c>
      <c r="D28" s="275">
        <f>data!D90</f>
        <v>0</v>
      </c>
      <c r="E28" s="275">
        <f>data!E90</f>
        <v>331894.74219283799</v>
      </c>
      <c r="F28" s="275">
        <f>data!F90</f>
        <v>0</v>
      </c>
      <c r="G28" s="275">
        <f>data!G90</f>
        <v>20584.488857092354</v>
      </c>
      <c r="H28" s="275">
        <f>data!H90</f>
        <v>61152.411937325647</v>
      </c>
      <c r="I28" s="275">
        <f>data!I90</f>
        <v>0</v>
      </c>
    </row>
    <row r="29" spans="1:9" customFormat="1" ht="20.100000000000001" customHeight="1" x14ac:dyDescent="0.2">
      <c r="A29" s="274">
        <v>23</v>
      </c>
      <c r="B29" s="275" t="s">
        <v>1015</v>
      </c>
      <c r="C29" s="275">
        <f>data!C91</f>
        <v>0</v>
      </c>
      <c r="D29" s="275">
        <f>data!D91</f>
        <v>0</v>
      </c>
      <c r="E29" s="275">
        <f>data!E91</f>
        <v>0</v>
      </c>
      <c r="F29" s="275">
        <f>data!F91</f>
        <v>0</v>
      </c>
      <c r="G29" s="275">
        <f>data!G91</f>
        <v>0</v>
      </c>
      <c r="H29" s="275">
        <f>data!H91</f>
        <v>0</v>
      </c>
      <c r="I29" s="275">
        <f>data!I91</f>
        <v>0</v>
      </c>
    </row>
    <row r="30" spans="1:9" customFormat="1" ht="20.100000000000001" customHeight="1" x14ac:dyDescent="0.2">
      <c r="A30" s="274">
        <v>24</v>
      </c>
      <c r="B30" s="275" t="s">
        <v>1016</v>
      </c>
      <c r="C30" s="275">
        <f>data!C92</f>
        <v>13077.662220798285</v>
      </c>
      <c r="D30" s="275">
        <f>data!D92</f>
        <v>0</v>
      </c>
      <c r="E30" s="275">
        <f>data!E92</f>
        <v>65644.445568358205</v>
      </c>
      <c r="F30" s="275">
        <f>data!F92</f>
        <v>0</v>
      </c>
      <c r="G30" s="275">
        <f>data!G92</f>
        <v>5426.0278567654668</v>
      </c>
      <c r="H30" s="275">
        <f>data!H92</f>
        <v>13871.397295450681</v>
      </c>
      <c r="I30" s="275">
        <f>data!I92</f>
        <v>0</v>
      </c>
    </row>
    <row r="31" spans="1:9" customFormat="1" ht="20.100000000000001" customHeight="1" x14ac:dyDescent="0.2">
      <c r="A31" s="274">
        <v>25</v>
      </c>
      <c r="B31" s="275" t="s">
        <v>1017</v>
      </c>
      <c r="C31" s="275">
        <f>data!C93</f>
        <v>1297638.5</v>
      </c>
      <c r="D31" s="275">
        <f>data!D93</f>
        <v>0</v>
      </c>
      <c r="E31" s="275">
        <f>data!E93</f>
        <v>1798163.5</v>
      </c>
      <c r="F31" s="275">
        <f>data!F93</f>
        <v>0</v>
      </c>
      <c r="G31" s="275">
        <f>data!G93</f>
        <v>38072</v>
      </c>
      <c r="H31" s="275">
        <f>data!H93</f>
        <v>230750</v>
      </c>
      <c r="I31" s="275">
        <f>data!I93</f>
        <v>0</v>
      </c>
    </row>
    <row r="32" spans="1:9" customFormat="1" ht="20.100000000000001" customHeight="1" x14ac:dyDescent="0.2">
      <c r="A32" s="274">
        <v>26</v>
      </c>
      <c r="B32" s="275" t="s">
        <v>292</v>
      </c>
      <c r="C32" s="282">
        <f>data!C94</f>
        <v>339.77429811357143</v>
      </c>
      <c r="D32" s="282">
        <f>data!D94</f>
        <v>0</v>
      </c>
      <c r="E32" s="282">
        <f>data!E94</f>
        <v>426.41</v>
      </c>
      <c r="F32" s="282">
        <f>data!F94</f>
        <v>0</v>
      </c>
      <c r="G32" s="282">
        <f>data!G94</f>
        <v>22.71</v>
      </c>
      <c r="H32" s="282">
        <f>data!H94</f>
        <v>38.729999999999997</v>
      </c>
      <c r="I32" s="282">
        <f>data!I94</f>
        <v>0</v>
      </c>
    </row>
    <row r="33" spans="1:9" customFormat="1" ht="20.100000000000001" customHeight="1" x14ac:dyDescent="0.2">
      <c r="A33" s="268" t="s">
        <v>999</v>
      </c>
      <c r="B33" s="269"/>
      <c r="C33" s="269"/>
      <c r="D33" s="269"/>
      <c r="E33" s="269"/>
      <c r="F33" s="269"/>
      <c r="G33" s="269"/>
      <c r="H33" s="269"/>
      <c r="I33" s="268"/>
    </row>
    <row r="34" spans="1:9" customFormat="1" ht="20.100000000000001" customHeight="1" x14ac:dyDescent="0.2">
      <c r="A34" s="270"/>
      <c r="I34" s="271" t="s">
        <v>1018</v>
      </c>
    </row>
    <row r="35" spans="1:9" customFormat="1" ht="20.100000000000001" customHeight="1" x14ac:dyDescent="0.2">
      <c r="A35" s="270"/>
      <c r="I35" s="270"/>
    </row>
    <row r="36" spans="1:9" customFormat="1" ht="20.100000000000001" customHeight="1" x14ac:dyDescent="0.2">
      <c r="A36" s="272" t="str">
        <f>"Hospital: "&amp;data!C98</f>
        <v>Hospital: Seattle Children's Hospital</v>
      </c>
      <c r="B36" t="s">
        <v>1387</v>
      </c>
      <c r="G36" s="273"/>
      <c r="H36" s="272" t="str">
        <f>"FYE: "&amp;data!C96</f>
        <v>FYE: 09/30/2024</v>
      </c>
    </row>
    <row r="37" spans="1:9" customFormat="1" ht="20.100000000000001" customHeight="1" x14ac:dyDescent="0.2">
      <c r="A37" s="274">
        <v>1</v>
      </c>
      <c r="B37" s="275" t="s">
        <v>234</v>
      </c>
      <c r="C37" s="277" t="s">
        <v>41</v>
      </c>
      <c r="D37" s="277" t="s">
        <v>42</v>
      </c>
      <c r="E37" s="277" t="s">
        <v>43</v>
      </c>
      <c r="F37" s="277" t="s">
        <v>44</v>
      </c>
      <c r="G37" s="277" t="s">
        <v>45</v>
      </c>
      <c r="H37" s="277" t="s">
        <v>46</v>
      </c>
      <c r="I37" s="277" t="s">
        <v>47</v>
      </c>
    </row>
    <row r="38" spans="1:9" customFormat="1" ht="20.100000000000001" customHeight="1" x14ac:dyDescent="0.2">
      <c r="A38" s="278">
        <v>2</v>
      </c>
      <c r="B38" s="279" t="s">
        <v>1001</v>
      </c>
      <c r="C38" s="281"/>
      <c r="D38" s="281" t="s">
        <v>124</v>
      </c>
      <c r="E38" s="281" t="s">
        <v>125</v>
      </c>
      <c r="F38" s="281" t="s">
        <v>1019</v>
      </c>
      <c r="G38" s="281" t="s">
        <v>127</v>
      </c>
      <c r="H38" s="281" t="s">
        <v>1020</v>
      </c>
      <c r="I38" s="281" t="s">
        <v>129</v>
      </c>
    </row>
    <row r="39" spans="1:9" customFormat="1" ht="20.100000000000001" customHeight="1" x14ac:dyDescent="0.2">
      <c r="A39" s="278"/>
      <c r="B39" s="279"/>
      <c r="C39" s="281" t="s">
        <v>123</v>
      </c>
      <c r="D39" s="281" t="s">
        <v>182</v>
      </c>
      <c r="E39" s="280" t="s">
        <v>192</v>
      </c>
      <c r="F39" s="281" t="s">
        <v>193</v>
      </c>
      <c r="G39" s="281" t="s">
        <v>194</v>
      </c>
      <c r="H39" s="281" t="s">
        <v>195</v>
      </c>
      <c r="I39" s="281" t="s">
        <v>194</v>
      </c>
    </row>
    <row r="40" spans="1:9" customFormat="1" ht="20.100000000000001" customHeight="1" x14ac:dyDescent="0.2">
      <c r="A40" s="274">
        <v>3</v>
      </c>
      <c r="B40" s="275" t="s">
        <v>1005</v>
      </c>
      <c r="C40" s="277" t="s">
        <v>241</v>
      </c>
      <c r="D40" s="277" t="s">
        <v>240</v>
      </c>
      <c r="E40" s="277" t="s">
        <v>240</v>
      </c>
      <c r="F40" s="277" t="s">
        <v>240</v>
      </c>
      <c r="G40" s="277" t="s">
        <v>240</v>
      </c>
      <c r="H40" s="277" t="s">
        <v>242</v>
      </c>
      <c r="I40" s="276" t="s">
        <v>243</v>
      </c>
    </row>
    <row r="41" spans="1:9" customFormat="1" ht="20.100000000000001" customHeight="1" x14ac:dyDescent="0.2">
      <c r="A41" s="274">
        <v>4</v>
      </c>
      <c r="B41" s="275" t="s">
        <v>259</v>
      </c>
      <c r="C41" s="275">
        <f>data!J59</f>
        <v>0</v>
      </c>
      <c r="D41" s="275">
        <f>data!K59</f>
        <v>0</v>
      </c>
      <c r="E41" s="275">
        <f>data!L59</f>
        <v>0</v>
      </c>
      <c r="F41" s="275">
        <f>data!M59</f>
        <v>0</v>
      </c>
      <c r="G41" s="275">
        <f>data!N59</f>
        <v>0</v>
      </c>
      <c r="H41" s="275">
        <f>data!O59</f>
        <v>0</v>
      </c>
      <c r="I41" s="275">
        <f>data!P59</f>
        <v>1979616</v>
      </c>
    </row>
    <row r="42" spans="1:9" customFormat="1" ht="20.100000000000001" customHeight="1" x14ac:dyDescent="0.2">
      <c r="A42" s="274">
        <v>5</v>
      </c>
      <c r="B42" s="275" t="s">
        <v>1388</v>
      </c>
      <c r="C42" s="282">
        <f>data!J60</f>
        <v>0</v>
      </c>
      <c r="D42" s="282">
        <f>data!K60</f>
        <v>0</v>
      </c>
      <c r="E42" s="282">
        <f>data!L60</f>
        <v>0</v>
      </c>
      <c r="F42" s="282">
        <f>data!M60</f>
        <v>0</v>
      </c>
      <c r="G42" s="282">
        <f>data!N60</f>
        <v>0</v>
      </c>
      <c r="H42" s="282">
        <f>data!O60</f>
        <v>0</v>
      </c>
      <c r="I42" s="282">
        <f>data!P60</f>
        <v>236.24847330275415</v>
      </c>
    </row>
    <row r="43" spans="1:9" customFormat="1" ht="20.100000000000001" customHeight="1" x14ac:dyDescent="0.2">
      <c r="A43" s="274">
        <v>6</v>
      </c>
      <c r="B43" s="275" t="s">
        <v>261</v>
      </c>
      <c r="C43" s="275">
        <f>data!J61</f>
        <v>0</v>
      </c>
      <c r="D43" s="275">
        <f>data!K61</f>
        <v>0</v>
      </c>
      <c r="E43" s="275">
        <f>data!L61</f>
        <v>0</v>
      </c>
      <c r="F43" s="275">
        <f>data!M61</f>
        <v>0</v>
      </c>
      <c r="G43" s="275">
        <f>data!N61</f>
        <v>0</v>
      </c>
      <c r="H43" s="275">
        <f>data!O61</f>
        <v>0</v>
      </c>
      <c r="I43" s="275">
        <f>data!P61</f>
        <v>27526630.839999996</v>
      </c>
    </row>
    <row r="44" spans="1:9" customFormat="1" ht="20.100000000000001" customHeight="1" x14ac:dyDescent="0.2">
      <c r="A44" s="274">
        <v>7</v>
      </c>
      <c r="B44" s="275" t="s">
        <v>9</v>
      </c>
      <c r="C44" s="275">
        <f>data!J62</f>
        <v>0</v>
      </c>
      <c r="D44" s="275">
        <f>data!K62</f>
        <v>0</v>
      </c>
      <c r="E44" s="275">
        <f>data!L62</f>
        <v>0</v>
      </c>
      <c r="F44" s="275">
        <f>data!M62</f>
        <v>0</v>
      </c>
      <c r="G44" s="275">
        <f>data!N62</f>
        <v>0</v>
      </c>
      <c r="H44" s="275">
        <f>data!O62</f>
        <v>0</v>
      </c>
      <c r="I44" s="275">
        <f>data!P62</f>
        <v>7567401</v>
      </c>
    </row>
    <row r="45" spans="1:9" customFormat="1" ht="20.100000000000001" customHeight="1" x14ac:dyDescent="0.2">
      <c r="A45" s="274">
        <v>8</v>
      </c>
      <c r="B45" s="275" t="s">
        <v>262</v>
      </c>
      <c r="C45" s="275">
        <f>data!J63</f>
        <v>0</v>
      </c>
      <c r="D45" s="275">
        <f>data!K63</f>
        <v>0</v>
      </c>
      <c r="E45" s="275">
        <f>data!L63</f>
        <v>0</v>
      </c>
      <c r="F45" s="275">
        <f>data!M63</f>
        <v>0</v>
      </c>
      <c r="G45" s="275">
        <f>data!N63</f>
        <v>0</v>
      </c>
      <c r="H45" s="275">
        <f>data!O63</f>
        <v>0</v>
      </c>
      <c r="I45" s="275">
        <f>data!P63</f>
        <v>158738.12000000002</v>
      </c>
    </row>
    <row r="46" spans="1:9" customFormat="1" ht="20.100000000000001" customHeight="1" x14ac:dyDescent="0.2">
      <c r="A46" s="274">
        <v>9</v>
      </c>
      <c r="B46" s="275" t="s">
        <v>263</v>
      </c>
      <c r="C46" s="275">
        <f>data!J64</f>
        <v>0</v>
      </c>
      <c r="D46" s="275">
        <f>data!K64</f>
        <v>0</v>
      </c>
      <c r="E46" s="275">
        <f>data!L64</f>
        <v>0</v>
      </c>
      <c r="F46" s="275">
        <f>data!M64</f>
        <v>0</v>
      </c>
      <c r="G46" s="275">
        <f>data!N64</f>
        <v>0</v>
      </c>
      <c r="H46" s="275">
        <f>data!O64</f>
        <v>0</v>
      </c>
      <c r="I46" s="275">
        <f>data!P64</f>
        <v>37284310.139999993</v>
      </c>
    </row>
    <row r="47" spans="1:9" customFormat="1" ht="20.100000000000001" customHeight="1" x14ac:dyDescent="0.2">
      <c r="A47" s="274">
        <v>10</v>
      </c>
      <c r="B47" s="275" t="s">
        <v>525</v>
      </c>
      <c r="C47" s="275">
        <f>data!J65</f>
        <v>0</v>
      </c>
      <c r="D47" s="275">
        <f>data!K65</f>
        <v>0</v>
      </c>
      <c r="E47" s="275">
        <f>data!L65</f>
        <v>0</v>
      </c>
      <c r="F47" s="275">
        <f>data!M65</f>
        <v>0</v>
      </c>
      <c r="G47" s="275">
        <f>data!N65</f>
        <v>0</v>
      </c>
      <c r="H47" s="275">
        <f>data!O65</f>
        <v>0</v>
      </c>
      <c r="I47" s="275">
        <f>data!P65</f>
        <v>0</v>
      </c>
    </row>
    <row r="48" spans="1:9" customFormat="1" ht="20.100000000000001" customHeight="1" x14ac:dyDescent="0.2">
      <c r="A48" s="274">
        <v>11</v>
      </c>
      <c r="B48" s="275" t="s">
        <v>526</v>
      </c>
      <c r="C48" s="275">
        <f>data!J66</f>
        <v>0</v>
      </c>
      <c r="D48" s="275">
        <f>data!K66</f>
        <v>0</v>
      </c>
      <c r="E48" s="275">
        <f>data!L66</f>
        <v>0</v>
      </c>
      <c r="F48" s="275">
        <f>data!M66</f>
        <v>0</v>
      </c>
      <c r="G48" s="275">
        <f>data!N66</f>
        <v>0</v>
      </c>
      <c r="H48" s="275">
        <f>data!O66</f>
        <v>0</v>
      </c>
      <c r="I48" s="275">
        <f>data!P66</f>
        <v>1423240.79</v>
      </c>
    </row>
    <row r="49" spans="1:11" customFormat="1" ht="20.100000000000001" customHeight="1" x14ac:dyDescent="0.2">
      <c r="A49" s="274">
        <v>12</v>
      </c>
      <c r="B49" s="275" t="s">
        <v>14</v>
      </c>
      <c r="C49" s="275">
        <f>data!J67</f>
        <v>0</v>
      </c>
      <c r="D49" s="275">
        <f>data!K67</f>
        <v>0</v>
      </c>
      <c r="E49" s="275">
        <f>data!L67</f>
        <v>0</v>
      </c>
      <c r="F49" s="275">
        <f>data!M67</f>
        <v>0</v>
      </c>
      <c r="G49" s="275">
        <f>data!N67</f>
        <v>0</v>
      </c>
      <c r="H49" s="275">
        <f>data!O67</f>
        <v>0</v>
      </c>
      <c r="I49" s="275">
        <f>data!P67</f>
        <v>18385177</v>
      </c>
    </row>
    <row r="50" spans="1:11" customFormat="1" ht="20.100000000000001" customHeight="1" x14ac:dyDescent="0.2">
      <c r="A50" s="274">
        <v>13</v>
      </c>
      <c r="B50" s="275" t="s">
        <v>1006</v>
      </c>
      <c r="C50" s="275">
        <f>data!J68</f>
        <v>0</v>
      </c>
      <c r="D50" s="275">
        <f>data!K68</f>
        <v>0</v>
      </c>
      <c r="E50" s="275">
        <f>data!L68</f>
        <v>0</v>
      </c>
      <c r="F50" s="275">
        <f>data!M68</f>
        <v>0</v>
      </c>
      <c r="G50" s="275">
        <f>data!N68</f>
        <v>0</v>
      </c>
      <c r="H50" s="275">
        <f>data!O68</f>
        <v>0</v>
      </c>
      <c r="I50" s="275">
        <f>data!P68</f>
        <v>422358.36</v>
      </c>
    </row>
    <row r="51" spans="1:11" customFormat="1" ht="20.100000000000001" customHeight="1" x14ac:dyDescent="0.2">
      <c r="A51" s="274">
        <v>14</v>
      </c>
      <c r="B51" s="275" t="s">
        <v>1007</v>
      </c>
      <c r="C51" s="275">
        <f>data!J69</f>
        <v>0</v>
      </c>
      <c r="D51" s="275">
        <f>data!K69</f>
        <v>0</v>
      </c>
      <c r="E51" s="275">
        <f>data!L69</f>
        <v>0</v>
      </c>
      <c r="F51" s="275">
        <f>data!M69</f>
        <v>0</v>
      </c>
      <c r="G51" s="275">
        <f>data!N69</f>
        <v>0</v>
      </c>
      <c r="H51" s="275">
        <f>data!O69</f>
        <v>0</v>
      </c>
      <c r="I51" s="275">
        <f>data!P69</f>
        <v>3575913.64</v>
      </c>
    </row>
    <row r="52" spans="1:11" customFormat="1" ht="20.100000000000001" customHeight="1" x14ac:dyDescent="0.2">
      <c r="A52" s="274">
        <v>15</v>
      </c>
      <c r="B52" s="275" t="s">
        <v>282</v>
      </c>
      <c r="C52" s="275">
        <f>-data!J84</f>
        <v>0</v>
      </c>
      <c r="D52" s="275">
        <f>-data!K84</f>
        <v>0</v>
      </c>
      <c r="E52" s="275">
        <f>-data!L84</f>
        <v>0</v>
      </c>
      <c r="F52" s="275">
        <f>-data!M84</f>
        <v>0</v>
      </c>
      <c r="G52" s="275">
        <f>-data!N84</f>
        <v>0</v>
      </c>
      <c r="H52" s="275">
        <f>-data!O84</f>
        <v>0</v>
      </c>
      <c r="I52" s="275">
        <f>-data!P84</f>
        <v>0</v>
      </c>
    </row>
    <row r="53" spans="1:11" customFormat="1" ht="20.100000000000001" customHeight="1" x14ac:dyDescent="0.2">
      <c r="A53" s="274">
        <v>16</v>
      </c>
      <c r="B53" s="283" t="s">
        <v>1008</v>
      </c>
      <c r="C53" s="275">
        <f>data!J85</f>
        <v>0</v>
      </c>
      <c r="D53" s="275">
        <f>data!K85</f>
        <v>0</v>
      </c>
      <c r="E53" s="275">
        <f>data!L85</f>
        <v>0</v>
      </c>
      <c r="F53" s="275">
        <f>data!M85</f>
        <v>0</v>
      </c>
      <c r="G53" s="275">
        <f>data!N85</f>
        <v>0</v>
      </c>
      <c r="H53" s="275">
        <f>data!O85</f>
        <v>0</v>
      </c>
      <c r="I53" s="275">
        <f>data!P85</f>
        <v>96343769.890000001</v>
      </c>
    </row>
    <row r="54" spans="1:11" customFormat="1" ht="20.100000000000001" customHeight="1" x14ac:dyDescent="0.2">
      <c r="A54" s="274">
        <v>17</v>
      </c>
      <c r="B54" s="275" t="s">
        <v>284</v>
      </c>
      <c r="C54" s="285"/>
      <c r="D54" s="285"/>
      <c r="E54" s="285"/>
      <c r="F54" s="285"/>
      <c r="G54" s="285"/>
      <c r="H54" s="285"/>
      <c r="I54" s="285"/>
    </row>
    <row r="55" spans="1:11" customFormat="1" ht="20.100000000000001" customHeight="1" x14ac:dyDescent="0.2">
      <c r="A55" s="274">
        <v>18</v>
      </c>
      <c r="B55" s="275" t="s">
        <v>1009</v>
      </c>
      <c r="C55" s="283" t="e">
        <f>+data!M675</f>
        <v>#DIV/0!</v>
      </c>
      <c r="D55" s="283" t="e">
        <f>+data!M676</f>
        <v>#DIV/0!</v>
      </c>
      <c r="E55" s="283" t="e">
        <f>+data!M691</f>
        <v>#DIV/0!</v>
      </c>
      <c r="F55" s="283" t="e">
        <f>+data!M692</f>
        <v>#DIV/0!</v>
      </c>
      <c r="G55" s="283" t="e">
        <f>+data!M693</f>
        <v>#DIV/0!</v>
      </c>
      <c r="H55" s="283" t="e">
        <f>+data!M680</f>
        <v>#DIV/0!</v>
      </c>
      <c r="I55" s="283" t="e">
        <f>+data!M681</f>
        <v>#DIV/0!</v>
      </c>
    </row>
    <row r="56" spans="1:11" customFormat="1" ht="20.100000000000001" customHeight="1" x14ac:dyDescent="0.2">
      <c r="A56" s="274">
        <v>19</v>
      </c>
      <c r="B56" s="283" t="s">
        <v>1010</v>
      </c>
      <c r="C56" s="275">
        <f>data!J87</f>
        <v>0</v>
      </c>
      <c r="D56" s="275">
        <f>data!K87</f>
        <v>0</v>
      </c>
      <c r="E56" s="275">
        <f>data!L87</f>
        <v>0</v>
      </c>
      <c r="F56" s="275">
        <f>data!M87</f>
        <v>0</v>
      </c>
      <c r="G56" s="275">
        <f>data!N87</f>
        <v>0</v>
      </c>
      <c r="H56" s="275">
        <f>data!O87</f>
        <v>0</v>
      </c>
      <c r="I56" s="275">
        <f>data!P87</f>
        <v>295785880.21999997</v>
      </c>
    </row>
    <row r="57" spans="1:11" customFormat="1" ht="20.100000000000001" customHeight="1" x14ac:dyDescent="0.2">
      <c r="A57" s="274">
        <v>20</v>
      </c>
      <c r="B57" s="283" t="s">
        <v>1011</v>
      </c>
      <c r="C57" s="275">
        <f>data!J88</f>
        <v>0</v>
      </c>
      <c r="D57" s="275">
        <f>data!K88</f>
        <v>0</v>
      </c>
      <c r="E57" s="275">
        <f>data!L88</f>
        <v>0</v>
      </c>
      <c r="F57" s="275">
        <f>data!M88</f>
        <v>0</v>
      </c>
      <c r="G57" s="275">
        <f>data!N88</f>
        <v>0</v>
      </c>
      <c r="H57" s="275">
        <f>data!O88</f>
        <v>0</v>
      </c>
      <c r="I57" s="275">
        <f>data!P88</f>
        <v>265121249.60000002</v>
      </c>
    </row>
    <row r="58" spans="1:11" customFormat="1" ht="20.100000000000001" customHeight="1" x14ac:dyDescent="0.2">
      <c r="A58" s="274">
        <v>21</v>
      </c>
      <c r="B58" s="283" t="s">
        <v>1012</v>
      </c>
      <c r="C58" s="275">
        <f>data!J89</f>
        <v>0</v>
      </c>
      <c r="D58" s="275">
        <f>data!K89</f>
        <v>0</v>
      </c>
      <c r="E58" s="275">
        <f>data!L89</f>
        <v>0</v>
      </c>
      <c r="F58" s="275">
        <f>data!M89</f>
        <v>0</v>
      </c>
      <c r="G58" s="275">
        <f>data!N89</f>
        <v>0</v>
      </c>
      <c r="H58" s="275">
        <f>data!O89</f>
        <v>0</v>
      </c>
      <c r="I58" s="275">
        <f>data!P89</f>
        <v>560907129.81999993</v>
      </c>
    </row>
    <row r="59" spans="1:11" customFormat="1" ht="20.100000000000001" customHeight="1" x14ac:dyDescent="0.2">
      <c r="A59" s="274" t="s">
        <v>1013</v>
      </c>
      <c r="B59" s="275"/>
      <c r="C59" s="285"/>
      <c r="D59" s="285"/>
      <c r="E59" s="285"/>
      <c r="F59" s="285"/>
      <c r="G59" s="285"/>
      <c r="H59" s="285"/>
      <c r="I59" s="285"/>
    </row>
    <row r="60" spans="1:11" customFormat="1" ht="20.100000000000001" customHeight="1" x14ac:dyDescent="0.25">
      <c r="A60" s="274">
        <v>22</v>
      </c>
      <c r="B60" s="275" t="s">
        <v>1014</v>
      </c>
      <c r="C60" s="275">
        <f>data!J90</f>
        <v>0</v>
      </c>
      <c r="D60" s="275">
        <f>data!K90</f>
        <v>0</v>
      </c>
      <c r="E60" s="275">
        <f>data!L90</f>
        <v>0</v>
      </c>
      <c r="F60" s="275">
        <f>data!M90</f>
        <v>0</v>
      </c>
      <c r="G60" s="275">
        <f>data!N90</f>
        <v>0</v>
      </c>
      <c r="H60" s="275">
        <f>data!O90</f>
        <v>0</v>
      </c>
      <c r="I60" s="275">
        <f>data!P90</f>
        <v>180264.56637384367</v>
      </c>
      <c r="K60" s="286"/>
    </row>
    <row r="61" spans="1:11" customFormat="1" ht="20.100000000000001" customHeight="1" x14ac:dyDescent="0.2">
      <c r="A61" s="274">
        <v>23</v>
      </c>
      <c r="B61" s="275" t="s">
        <v>1015</v>
      </c>
      <c r="C61" s="275">
        <f>data!J91</f>
        <v>0</v>
      </c>
      <c r="D61" s="275">
        <f>data!K91</f>
        <v>0</v>
      </c>
      <c r="E61" s="275">
        <f>data!L91</f>
        <v>0</v>
      </c>
      <c r="F61" s="275">
        <f>data!M91</f>
        <v>0</v>
      </c>
      <c r="G61" s="275">
        <f>data!N91</f>
        <v>0</v>
      </c>
      <c r="H61" s="275">
        <f>data!O91</f>
        <v>0</v>
      </c>
      <c r="I61" s="275">
        <f>data!P91</f>
        <v>0</v>
      </c>
    </row>
    <row r="62" spans="1:11" customFormat="1" ht="20.100000000000001" customHeight="1" x14ac:dyDescent="0.2">
      <c r="A62" s="274">
        <v>24</v>
      </c>
      <c r="B62" s="275" t="s">
        <v>1016</v>
      </c>
      <c r="C62" s="275">
        <f>data!J92</f>
        <v>0</v>
      </c>
      <c r="D62" s="275">
        <f>data!K92</f>
        <v>0</v>
      </c>
      <c r="E62" s="275">
        <f>data!L92</f>
        <v>0</v>
      </c>
      <c r="F62" s="275">
        <f>data!M92</f>
        <v>0</v>
      </c>
      <c r="G62" s="275">
        <f>data!N92</f>
        <v>0</v>
      </c>
      <c r="H62" s="275">
        <f>data!O92</f>
        <v>0</v>
      </c>
      <c r="I62" s="275">
        <f>data!P92</f>
        <v>30427.969808148126</v>
      </c>
    </row>
    <row r="63" spans="1:11" customFormat="1" ht="20.100000000000001" customHeight="1" x14ac:dyDescent="0.2">
      <c r="A63" s="274">
        <v>25</v>
      </c>
      <c r="B63" s="275" t="s">
        <v>1017</v>
      </c>
      <c r="C63" s="275">
        <f>data!J93</f>
        <v>0</v>
      </c>
      <c r="D63" s="275">
        <f>data!K93</f>
        <v>0</v>
      </c>
      <c r="E63" s="275">
        <f>data!L93</f>
        <v>0</v>
      </c>
      <c r="F63" s="275">
        <f>data!M93</f>
        <v>0</v>
      </c>
      <c r="G63" s="275">
        <f>data!N93</f>
        <v>0</v>
      </c>
      <c r="H63" s="275">
        <f>data!O93</f>
        <v>0</v>
      </c>
      <c r="I63" s="275">
        <f>data!P93</f>
        <v>0</v>
      </c>
    </row>
    <row r="64" spans="1:11" customFormat="1" ht="20.100000000000001" customHeight="1" x14ac:dyDescent="0.2">
      <c r="A64" s="274">
        <v>26</v>
      </c>
      <c r="B64" s="275" t="s">
        <v>292</v>
      </c>
      <c r="C64" s="282">
        <f>data!J94</f>
        <v>0</v>
      </c>
      <c r="D64" s="282">
        <f>data!K94</f>
        <v>0</v>
      </c>
      <c r="E64" s="282">
        <f>data!L94</f>
        <v>0</v>
      </c>
      <c r="F64" s="282">
        <f>data!M94</f>
        <v>0</v>
      </c>
      <c r="G64" s="282">
        <f>data!N94</f>
        <v>0</v>
      </c>
      <c r="H64" s="282">
        <f>data!O94</f>
        <v>0</v>
      </c>
      <c r="I64" s="282">
        <f>data!P94</f>
        <v>68.989999999999995</v>
      </c>
    </row>
    <row r="65" spans="1:9" customFormat="1" ht="20.100000000000001" customHeight="1" x14ac:dyDescent="0.2">
      <c r="A65" s="268" t="s">
        <v>999</v>
      </c>
      <c r="B65" s="269"/>
      <c r="C65" s="269"/>
      <c r="D65" s="269"/>
      <c r="E65" s="269"/>
      <c r="F65" s="269"/>
      <c r="G65" s="269"/>
      <c r="H65" s="269"/>
      <c r="I65" s="268"/>
    </row>
    <row r="66" spans="1:9" customFormat="1" ht="20.100000000000001" customHeight="1" x14ac:dyDescent="0.2">
      <c r="D66" s="270"/>
      <c r="I66" s="271" t="s">
        <v>1021</v>
      </c>
    </row>
    <row r="67" spans="1:9" customFormat="1" ht="20.100000000000001" customHeight="1" x14ac:dyDescent="0.2">
      <c r="A67" s="270"/>
    </row>
    <row r="68" spans="1:9" customFormat="1" ht="20.100000000000001" customHeight="1" x14ac:dyDescent="0.2">
      <c r="A68" s="272" t="str">
        <f>"Hospital: "&amp;data!C98</f>
        <v>Hospital: Seattle Children's Hospital</v>
      </c>
      <c r="G68" s="273"/>
      <c r="H68" s="272" t="str">
        <f>"FYE: "&amp;data!C96</f>
        <v>FYE: 09/30/2024</v>
      </c>
    </row>
    <row r="69" spans="1:9" customFormat="1" ht="20.100000000000001" customHeight="1" x14ac:dyDescent="0.2">
      <c r="A69" s="274">
        <v>1</v>
      </c>
      <c r="B69" s="275" t="s">
        <v>234</v>
      </c>
      <c r="C69" s="277" t="s">
        <v>48</v>
      </c>
      <c r="D69" s="277" t="s">
        <v>49</v>
      </c>
      <c r="E69" s="277" t="s">
        <v>50</v>
      </c>
      <c r="F69" s="277" t="s">
        <v>51</v>
      </c>
      <c r="G69" s="277" t="s">
        <v>52</v>
      </c>
      <c r="H69" s="277" t="s">
        <v>53</v>
      </c>
      <c r="I69" s="277" t="s">
        <v>54</v>
      </c>
    </row>
    <row r="70" spans="1:9" customFormat="1" ht="20.100000000000001" customHeight="1" x14ac:dyDescent="0.2">
      <c r="A70" s="278">
        <v>2</v>
      </c>
      <c r="B70" s="279" t="s">
        <v>1001</v>
      </c>
      <c r="C70" s="281" t="s">
        <v>130</v>
      </c>
      <c r="D70" s="281"/>
      <c r="E70" s="281" t="s">
        <v>132</v>
      </c>
      <c r="F70" s="281" t="s">
        <v>133</v>
      </c>
      <c r="G70" s="281"/>
      <c r="H70" s="281" t="s">
        <v>135</v>
      </c>
      <c r="I70" s="281" t="s">
        <v>136</v>
      </c>
    </row>
    <row r="71" spans="1:9" customFormat="1" ht="20.100000000000001" customHeight="1" x14ac:dyDescent="0.2">
      <c r="A71" s="278"/>
      <c r="B71" s="279"/>
      <c r="C71" s="281" t="s">
        <v>196</v>
      </c>
      <c r="D71" s="281" t="s">
        <v>1022</v>
      </c>
      <c r="E71" s="281" t="s">
        <v>194</v>
      </c>
      <c r="F71" s="281" t="s">
        <v>197</v>
      </c>
      <c r="G71" s="281" t="s">
        <v>134</v>
      </c>
      <c r="H71" s="281" t="s">
        <v>198</v>
      </c>
      <c r="I71" s="281" t="s">
        <v>199</v>
      </c>
    </row>
    <row r="72" spans="1:9" customFormat="1" ht="20.100000000000001" customHeight="1" x14ac:dyDescent="0.2">
      <c r="A72" s="274">
        <v>3</v>
      </c>
      <c r="B72" s="275" t="s">
        <v>1005</v>
      </c>
      <c r="C72" s="277" t="s">
        <v>1023</v>
      </c>
      <c r="D72" s="276" t="s">
        <v>1024</v>
      </c>
      <c r="E72" s="287"/>
      <c r="F72" s="287"/>
      <c r="G72" s="276" t="s">
        <v>1025</v>
      </c>
      <c r="H72" s="276" t="s">
        <v>1025</v>
      </c>
      <c r="I72" s="277" t="s">
        <v>248</v>
      </c>
    </row>
    <row r="73" spans="1:9" customFormat="1" ht="20.100000000000001" customHeight="1" x14ac:dyDescent="0.2">
      <c r="A73" s="274">
        <v>4</v>
      </c>
      <c r="B73" s="275" t="s">
        <v>259</v>
      </c>
      <c r="C73" s="275">
        <f>data!Q59</f>
        <v>1306940</v>
      </c>
      <c r="D73" s="283">
        <f>data!R59</f>
        <v>2524450</v>
      </c>
      <c r="E73" s="287"/>
      <c r="F73" s="287"/>
      <c r="G73" s="275">
        <f>data!U59</f>
        <v>1455386</v>
      </c>
      <c r="H73" s="275">
        <f>data!V59</f>
        <v>46667</v>
      </c>
      <c r="I73" s="275">
        <f>data!W59</f>
        <v>17044</v>
      </c>
    </row>
    <row r="74" spans="1:9" customFormat="1" ht="20.100000000000001" customHeight="1" x14ac:dyDescent="0.2">
      <c r="A74" s="274">
        <v>5</v>
      </c>
      <c r="B74" s="275" t="s">
        <v>260</v>
      </c>
      <c r="C74" s="282">
        <f>data!Q60</f>
        <v>91.494536060391511</v>
      </c>
      <c r="D74" s="282">
        <f>data!R60</f>
        <v>45.130132775460154</v>
      </c>
      <c r="E74" s="282">
        <f>data!S60</f>
        <v>125.09478801219781</v>
      </c>
      <c r="F74" s="282">
        <f>data!T60</f>
        <v>12.733472049677202</v>
      </c>
      <c r="G74" s="282">
        <f>data!U60</f>
        <v>236.65582905818678</v>
      </c>
      <c r="H74" s="282">
        <f>data!V60</f>
        <v>64.946197464677198</v>
      </c>
      <c r="I74" s="282">
        <f>data!W60</f>
        <v>14.451407692664839</v>
      </c>
    </row>
    <row r="75" spans="1:9" customFormat="1" ht="20.100000000000001" customHeight="1" x14ac:dyDescent="0.2">
      <c r="A75" s="274">
        <v>6</v>
      </c>
      <c r="B75" s="275" t="s">
        <v>261</v>
      </c>
      <c r="C75" s="275">
        <f>data!Q61</f>
        <v>12550366.4</v>
      </c>
      <c r="D75" s="275">
        <f>data!R61</f>
        <v>4808310.919999999</v>
      </c>
      <c r="E75" s="275">
        <f>data!S61</f>
        <v>9473547.0999999996</v>
      </c>
      <c r="F75" s="275">
        <f>data!T61</f>
        <v>1885376.23</v>
      </c>
      <c r="G75" s="275">
        <f>data!U61</f>
        <v>27762317.990000002</v>
      </c>
      <c r="H75" s="275">
        <f>data!V61</f>
        <v>7711413.5</v>
      </c>
      <c r="I75" s="275">
        <f>data!W61</f>
        <v>1972955.77</v>
      </c>
    </row>
    <row r="76" spans="1:9" customFormat="1" ht="20.100000000000001" customHeight="1" x14ac:dyDescent="0.2">
      <c r="A76" s="274">
        <v>7</v>
      </c>
      <c r="B76" s="275" t="s">
        <v>9</v>
      </c>
      <c r="C76" s="275">
        <f>data!Q62</f>
        <v>3450246</v>
      </c>
      <c r="D76" s="275">
        <f>data!R62</f>
        <v>1321862</v>
      </c>
      <c r="E76" s="275">
        <f>data!S62</f>
        <v>2604392</v>
      </c>
      <c r="F76" s="275">
        <f>data!T62</f>
        <v>518313</v>
      </c>
      <c r="G76" s="275">
        <f>data!U62</f>
        <v>7632194</v>
      </c>
      <c r="H76" s="275">
        <f>data!V62</f>
        <v>2119960</v>
      </c>
      <c r="I76" s="275">
        <f>data!W62</f>
        <v>542389</v>
      </c>
    </row>
    <row r="77" spans="1:9" customFormat="1" ht="20.100000000000001" customHeight="1" x14ac:dyDescent="0.2">
      <c r="A77" s="274">
        <v>8</v>
      </c>
      <c r="B77" s="275" t="s">
        <v>262</v>
      </c>
      <c r="C77" s="275">
        <f>data!Q63</f>
        <v>0</v>
      </c>
      <c r="D77" s="275">
        <f>data!R63</f>
        <v>1278693.9900000002</v>
      </c>
      <c r="E77" s="275">
        <f>data!S63</f>
        <v>0</v>
      </c>
      <c r="F77" s="275">
        <f>data!T63</f>
        <v>81207.510000000009</v>
      </c>
      <c r="G77" s="275">
        <f>data!U63</f>
        <v>244435</v>
      </c>
      <c r="H77" s="275">
        <f>data!V63</f>
        <v>0</v>
      </c>
      <c r="I77" s="275">
        <f>data!W63</f>
        <v>0</v>
      </c>
    </row>
    <row r="78" spans="1:9" customFormat="1" ht="20.100000000000001" customHeight="1" x14ac:dyDescent="0.2">
      <c r="A78" s="274">
        <v>9</v>
      </c>
      <c r="B78" s="275" t="s">
        <v>263</v>
      </c>
      <c r="C78" s="275">
        <f>data!Q64</f>
        <v>414243.93999999994</v>
      </c>
      <c r="D78" s="275">
        <f>data!R64</f>
        <v>2405615.75</v>
      </c>
      <c r="E78" s="275">
        <f>data!S64</f>
        <v>1376291.4100000001</v>
      </c>
      <c r="F78" s="275">
        <f>data!T64</f>
        <v>208970.03000000003</v>
      </c>
      <c r="G78" s="275">
        <f>data!U64</f>
        <v>11699282.520000003</v>
      </c>
      <c r="H78" s="275">
        <f>data!V64</f>
        <v>621306.93999999994</v>
      </c>
      <c r="I78" s="275">
        <f>data!W64</f>
        <v>66520.88</v>
      </c>
    </row>
    <row r="79" spans="1:9" customFormat="1" ht="20.100000000000001" customHeight="1" x14ac:dyDescent="0.2">
      <c r="A79" s="274">
        <v>10</v>
      </c>
      <c r="B79" s="275" t="s">
        <v>525</v>
      </c>
      <c r="C79" s="275">
        <f>data!Q65</f>
        <v>0</v>
      </c>
      <c r="D79" s="275">
        <f>data!R65</f>
        <v>0</v>
      </c>
      <c r="E79" s="275">
        <f>data!S65</f>
        <v>0</v>
      </c>
      <c r="F79" s="275">
        <f>data!T65</f>
        <v>0</v>
      </c>
      <c r="G79" s="275">
        <f>data!U65</f>
        <v>0</v>
      </c>
      <c r="H79" s="275">
        <f>data!V65</f>
        <v>0</v>
      </c>
      <c r="I79" s="275">
        <f>data!W65</f>
        <v>0</v>
      </c>
    </row>
    <row r="80" spans="1:9" customFormat="1" ht="20.100000000000001" customHeight="1" x14ac:dyDescent="0.2">
      <c r="A80" s="274">
        <v>11</v>
      </c>
      <c r="B80" s="275" t="s">
        <v>526</v>
      </c>
      <c r="C80" s="275">
        <f>data!Q66</f>
        <v>1497</v>
      </c>
      <c r="D80" s="275">
        <f>data!R66</f>
        <v>3773.0099999999998</v>
      </c>
      <c r="E80" s="275">
        <f>data!S66</f>
        <v>3283029.85</v>
      </c>
      <c r="F80" s="275">
        <f>data!T66</f>
        <v>0</v>
      </c>
      <c r="G80" s="275">
        <f>data!U66</f>
        <v>705746.35999999987</v>
      </c>
      <c r="H80" s="275">
        <f>data!V66</f>
        <v>286640.99</v>
      </c>
      <c r="I80" s="275">
        <f>data!W66</f>
        <v>4201.45</v>
      </c>
    </row>
    <row r="81" spans="1:9" customFormat="1" ht="20.100000000000001" customHeight="1" x14ac:dyDescent="0.2">
      <c r="A81" s="274">
        <v>12</v>
      </c>
      <c r="B81" s="275" t="s">
        <v>14</v>
      </c>
      <c r="C81" s="275">
        <f>data!Q67</f>
        <v>2438853</v>
      </c>
      <c r="D81" s="275">
        <f>data!R67</f>
        <v>1426942</v>
      </c>
      <c r="E81" s="275">
        <f>data!S67</f>
        <v>6644895</v>
      </c>
      <c r="F81" s="275">
        <f>data!T67</f>
        <v>76013</v>
      </c>
      <c r="G81" s="275">
        <f>data!U67</f>
        <v>8165688</v>
      </c>
      <c r="H81" s="275">
        <f>data!V67</f>
        <v>1634213</v>
      </c>
      <c r="I81" s="275">
        <f>data!W67</f>
        <v>1918212</v>
      </c>
    </row>
    <row r="82" spans="1:9" customFormat="1" ht="20.100000000000001" customHeight="1" x14ac:dyDescent="0.2">
      <c r="A82" s="274">
        <v>13</v>
      </c>
      <c r="B82" s="275" t="s">
        <v>1006</v>
      </c>
      <c r="C82" s="275">
        <f>data!Q68</f>
        <v>0</v>
      </c>
      <c r="D82" s="275">
        <f>data!R68</f>
        <v>0</v>
      </c>
      <c r="E82" s="275">
        <f>data!S68</f>
        <v>587597.77</v>
      </c>
      <c r="F82" s="275">
        <f>data!T68</f>
        <v>0</v>
      </c>
      <c r="G82" s="275">
        <f>data!U68</f>
        <v>0</v>
      </c>
      <c r="H82" s="275">
        <f>data!V68</f>
        <v>451757.48</v>
      </c>
      <c r="I82" s="275">
        <f>data!W68</f>
        <v>0</v>
      </c>
    </row>
    <row r="83" spans="1:9" customFormat="1" ht="20.100000000000001" customHeight="1" x14ac:dyDescent="0.2">
      <c r="A83" s="274">
        <v>14</v>
      </c>
      <c r="B83" s="275" t="s">
        <v>1007</v>
      </c>
      <c r="C83" s="275">
        <f>data!Q69</f>
        <v>53280.479999999996</v>
      </c>
      <c r="D83" s="275">
        <f>data!R69</f>
        <v>249512.27</v>
      </c>
      <c r="E83" s="275">
        <f>data!S69</f>
        <v>1371490.87</v>
      </c>
      <c r="F83" s="275">
        <f>data!T69</f>
        <v>3733.68</v>
      </c>
      <c r="G83" s="275">
        <f>data!U69</f>
        <v>21084810.84</v>
      </c>
      <c r="H83" s="275">
        <f>data!V69</f>
        <v>407977.0199999999</v>
      </c>
      <c r="I83" s="275">
        <f>data!W69</f>
        <v>754202.90000000014</v>
      </c>
    </row>
    <row r="84" spans="1:9" customFormat="1" ht="20.100000000000001" customHeight="1" x14ac:dyDescent="0.2">
      <c r="A84" s="274">
        <v>15</v>
      </c>
      <c r="B84" s="275" t="s">
        <v>282</v>
      </c>
      <c r="C84" s="275">
        <f>-data!Q84</f>
        <v>0</v>
      </c>
      <c r="D84" s="275">
        <f>-data!R84</f>
        <v>0</v>
      </c>
      <c r="E84" s="275">
        <f>-data!S84</f>
        <v>-100</v>
      </c>
      <c r="F84" s="275">
        <f>-data!T84</f>
        <v>0</v>
      </c>
      <c r="G84" s="275">
        <f>-data!U84</f>
        <v>-3921952.5500000003</v>
      </c>
      <c r="H84" s="275">
        <f>-data!V84</f>
        <v>0</v>
      </c>
      <c r="I84" s="275">
        <f>-data!W84</f>
        <v>0</v>
      </c>
    </row>
    <row r="85" spans="1:9" customFormat="1" ht="20.100000000000001" customHeight="1" x14ac:dyDescent="0.2">
      <c r="A85" s="274">
        <v>16</v>
      </c>
      <c r="B85" s="283" t="s">
        <v>1008</v>
      </c>
      <c r="C85" s="275">
        <f>data!Q85</f>
        <v>18908486.82</v>
      </c>
      <c r="D85" s="275">
        <f>data!R85</f>
        <v>11494709.939999999</v>
      </c>
      <c r="E85" s="275">
        <f>data!S85</f>
        <v>25341144</v>
      </c>
      <c r="F85" s="275">
        <f>data!T85</f>
        <v>2773613.4500000007</v>
      </c>
      <c r="G85" s="275">
        <f>data!U85</f>
        <v>73372522.160000011</v>
      </c>
      <c r="H85" s="275">
        <f>data!V85</f>
        <v>13233268.93</v>
      </c>
      <c r="I85" s="275">
        <f>data!W85</f>
        <v>5258482</v>
      </c>
    </row>
    <row r="86" spans="1:9" customFormat="1" ht="20.100000000000001" customHeight="1" x14ac:dyDescent="0.2">
      <c r="A86" s="274">
        <v>17</v>
      </c>
      <c r="B86" s="275" t="s">
        <v>284</v>
      </c>
      <c r="C86" s="285"/>
      <c r="D86" s="285"/>
      <c r="E86" s="285"/>
      <c r="F86" s="285"/>
      <c r="G86" s="285"/>
      <c r="H86" s="285"/>
      <c r="I86" s="285"/>
    </row>
    <row r="87" spans="1:9" customFormat="1" ht="20.100000000000001" customHeight="1" x14ac:dyDescent="0.2">
      <c r="A87" s="274">
        <v>18</v>
      </c>
      <c r="B87" s="275" t="s">
        <v>1009</v>
      </c>
      <c r="C87" s="283" t="e">
        <f>+data!M682</f>
        <v>#DIV/0!</v>
      </c>
      <c r="D87" s="283" t="e">
        <f>+data!M683</f>
        <v>#DIV/0!</v>
      </c>
      <c r="E87" s="283" t="e">
        <f>+data!M684</f>
        <v>#DIV/0!</v>
      </c>
      <c r="F87" s="283" t="e">
        <f>+data!M685</f>
        <v>#DIV/0!</v>
      </c>
      <c r="G87" s="283" t="e">
        <f>+data!M686</f>
        <v>#DIV/0!</v>
      </c>
      <c r="H87" s="283" t="e">
        <f>+data!M687</f>
        <v>#DIV/0!</v>
      </c>
      <c r="I87" s="283" t="e">
        <f>+data!M688</f>
        <v>#DIV/0!</v>
      </c>
    </row>
    <row r="88" spans="1:9" customFormat="1" ht="20.100000000000001" customHeight="1" x14ac:dyDescent="0.2">
      <c r="A88" s="274">
        <v>19</v>
      </c>
      <c r="B88" s="283" t="s">
        <v>1010</v>
      </c>
      <c r="C88" s="275">
        <f>data!Q87</f>
        <v>12979046.899999999</v>
      </c>
      <c r="D88" s="275">
        <f>data!R87</f>
        <v>66689265.700000003</v>
      </c>
      <c r="E88" s="275">
        <f>data!S87</f>
        <v>11752502.33</v>
      </c>
      <c r="F88" s="275">
        <f>data!T87</f>
        <v>0</v>
      </c>
      <c r="G88" s="275">
        <f>data!U87</f>
        <v>145155505.94999999</v>
      </c>
      <c r="H88" s="275">
        <f>data!V87</f>
        <v>63993100.299999997</v>
      </c>
      <c r="I88" s="275">
        <f>data!W87</f>
        <v>14514845.799999999</v>
      </c>
    </row>
    <row r="89" spans="1:9" customFormat="1" ht="20.100000000000001" customHeight="1" x14ac:dyDescent="0.2">
      <c r="A89" s="274">
        <v>20</v>
      </c>
      <c r="B89" s="283" t="s">
        <v>1011</v>
      </c>
      <c r="C89" s="275">
        <f>data!Q88</f>
        <v>38745595.799999997</v>
      </c>
      <c r="D89" s="275">
        <f>data!R88</f>
        <v>76729713.399999991</v>
      </c>
      <c r="E89" s="275">
        <f>data!S88</f>
        <v>13758129.890000001</v>
      </c>
      <c r="F89" s="275">
        <f>data!T88</f>
        <v>0</v>
      </c>
      <c r="G89" s="275">
        <f>data!U88</f>
        <v>147451725.54999998</v>
      </c>
      <c r="H89" s="275">
        <f>data!V88</f>
        <v>70653206.799999997</v>
      </c>
      <c r="I89" s="275">
        <f>data!W88</f>
        <v>52636898.700000003</v>
      </c>
    </row>
    <row r="90" spans="1:9" customFormat="1" ht="20.100000000000001" customHeight="1" x14ac:dyDescent="0.2">
      <c r="A90" s="274">
        <v>21</v>
      </c>
      <c r="B90" s="283" t="s">
        <v>1012</v>
      </c>
      <c r="C90" s="275">
        <f>data!Q89</f>
        <v>51724642.699999996</v>
      </c>
      <c r="D90" s="275">
        <f>data!R89</f>
        <v>143418979.09999999</v>
      </c>
      <c r="E90" s="275">
        <f>data!S89</f>
        <v>25510632.219999999</v>
      </c>
      <c r="F90" s="275">
        <f>data!T89</f>
        <v>0</v>
      </c>
      <c r="G90" s="275">
        <f>data!U89</f>
        <v>292607231.5</v>
      </c>
      <c r="H90" s="275">
        <f>data!V89</f>
        <v>134646307.09999999</v>
      </c>
      <c r="I90" s="275">
        <f>data!W89</f>
        <v>67151744.5</v>
      </c>
    </row>
    <row r="91" spans="1:9" customFormat="1" ht="20.100000000000001" customHeight="1" x14ac:dyDescent="0.2">
      <c r="A91" s="274" t="s">
        <v>1013</v>
      </c>
      <c r="B91" s="275"/>
      <c r="C91" s="285"/>
      <c r="D91" s="285"/>
      <c r="E91" s="285"/>
      <c r="F91" s="285"/>
      <c r="G91" s="285"/>
      <c r="H91" s="285"/>
      <c r="I91" s="285"/>
    </row>
    <row r="92" spans="1:9" customFormat="1" ht="20.100000000000001" customHeight="1" x14ac:dyDescent="0.2">
      <c r="A92" s="274">
        <v>22</v>
      </c>
      <c r="B92" s="275" t="s">
        <v>1014</v>
      </c>
      <c r="C92" s="275">
        <f>data!Q90</f>
        <v>23912.678696551993</v>
      </c>
      <c r="D92" s="275">
        <f>data!R90</f>
        <v>13991.007998258741</v>
      </c>
      <c r="E92" s="275">
        <f>data!S90</f>
        <v>65152.436901152527</v>
      </c>
      <c r="F92" s="275">
        <f>data!T90</f>
        <v>745.30079168471343</v>
      </c>
      <c r="G92" s="275">
        <f>data!U90</f>
        <v>80063.641954355087</v>
      </c>
      <c r="H92" s="275">
        <f>data!V90</f>
        <v>16023.268146975581</v>
      </c>
      <c r="I92" s="275">
        <f>data!W90</f>
        <v>18807.848321324705</v>
      </c>
    </row>
    <row r="93" spans="1:9" customFormat="1" ht="20.100000000000001" customHeight="1" x14ac:dyDescent="0.2">
      <c r="A93" s="274">
        <v>23</v>
      </c>
      <c r="B93" s="275" t="s">
        <v>1015</v>
      </c>
      <c r="C93" s="275">
        <f>data!Q91</f>
        <v>0</v>
      </c>
      <c r="D93" s="275">
        <f>data!R91</f>
        <v>0</v>
      </c>
      <c r="E93" s="275">
        <f>data!S91</f>
        <v>0</v>
      </c>
      <c r="F93" s="275">
        <f>data!T91</f>
        <v>0</v>
      </c>
      <c r="G93" s="275">
        <f>data!U91</f>
        <v>0</v>
      </c>
      <c r="H93" s="275">
        <f>data!V91</f>
        <v>0</v>
      </c>
      <c r="I93" s="275">
        <f>data!W91</f>
        <v>0</v>
      </c>
    </row>
    <row r="94" spans="1:9" customFormat="1" ht="20.100000000000001" customHeight="1" x14ac:dyDescent="0.2">
      <c r="A94" s="274">
        <v>24</v>
      </c>
      <c r="B94" s="275" t="s">
        <v>1016</v>
      </c>
      <c r="C94" s="275">
        <f>data!Q92</f>
        <v>3459.3429098920033</v>
      </c>
      <c r="D94" s="275">
        <f>data!R92</f>
        <v>2226.7437510786494</v>
      </c>
      <c r="E94" s="275">
        <f>data!S92</f>
        <v>8108.6539135750645</v>
      </c>
      <c r="F94" s="275">
        <f>data!T92</f>
        <v>109.92055518838902</v>
      </c>
      <c r="G94" s="275">
        <f>data!U92</f>
        <v>12414.853429037288</v>
      </c>
      <c r="H94" s="275">
        <f>data!V92</f>
        <v>5540.569158334496</v>
      </c>
      <c r="I94" s="275">
        <f>data!W92</f>
        <v>2806.2339733331864</v>
      </c>
    </row>
    <row r="95" spans="1:9" customFormat="1" ht="20.100000000000001" customHeight="1" x14ac:dyDescent="0.2">
      <c r="A95" s="274">
        <v>25</v>
      </c>
      <c r="B95" s="275" t="s">
        <v>1017</v>
      </c>
      <c r="C95" s="275">
        <f>data!Q93</f>
        <v>0</v>
      </c>
      <c r="D95" s="275">
        <f>data!R93</f>
        <v>0</v>
      </c>
      <c r="E95" s="275">
        <f>data!S93</f>
        <v>29114</v>
      </c>
      <c r="F95" s="275">
        <f>data!T93</f>
        <v>0</v>
      </c>
      <c r="G95" s="275">
        <f>data!U93</f>
        <v>0</v>
      </c>
      <c r="H95" s="275">
        <f>data!V93</f>
        <v>49457</v>
      </c>
      <c r="I95" s="275">
        <f>data!W93</f>
        <v>0</v>
      </c>
    </row>
    <row r="96" spans="1:9" customFormat="1" ht="20.100000000000001" customHeight="1" x14ac:dyDescent="0.2">
      <c r="A96" s="274">
        <v>26</v>
      </c>
      <c r="B96" s="275" t="s">
        <v>292</v>
      </c>
      <c r="C96" s="282">
        <f>data!Q94</f>
        <v>49.32</v>
      </c>
      <c r="D96" s="282">
        <f>data!R94</f>
        <v>0.24</v>
      </c>
      <c r="E96" s="282">
        <f>data!S94</f>
        <v>0</v>
      </c>
      <c r="F96" s="282">
        <f>data!T94</f>
        <v>10.039999999999999</v>
      </c>
      <c r="G96" s="282">
        <f>data!U94</f>
        <v>0</v>
      </c>
      <c r="H96" s="282">
        <f>data!V94</f>
        <v>1.06</v>
      </c>
      <c r="I96" s="282">
        <f>data!W94</f>
        <v>0</v>
      </c>
    </row>
    <row r="97" spans="1:9" customFormat="1" ht="20.100000000000001" customHeight="1" x14ac:dyDescent="0.2">
      <c r="A97" s="268" t="s">
        <v>999</v>
      </c>
      <c r="B97" s="269"/>
      <c r="C97" s="269"/>
      <c r="D97" s="269"/>
      <c r="E97" s="269"/>
      <c r="F97" s="269"/>
      <c r="G97" s="269"/>
      <c r="H97" s="269"/>
      <c r="I97" s="268"/>
    </row>
    <row r="98" spans="1:9" customFormat="1" ht="20.100000000000001" customHeight="1" x14ac:dyDescent="0.2">
      <c r="D98" s="270"/>
      <c r="I98" s="271" t="s">
        <v>1026</v>
      </c>
    </row>
    <row r="99" spans="1:9" customFormat="1" ht="20.100000000000001" customHeight="1" x14ac:dyDescent="0.2">
      <c r="A99" s="270"/>
    </row>
    <row r="100" spans="1:9" customFormat="1" ht="20.100000000000001" customHeight="1" x14ac:dyDescent="0.2">
      <c r="A100" s="272" t="str">
        <f>"Hospital: "&amp;data!C98</f>
        <v>Hospital: Seattle Children's Hospital</v>
      </c>
      <c r="G100" s="273"/>
      <c r="H100" s="272" t="str">
        <f>"FYE: "&amp;data!C96</f>
        <v>FYE: 09/30/2024</v>
      </c>
    </row>
    <row r="101" spans="1:9" customFormat="1" ht="20.100000000000001" customHeight="1" x14ac:dyDescent="0.2">
      <c r="A101" s="274">
        <v>1</v>
      </c>
      <c r="B101" s="275" t="s">
        <v>234</v>
      </c>
      <c r="C101" s="277" t="s">
        <v>55</v>
      </c>
      <c r="D101" s="277" t="s">
        <v>56</v>
      </c>
      <c r="E101" s="277" t="s">
        <v>57</v>
      </c>
      <c r="F101" s="277" t="s">
        <v>58</v>
      </c>
      <c r="G101" s="277" t="s">
        <v>59</v>
      </c>
      <c r="H101" s="277" t="s">
        <v>60</v>
      </c>
      <c r="I101" s="277" t="s">
        <v>61</v>
      </c>
    </row>
    <row r="102" spans="1:9" customFormat="1" ht="20.100000000000001" customHeight="1" x14ac:dyDescent="0.2">
      <c r="A102" s="278">
        <v>2</v>
      </c>
      <c r="B102" s="279" t="s">
        <v>1001</v>
      </c>
      <c r="C102" s="281" t="s">
        <v>1027</v>
      </c>
      <c r="D102" s="281" t="s">
        <v>1028</v>
      </c>
      <c r="E102" s="281" t="s">
        <v>1028</v>
      </c>
      <c r="F102" s="281" t="s">
        <v>139</v>
      </c>
      <c r="G102" s="281"/>
      <c r="H102" s="281" t="s">
        <v>141</v>
      </c>
      <c r="I102" s="281"/>
    </row>
    <row r="103" spans="1:9" customFormat="1" ht="20.100000000000001" customHeight="1" x14ac:dyDescent="0.2">
      <c r="A103" s="278"/>
      <c r="B103" s="279"/>
      <c r="C103" s="281" t="s">
        <v>200</v>
      </c>
      <c r="D103" s="281" t="s">
        <v>201</v>
      </c>
      <c r="E103" s="281" t="s">
        <v>202</v>
      </c>
      <c r="F103" s="281" t="s">
        <v>203</v>
      </c>
      <c r="G103" s="281" t="s">
        <v>140</v>
      </c>
      <c r="H103" s="281" t="s">
        <v>197</v>
      </c>
      <c r="I103" s="281" t="s">
        <v>142</v>
      </c>
    </row>
    <row r="104" spans="1:9" customFormat="1" ht="20.100000000000001" customHeight="1" x14ac:dyDescent="0.2">
      <c r="A104" s="274">
        <v>3</v>
      </c>
      <c r="B104" s="275" t="s">
        <v>1005</v>
      </c>
      <c r="C104" s="276" t="s">
        <v>249</v>
      </c>
      <c r="D104" s="277" t="s">
        <v>1029</v>
      </c>
      <c r="E104" s="277" t="s">
        <v>1029</v>
      </c>
      <c r="F104" s="277" t="s">
        <v>1029</v>
      </c>
      <c r="G104" s="287"/>
      <c r="H104" s="277" t="s">
        <v>251</v>
      </c>
      <c r="I104" s="277" t="s">
        <v>252</v>
      </c>
    </row>
    <row r="105" spans="1:9" customFormat="1" ht="20.100000000000001" customHeight="1" x14ac:dyDescent="0.2">
      <c r="A105" s="274">
        <v>4</v>
      </c>
      <c r="B105" s="275" t="s">
        <v>259</v>
      </c>
      <c r="C105" s="275">
        <f>data!X59</f>
        <v>10491</v>
      </c>
      <c r="D105" s="275">
        <f>data!Y59</f>
        <v>297233</v>
      </c>
      <c r="E105" s="275">
        <f>data!Z59</f>
        <v>1101</v>
      </c>
      <c r="F105" s="275">
        <f>data!AA59</f>
        <v>1436</v>
      </c>
      <c r="G105" s="287"/>
      <c r="H105" s="275">
        <f>data!AC59</f>
        <v>0</v>
      </c>
      <c r="I105" s="275">
        <f>data!AD59</f>
        <v>9863</v>
      </c>
    </row>
    <row r="106" spans="1:9" customFormat="1" ht="20.100000000000001" customHeight="1" x14ac:dyDescent="0.2">
      <c r="A106" s="274">
        <v>5</v>
      </c>
      <c r="B106" s="275" t="s">
        <v>260</v>
      </c>
      <c r="C106" s="282">
        <f>data!X60</f>
        <v>13.482362793317307</v>
      </c>
      <c r="D106" s="282">
        <f>data!Y60</f>
        <v>126.16464776439561</v>
      </c>
      <c r="E106" s="282">
        <f>data!Z60</f>
        <v>9.6172669573969785</v>
      </c>
      <c r="F106" s="282">
        <f>data!AA60</f>
        <v>3.640775239478022</v>
      </c>
      <c r="G106" s="282">
        <f>data!AB60</f>
        <v>227.65011081186816</v>
      </c>
      <c r="H106" s="282">
        <f>data!AC60</f>
        <v>142.34928365157279</v>
      </c>
      <c r="I106" s="282">
        <f>data!AD60</f>
        <v>33.624163069306313</v>
      </c>
    </row>
    <row r="107" spans="1:9" customFormat="1" ht="20.100000000000001" customHeight="1" x14ac:dyDescent="0.2">
      <c r="A107" s="274">
        <v>6</v>
      </c>
      <c r="B107" s="275" t="s">
        <v>261</v>
      </c>
      <c r="C107" s="275">
        <f>data!X61</f>
        <v>1791836.52</v>
      </c>
      <c r="D107" s="275">
        <f>data!Y61</f>
        <v>15048647.019999998</v>
      </c>
      <c r="E107" s="275">
        <f>data!Z61</f>
        <v>1245759.8400000003</v>
      </c>
      <c r="F107" s="275">
        <f>data!AA61</f>
        <v>536453.01</v>
      </c>
      <c r="G107" s="275">
        <f>data!AB61</f>
        <v>29047183.339999996</v>
      </c>
      <c r="H107" s="275">
        <f>data!AC61</f>
        <v>14332156.66</v>
      </c>
      <c r="I107" s="275">
        <f>data!AD61</f>
        <v>4395459.8899999997</v>
      </c>
    </row>
    <row r="108" spans="1:9" customFormat="1" ht="20.100000000000001" customHeight="1" x14ac:dyDescent="0.2">
      <c r="A108" s="274">
        <v>7</v>
      </c>
      <c r="B108" s="275" t="s">
        <v>9</v>
      </c>
      <c r="C108" s="275">
        <f>data!X62</f>
        <v>492597</v>
      </c>
      <c r="D108" s="275">
        <f>data!Y62</f>
        <v>4137053</v>
      </c>
      <c r="E108" s="275">
        <f>data!Z62</f>
        <v>342474</v>
      </c>
      <c r="F108" s="275">
        <f>data!AA62</f>
        <v>147477</v>
      </c>
      <c r="G108" s="275">
        <f>data!AB62</f>
        <v>7985419</v>
      </c>
      <c r="H108" s="275">
        <f>data!AC62</f>
        <v>3940082</v>
      </c>
      <c r="I108" s="275">
        <f>data!AD62</f>
        <v>1208365</v>
      </c>
    </row>
    <row r="109" spans="1:9" customFormat="1" ht="20.100000000000001" customHeight="1" x14ac:dyDescent="0.2">
      <c r="A109" s="274">
        <v>8</v>
      </c>
      <c r="B109" s="275" t="s">
        <v>262</v>
      </c>
      <c r="C109" s="275">
        <f>data!X63</f>
        <v>0</v>
      </c>
      <c r="D109" s="275">
        <f>data!Y63</f>
        <v>1198394.1499999999</v>
      </c>
      <c r="E109" s="275">
        <f>data!Z63</f>
        <v>51637.630000000005</v>
      </c>
      <c r="F109" s="275">
        <f>data!AA63</f>
        <v>0</v>
      </c>
      <c r="G109" s="275">
        <f>data!AB63</f>
        <v>0</v>
      </c>
      <c r="H109" s="275">
        <f>data!AC63</f>
        <v>43214.239999999991</v>
      </c>
      <c r="I109" s="275">
        <f>data!AD63</f>
        <v>195917.77000000002</v>
      </c>
    </row>
    <row r="110" spans="1:9" customFormat="1" ht="20.100000000000001" customHeight="1" x14ac:dyDescent="0.2">
      <c r="A110" s="274">
        <v>9</v>
      </c>
      <c r="B110" s="275" t="s">
        <v>263</v>
      </c>
      <c r="C110" s="275">
        <f>data!X64</f>
        <v>99577.69</v>
      </c>
      <c r="D110" s="275">
        <f>data!Y64</f>
        <v>5593995.2999999998</v>
      </c>
      <c r="E110" s="275">
        <f>data!Z64</f>
        <v>82334.8</v>
      </c>
      <c r="F110" s="275">
        <f>data!AA64</f>
        <v>636832.81999999995</v>
      </c>
      <c r="G110" s="275">
        <f>data!AB64</f>
        <v>117361370.45999998</v>
      </c>
      <c r="H110" s="275">
        <f>data!AC64</f>
        <v>3373471.96</v>
      </c>
      <c r="I110" s="275">
        <f>data!AD64</f>
        <v>1163186.2700000003</v>
      </c>
    </row>
    <row r="111" spans="1:9" customFormat="1" ht="20.100000000000001" customHeight="1" x14ac:dyDescent="0.2">
      <c r="A111" s="274">
        <v>10</v>
      </c>
      <c r="B111" s="275" t="s">
        <v>525</v>
      </c>
      <c r="C111" s="275">
        <f>data!X65</f>
        <v>0</v>
      </c>
      <c r="D111" s="275">
        <f>data!Y65</f>
        <v>0</v>
      </c>
      <c r="E111" s="275">
        <f>data!Z65</f>
        <v>0</v>
      </c>
      <c r="F111" s="275">
        <f>data!AA65</f>
        <v>0</v>
      </c>
      <c r="G111" s="275">
        <f>data!AB65</f>
        <v>0</v>
      </c>
      <c r="H111" s="275">
        <f>data!AC65</f>
        <v>0</v>
      </c>
      <c r="I111" s="275">
        <f>data!AD65</f>
        <v>0</v>
      </c>
    </row>
    <row r="112" spans="1:9" customFormat="1" ht="20.100000000000001" customHeight="1" x14ac:dyDescent="0.2">
      <c r="A112" s="274">
        <v>11</v>
      </c>
      <c r="B112" s="275" t="s">
        <v>526</v>
      </c>
      <c r="C112" s="275">
        <f>data!X66</f>
        <v>3293.1299999999997</v>
      </c>
      <c r="D112" s="275">
        <f>data!Y66</f>
        <v>506139.65</v>
      </c>
      <c r="E112" s="275">
        <f>data!Z66</f>
        <v>835116.17999999993</v>
      </c>
      <c r="F112" s="275">
        <f>data!AA66</f>
        <v>10703.310000000001</v>
      </c>
      <c r="G112" s="275">
        <f>data!AB66</f>
        <v>34774.680000000008</v>
      </c>
      <c r="H112" s="275">
        <f>data!AC66</f>
        <v>8380.4699999999993</v>
      </c>
      <c r="I112" s="275">
        <f>data!AD66</f>
        <v>41211.35</v>
      </c>
    </row>
    <row r="113" spans="1:9" customFormat="1" ht="20.100000000000001" customHeight="1" x14ac:dyDescent="0.2">
      <c r="A113" s="274">
        <v>12</v>
      </c>
      <c r="B113" s="275" t="s">
        <v>14</v>
      </c>
      <c r="C113" s="275">
        <f>data!X67</f>
        <v>526534</v>
      </c>
      <c r="D113" s="275">
        <f>data!Y67</f>
        <v>7004728</v>
      </c>
      <c r="E113" s="275">
        <f>data!Z67</f>
        <v>385937</v>
      </c>
      <c r="F113" s="275">
        <f>data!AA67</f>
        <v>240482</v>
      </c>
      <c r="G113" s="275">
        <f>data!AB67</f>
        <v>4785362</v>
      </c>
      <c r="H113" s="275">
        <f>data!AC67</f>
        <v>683364</v>
      </c>
      <c r="I113" s="275">
        <f>data!AD67</f>
        <v>1430205</v>
      </c>
    </row>
    <row r="114" spans="1:9" customFormat="1" ht="20.100000000000001" customHeight="1" x14ac:dyDescent="0.2">
      <c r="A114" s="274">
        <v>13</v>
      </c>
      <c r="B114" s="275" t="s">
        <v>1006</v>
      </c>
      <c r="C114" s="275">
        <f>data!X68</f>
        <v>0</v>
      </c>
      <c r="D114" s="275">
        <f>data!Y68</f>
        <v>0</v>
      </c>
      <c r="E114" s="275">
        <f>data!Z68</f>
        <v>0</v>
      </c>
      <c r="F114" s="275">
        <f>data!AA68</f>
        <v>0</v>
      </c>
      <c r="G114" s="275">
        <f>data!AB68</f>
        <v>0</v>
      </c>
      <c r="H114" s="275">
        <f>data!AC68</f>
        <v>73139.53</v>
      </c>
      <c r="I114" s="275">
        <f>data!AD68</f>
        <v>0</v>
      </c>
    </row>
    <row r="115" spans="1:9" customFormat="1" ht="20.100000000000001" customHeight="1" x14ac:dyDescent="0.2">
      <c r="A115" s="274">
        <v>14</v>
      </c>
      <c r="B115" s="275" t="s">
        <v>1007</v>
      </c>
      <c r="C115" s="275">
        <f>data!X69</f>
        <v>617457.31999999983</v>
      </c>
      <c r="D115" s="275">
        <f>data!Y69</f>
        <v>3436211.49</v>
      </c>
      <c r="E115" s="275">
        <f>data!Z69</f>
        <v>19615.62</v>
      </c>
      <c r="F115" s="275">
        <f>data!AA69</f>
        <v>245099.36000000002</v>
      </c>
      <c r="G115" s="275">
        <f>data!AB69</f>
        <v>529579.78</v>
      </c>
      <c r="H115" s="275">
        <f>data!AC69</f>
        <v>4301461.78</v>
      </c>
      <c r="I115" s="275">
        <f>data!AD69</f>
        <v>270577.74</v>
      </c>
    </row>
    <row r="116" spans="1:9" customFormat="1" ht="20.100000000000001" customHeight="1" x14ac:dyDescent="0.2">
      <c r="A116" s="274">
        <v>15</v>
      </c>
      <c r="B116" s="275" t="s">
        <v>282</v>
      </c>
      <c r="C116" s="275">
        <f>-data!X84</f>
        <v>0</v>
      </c>
      <c r="D116" s="275">
        <f>-data!Y84</f>
        <v>-149358.22</v>
      </c>
      <c r="E116" s="275">
        <f>-data!Z84</f>
        <v>-86775.749999999985</v>
      </c>
      <c r="F116" s="275">
        <f>-data!AA84</f>
        <v>0</v>
      </c>
      <c r="G116" s="275">
        <f>-data!AB84</f>
        <v>0</v>
      </c>
      <c r="H116" s="275">
        <f>-data!AC84</f>
        <v>-250</v>
      </c>
      <c r="I116" s="275">
        <f>-data!AD84</f>
        <v>0</v>
      </c>
    </row>
    <row r="117" spans="1:9" customFormat="1" ht="20.100000000000001" customHeight="1" x14ac:dyDescent="0.2">
      <c r="A117" s="274">
        <v>16</v>
      </c>
      <c r="B117" s="283" t="s">
        <v>1008</v>
      </c>
      <c r="C117" s="275">
        <f>data!X85</f>
        <v>3531295.6599999997</v>
      </c>
      <c r="D117" s="275">
        <f>data!Y85</f>
        <v>36775810.389999993</v>
      </c>
      <c r="E117" s="275">
        <f>data!Z85</f>
        <v>2876099.3200000003</v>
      </c>
      <c r="F117" s="275">
        <f>data!AA85</f>
        <v>1817047.5000000002</v>
      </c>
      <c r="G117" s="275">
        <f>data!AB85</f>
        <v>159743689.25999999</v>
      </c>
      <c r="H117" s="275">
        <f>data!AC85</f>
        <v>26755020.640000001</v>
      </c>
      <c r="I117" s="275">
        <f>data!AD85</f>
        <v>8704923.0200000014</v>
      </c>
    </row>
    <row r="118" spans="1:9" customFormat="1" ht="20.100000000000001" customHeight="1" x14ac:dyDescent="0.2">
      <c r="A118" s="274">
        <v>17</v>
      </c>
      <c r="B118" s="275" t="s">
        <v>284</v>
      </c>
      <c r="C118" s="285"/>
      <c r="D118" s="285"/>
      <c r="E118" s="285"/>
      <c r="F118" s="285"/>
      <c r="G118" s="285"/>
      <c r="H118" s="285"/>
      <c r="I118" s="285"/>
    </row>
    <row r="119" spans="1:9" customFormat="1" ht="20.100000000000001" customHeight="1" x14ac:dyDescent="0.2">
      <c r="A119" s="274">
        <v>18</v>
      </c>
      <c r="B119" s="275" t="s">
        <v>1009</v>
      </c>
      <c r="C119" s="283" t="e">
        <f>+data!M689</f>
        <v>#DIV/0!</v>
      </c>
      <c r="D119" s="283" t="e">
        <f>+data!M690</f>
        <v>#DIV/0!</v>
      </c>
      <c r="E119" s="283" t="e">
        <f>+data!M691</f>
        <v>#DIV/0!</v>
      </c>
      <c r="F119" s="283" t="e">
        <f>+data!M692</f>
        <v>#DIV/0!</v>
      </c>
      <c r="G119" s="283" t="e">
        <f>+data!M693</f>
        <v>#DIV/0!</v>
      </c>
      <c r="H119" s="283" t="e">
        <f>+data!M694</f>
        <v>#DIV/0!</v>
      </c>
      <c r="I119" s="283" t="e">
        <f>+data!M695</f>
        <v>#DIV/0!</v>
      </c>
    </row>
    <row r="120" spans="1:9" customFormat="1" ht="20.100000000000001" customHeight="1" x14ac:dyDescent="0.2">
      <c r="A120" s="274">
        <v>19</v>
      </c>
      <c r="B120" s="283" t="s">
        <v>1010</v>
      </c>
      <c r="C120" s="275">
        <f>data!X87</f>
        <v>13978903.25</v>
      </c>
      <c r="D120" s="275">
        <f>data!Y87</f>
        <v>68916215.590000004</v>
      </c>
      <c r="E120" s="275">
        <f>data!Z87</f>
        <v>4101084.1000000006</v>
      </c>
      <c r="F120" s="275">
        <f>data!AA87</f>
        <v>570027.75</v>
      </c>
      <c r="G120" s="275">
        <f>data!AB87</f>
        <v>282854776.39999998</v>
      </c>
      <c r="H120" s="275">
        <f>data!AC87</f>
        <v>19384822.800000001</v>
      </c>
      <c r="I120" s="275">
        <f>data!AD87</f>
        <v>19536824.599999998</v>
      </c>
    </row>
    <row r="121" spans="1:9" customFormat="1" ht="20.100000000000001" customHeight="1" x14ac:dyDescent="0.2">
      <c r="A121" s="274">
        <v>20</v>
      </c>
      <c r="B121" s="283" t="s">
        <v>1011</v>
      </c>
      <c r="C121" s="275">
        <f>data!X88</f>
        <v>24849766.100000001</v>
      </c>
      <c r="D121" s="275">
        <f>data!Y88</f>
        <v>144124938.18000001</v>
      </c>
      <c r="E121" s="275">
        <f>data!Z88</f>
        <v>792520.6</v>
      </c>
      <c r="F121" s="275">
        <f>data!AA88</f>
        <v>3755304.25</v>
      </c>
      <c r="G121" s="275">
        <f>data!AB88</f>
        <v>300152655</v>
      </c>
      <c r="H121" s="275">
        <f>data!AC88</f>
        <v>1936902.6</v>
      </c>
      <c r="I121" s="275">
        <f>data!AD88</f>
        <v>22696263.700000003</v>
      </c>
    </row>
    <row r="122" spans="1:9" customFormat="1" ht="20.100000000000001" customHeight="1" x14ac:dyDescent="0.2">
      <c r="A122" s="274">
        <v>21</v>
      </c>
      <c r="B122" s="283" t="s">
        <v>1012</v>
      </c>
      <c r="C122" s="275">
        <f>data!X89</f>
        <v>38828669.350000001</v>
      </c>
      <c r="D122" s="275">
        <f>data!Y89</f>
        <v>213041153.77000001</v>
      </c>
      <c r="E122" s="275">
        <f>data!Z89</f>
        <v>4893604.7</v>
      </c>
      <c r="F122" s="275">
        <f>data!AA89</f>
        <v>4325332</v>
      </c>
      <c r="G122" s="275">
        <f>data!AB89</f>
        <v>583007431.39999998</v>
      </c>
      <c r="H122" s="275">
        <f>data!AC89</f>
        <v>21321725.400000002</v>
      </c>
      <c r="I122" s="275">
        <f>data!AD89</f>
        <v>42233088.299999997</v>
      </c>
    </row>
    <row r="123" spans="1:9" customFormat="1" ht="20.100000000000001" customHeight="1" x14ac:dyDescent="0.2">
      <c r="A123" s="274" t="s">
        <v>1013</v>
      </c>
      <c r="B123" s="275"/>
      <c r="C123" s="285"/>
      <c r="D123" s="285"/>
      <c r="E123" s="285"/>
      <c r="F123" s="285"/>
      <c r="G123" s="285"/>
      <c r="H123" s="285"/>
      <c r="I123" s="285"/>
    </row>
    <row r="124" spans="1:9" customFormat="1" ht="20.100000000000001" customHeight="1" x14ac:dyDescent="0.2">
      <c r="A124" s="274">
        <v>22</v>
      </c>
      <c r="B124" s="275" t="s">
        <v>1014</v>
      </c>
      <c r="C124" s="275">
        <f>data!X90</f>
        <v>5162.6099731622535</v>
      </c>
      <c r="D124" s="275">
        <f>data!Y90</f>
        <v>68680.56339086451</v>
      </c>
      <c r="E124" s="275">
        <f>data!Z90</f>
        <v>3784.071060344731</v>
      </c>
      <c r="F124" s="275">
        <f>data!AA90</f>
        <v>2357.8944047964733</v>
      </c>
      <c r="G124" s="275">
        <f>data!AB90</f>
        <v>46919.929981897105</v>
      </c>
      <c r="H124" s="275">
        <f>data!AC90</f>
        <v>6700.3084003181893</v>
      </c>
      <c r="I124" s="275">
        <f>data!AD90</f>
        <v>14022.998307245804</v>
      </c>
    </row>
    <row r="125" spans="1:9" customFormat="1" ht="20.100000000000001" customHeight="1" x14ac:dyDescent="0.2">
      <c r="A125" s="274">
        <v>23</v>
      </c>
      <c r="B125" s="275" t="s">
        <v>1015</v>
      </c>
      <c r="C125" s="275">
        <f>data!X91</f>
        <v>0</v>
      </c>
      <c r="D125" s="275">
        <f>data!Y91</f>
        <v>0</v>
      </c>
      <c r="E125" s="275">
        <f>data!Z91</f>
        <v>0</v>
      </c>
      <c r="F125" s="275">
        <f>data!AA91</f>
        <v>0</v>
      </c>
      <c r="G125" s="275">
        <f>data!AB91</f>
        <v>0</v>
      </c>
      <c r="H125" s="275">
        <f>data!AC91</f>
        <v>0</v>
      </c>
      <c r="I125" s="275">
        <f>data!AD91</f>
        <v>0</v>
      </c>
    </row>
    <row r="126" spans="1:9" customFormat="1" ht="20.100000000000001" customHeight="1" x14ac:dyDescent="0.2">
      <c r="A126" s="274">
        <v>24</v>
      </c>
      <c r="B126" s="275" t="s">
        <v>1016</v>
      </c>
      <c r="C126" s="275">
        <f>data!X92</f>
        <v>453.61770088908418</v>
      </c>
      <c r="D126" s="275">
        <f>data!Y92</f>
        <v>7295.5810285771186</v>
      </c>
      <c r="E126" s="275">
        <f>data!Z92</f>
        <v>654.97435588511883</v>
      </c>
      <c r="F126" s="275">
        <f>data!AA92</f>
        <v>207.17866435838081</v>
      </c>
      <c r="G126" s="275">
        <f>data!AB92</f>
        <v>5971.3368352000407</v>
      </c>
      <c r="H126" s="275">
        <f>data!AC92</f>
        <v>588.72905518726316</v>
      </c>
      <c r="I126" s="275">
        <f>data!AD92</f>
        <v>2464.2885225776649</v>
      </c>
    </row>
    <row r="127" spans="1:9" customFormat="1" ht="20.100000000000001" customHeight="1" x14ac:dyDescent="0.2">
      <c r="A127" s="274">
        <v>25</v>
      </c>
      <c r="B127" s="275" t="s">
        <v>1017</v>
      </c>
      <c r="C127" s="275">
        <f>data!X93</f>
        <v>0</v>
      </c>
      <c r="D127" s="275">
        <f>data!Y93</f>
        <v>278191</v>
      </c>
      <c r="E127" s="275">
        <f>data!Z93</f>
        <v>0</v>
      </c>
      <c r="F127" s="275">
        <f>data!AA93</f>
        <v>0</v>
      </c>
      <c r="G127" s="275">
        <f>data!AB93</f>
        <v>14237</v>
      </c>
      <c r="H127" s="275">
        <f>data!AC93</f>
        <v>0</v>
      </c>
      <c r="I127" s="275">
        <f>data!AD93</f>
        <v>0</v>
      </c>
    </row>
    <row r="128" spans="1:9" customFormat="1" ht="20.100000000000001" customHeight="1" x14ac:dyDescent="0.2">
      <c r="A128" s="274">
        <v>26</v>
      </c>
      <c r="B128" s="275" t="s">
        <v>292</v>
      </c>
      <c r="C128" s="282">
        <f>data!X94</f>
        <v>0</v>
      </c>
      <c r="D128" s="282">
        <f>data!Y94</f>
        <v>19.5</v>
      </c>
      <c r="E128" s="282">
        <f>data!Z94</f>
        <v>0</v>
      </c>
      <c r="F128" s="282">
        <f>data!AA94</f>
        <v>0</v>
      </c>
      <c r="G128" s="282">
        <f>data!AB94</f>
        <v>0</v>
      </c>
      <c r="H128" s="282">
        <f>data!AC94</f>
        <v>0</v>
      </c>
      <c r="I128" s="282">
        <f>data!AD94</f>
        <v>25.64</v>
      </c>
    </row>
    <row r="129" spans="1:14" customFormat="1" ht="20.100000000000001" customHeight="1" x14ac:dyDescent="0.2">
      <c r="A129" s="268" t="s">
        <v>999</v>
      </c>
      <c r="B129" s="269"/>
      <c r="C129" s="269"/>
      <c r="D129" s="269"/>
      <c r="E129" s="269"/>
      <c r="F129" s="269"/>
      <c r="G129" s="269"/>
      <c r="H129" s="269"/>
      <c r="I129" s="268"/>
    </row>
    <row r="130" spans="1:14" customFormat="1" ht="20.100000000000001" customHeight="1" x14ac:dyDescent="0.2">
      <c r="D130" s="270"/>
      <c r="I130" s="271" t="s">
        <v>1030</v>
      </c>
    </row>
    <row r="131" spans="1:14" customFormat="1" ht="20.100000000000001" customHeight="1" x14ac:dyDescent="0.2">
      <c r="A131" s="270"/>
    </row>
    <row r="132" spans="1:14" customFormat="1" ht="20.100000000000001" customHeight="1" x14ac:dyDescent="0.2">
      <c r="A132" s="272" t="str">
        <f>"Hospital: "&amp;data!C98</f>
        <v>Hospital: Seattle Children's Hospital</v>
      </c>
      <c r="G132" s="273"/>
      <c r="H132" s="272" t="str">
        <f>"FYE: "&amp;data!C96</f>
        <v>FYE: 09/30/2024</v>
      </c>
    </row>
    <row r="133" spans="1:14" customFormat="1" ht="20.100000000000001" customHeight="1" x14ac:dyDescent="0.2">
      <c r="A133" s="274">
        <v>1</v>
      </c>
      <c r="B133" s="275" t="s">
        <v>234</v>
      </c>
      <c r="C133" s="277" t="s">
        <v>62</v>
      </c>
      <c r="D133" s="277" t="s">
        <v>63</v>
      </c>
      <c r="E133" s="277" t="s">
        <v>64</v>
      </c>
      <c r="F133" s="277" t="s">
        <v>65</v>
      </c>
      <c r="G133" s="277" t="s">
        <v>66</v>
      </c>
      <c r="H133" s="277" t="s">
        <v>67</v>
      </c>
      <c r="I133" s="277" t="s">
        <v>68</v>
      </c>
    </row>
    <row r="134" spans="1:14" customFormat="1" ht="20.100000000000001" customHeight="1" x14ac:dyDescent="0.2">
      <c r="A134" s="278">
        <v>2</v>
      </c>
      <c r="B134" s="279" t="s">
        <v>1001</v>
      </c>
      <c r="C134" s="281" t="s">
        <v>120</v>
      </c>
      <c r="D134" s="281" t="s">
        <v>121</v>
      </c>
      <c r="E134" s="281" t="s">
        <v>143</v>
      </c>
      <c r="F134" s="281"/>
      <c r="G134" s="281" t="s">
        <v>1031</v>
      </c>
      <c r="H134" s="281"/>
      <c r="I134" s="281" t="s">
        <v>147</v>
      </c>
    </row>
    <row r="135" spans="1:14" customFormat="1" ht="20.100000000000001" customHeight="1" x14ac:dyDescent="0.2">
      <c r="A135" s="278"/>
      <c r="B135" s="279"/>
      <c r="C135" s="281" t="s">
        <v>197</v>
      </c>
      <c r="D135" s="281" t="s">
        <v>204</v>
      </c>
      <c r="E135" s="281" t="s">
        <v>196</v>
      </c>
      <c r="F135" s="281" t="s">
        <v>144</v>
      </c>
      <c r="G135" s="281" t="s">
        <v>205</v>
      </c>
      <c r="H135" s="281" t="s">
        <v>146</v>
      </c>
      <c r="I135" s="281" t="s">
        <v>197</v>
      </c>
    </row>
    <row r="136" spans="1:14" customFormat="1" ht="20.100000000000001" customHeight="1" x14ac:dyDescent="0.2">
      <c r="A136" s="274">
        <v>3</v>
      </c>
      <c r="B136" s="275" t="s">
        <v>1005</v>
      </c>
      <c r="C136" s="277" t="s">
        <v>251</v>
      </c>
      <c r="D136" s="277" t="s">
        <v>253</v>
      </c>
      <c r="E136" s="277" t="s">
        <v>253</v>
      </c>
      <c r="F136" s="277" t="s">
        <v>254</v>
      </c>
      <c r="G136" s="276" t="s">
        <v>1032</v>
      </c>
      <c r="H136" s="277" t="s">
        <v>253</v>
      </c>
      <c r="I136" s="277" t="s">
        <v>251</v>
      </c>
    </row>
    <row r="137" spans="1:14" customFormat="1" ht="20.100000000000001" customHeight="1" x14ac:dyDescent="0.25">
      <c r="A137" s="274">
        <v>4</v>
      </c>
      <c r="B137" s="275" t="s">
        <v>259</v>
      </c>
      <c r="C137" s="275">
        <f>data!AE59</f>
        <v>193002</v>
      </c>
      <c r="D137" s="275">
        <f>data!AF59</f>
        <v>0</v>
      </c>
      <c r="E137" s="275">
        <f>data!AG59</f>
        <v>114310</v>
      </c>
      <c r="F137" s="275">
        <f>data!AH59</f>
        <v>0</v>
      </c>
      <c r="G137" s="275">
        <f>data!AI59</f>
        <v>0</v>
      </c>
      <c r="H137" s="275">
        <f>data!AJ59</f>
        <v>973</v>
      </c>
      <c r="I137" s="275">
        <f>data!AK59</f>
        <v>74242</v>
      </c>
      <c r="K137" s="286"/>
      <c r="L137" s="288"/>
      <c r="M137" s="288"/>
      <c r="N137" s="288"/>
    </row>
    <row r="138" spans="1:14" customFormat="1" ht="20.100000000000001" customHeight="1" x14ac:dyDescent="0.2">
      <c r="A138" s="274">
        <v>5</v>
      </c>
      <c r="B138" s="275" t="s">
        <v>260</v>
      </c>
      <c r="C138" s="282">
        <f>data!AE60</f>
        <v>98.636339728859895</v>
      </c>
      <c r="D138" s="282">
        <f>data!AF60</f>
        <v>171.85498266594092</v>
      </c>
      <c r="E138" s="282">
        <f>data!AG60</f>
        <v>213.91728246263045</v>
      </c>
      <c r="F138" s="282">
        <f>data!AH60</f>
        <v>25.78695996416209</v>
      </c>
      <c r="G138" s="282">
        <f>data!AI60</f>
        <v>0</v>
      </c>
      <c r="H138" s="282">
        <f>data!AJ60</f>
        <v>1224.5001800735029</v>
      </c>
      <c r="I138" s="282">
        <f>data!AK60</f>
        <v>28.634798112026097</v>
      </c>
    </row>
    <row r="139" spans="1:14" customFormat="1" ht="20.100000000000001" customHeight="1" x14ac:dyDescent="0.2">
      <c r="A139" s="274">
        <v>6</v>
      </c>
      <c r="B139" s="275" t="s">
        <v>261</v>
      </c>
      <c r="C139" s="275">
        <f>data!AE61</f>
        <v>12420228.530000001</v>
      </c>
      <c r="D139" s="275">
        <f>data!AF61</f>
        <v>19547668.029999997</v>
      </c>
      <c r="E139" s="275">
        <f>data!AG61</f>
        <v>21997284.870000001</v>
      </c>
      <c r="F139" s="275">
        <f>data!AH61</f>
        <v>4051960.88</v>
      </c>
      <c r="G139" s="275">
        <f>data!AI61</f>
        <v>0</v>
      </c>
      <c r="H139" s="275">
        <f>data!AJ61</f>
        <v>152749959.31999999</v>
      </c>
      <c r="I139" s="275">
        <f>data!AK61</f>
        <v>3358150.3699999996</v>
      </c>
    </row>
    <row r="140" spans="1:14" customFormat="1" ht="20.100000000000001" customHeight="1" x14ac:dyDescent="0.2">
      <c r="A140" s="274">
        <v>7</v>
      </c>
      <c r="B140" s="275" t="s">
        <v>9</v>
      </c>
      <c r="C140" s="275">
        <f>data!AE62</f>
        <v>3414470</v>
      </c>
      <c r="D140" s="275">
        <f>data!AF62</f>
        <v>5373888</v>
      </c>
      <c r="E140" s="275">
        <f>data!AG62</f>
        <v>6047317</v>
      </c>
      <c r="F140" s="275">
        <f>data!AH62</f>
        <v>1113933</v>
      </c>
      <c r="G140" s="275">
        <f>data!AI62</f>
        <v>0</v>
      </c>
      <c r="H140" s="275">
        <f>data!AJ62</f>
        <v>41992795</v>
      </c>
      <c r="I140" s="275">
        <f>data!AK62</f>
        <v>923196</v>
      </c>
    </row>
    <row r="141" spans="1:14" customFormat="1" ht="20.100000000000001" customHeight="1" x14ac:dyDescent="0.2">
      <c r="A141" s="274">
        <v>8</v>
      </c>
      <c r="B141" s="275" t="s">
        <v>262</v>
      </c>
      <c r="C141" s="275">
        <f>data!AE63</f>
        <v>0</v>
      </c>
      <c r="D141" s="275">
        <f>data!AF63</f>
        <v>1511263.41</v>
      </c>
      <c r="E141" s="275">
        <f>data!AG63</f>
        <v>749444.4</v>
      </c>
      <c r="F141" s="275">
        <f>data!AH63</f>
        <v>0</v>
      </c>
      <c r="G141" s="275">
        <f>data!AI63</f>
        <v>0</v>
      </c>
      <c r="H141" s="275">
        <f>data!AJ63</f>
        <v>3840804.2799999993</v>
      </c>
      <c r="I141" s="275">
        <f>data!AK63</f>
        <v>0</v>
      </c>
    </row>
    <row r="142" spans="1:14" customFormat="1" ht="20.100000000000001" customHeight="1" x14ac:dyDescent="0.2">
      <c r="A142" s="274">
        <v>9</v>
      </c>
      <c r="B142" s="275" t="s">
        <v>263</v>
      </c>
      <c r="C142" s="275">
        <f>data!AE64</f>
        <v>87226.71</v>
      </c>
      <c r="D142" s="275">
        <f>data!AF64</f>
        <v>176747.74</v>
      </c>
      <c r="E142" s="275">
        <f>data!AG64</f>
        <v>2513457.7400000002</v>
      </c>
      <c r="F142" s="275">
        <f>data!AH64</f>
        <v>115210.90000000001</v>
      </c>
      <c r="G142" s="275">
        <f>data!AI64</f>
        <v>0</v>
      </c>
      <c r="H142" s="275">
        <f>data!AJ64</f>
        <v>5205877.6300000008</v>
      </c>
      <c r="I142" s="275">
        <f>data!AK64</f>
        <v>137754.68</v>
      </c>
    </row>
    <row r="143" spans="1:14" customFormat="1" ht="20.100000000000001" customHeight="1" x14ac:dyDescent="0.2">
      <c r="A143" s="274">
        <v>10</v>
      </c>
      <c r="B143" s="275" t="s">
        <v>525</v>
      </c>
      <c r="C143" s="275">
        <f>data!AE65</f>
        <v>0</v>
      </c>
      <c r="D143" s="275">
        <f>data!AF65</f>
        <v>0</v>
      </c>
      <c r="E143" s="275">
        <f>data!AG65</f>
        <v>0</v>
      </c>
      <c r="F143" s="275">
        <f>data!AH65</f>
        <v>0</v>
      </c>
      <c r="G143" s="275">
        <f>data!AI65</f>
        <v>0</v>
      </c>
      <c r="H143" s="275">
        <f>data!AJ65</f>
        <v>0</v>
      </c>
      <c r="I143" s="275">
        <f>data!AK65</f>
        <v>0</v>
      </c>
    </row>
    <row r="144" spans="1:14" customFormat="1" ht="20.100000000000001" customHeight="1" x14ac:dyDescent="0.2">
      <c r="A144" s="274">
        <v>11</v>
      </c>
      <c r="B144" s="275" t="s">
        <v>526</v>
      </c>
      <c r="C144" s="275">
        <f>data!AE66</f>
        <v>373328.52</v>
      </c>
      <c r="D144" s="275">
        <f>data!AF66</f>
        <v>72844.079999999987</v>
      </c>
      <c r="E144" s="275">
        <f>data!AG66</f>
        <v>83514.45</v>
      </c>
      <c r="F144" s="275">
        <f>data!AH66</f>
        <v>729008.41</v>
      </c>
      <c r="G144" s="275">
        <f>data!AI66</f>
        <v>0</v>
      </c>
      <c r="H144" s="275">
        <f>data!AJ66</f>
        <v>5583641.2399999984</v>
      </c>
      <c r="I144" s="275">
        <f>data!AK66</f>
        <v>178.57</v>
      </c>
    </row>
    <row r="145" spans="1:9" customFormat="1" ht="20.100000000000001" customHeight="1" x14ac:dyDescent="0.2">
      <c r="A145" s="274">
        <v>12</v>
      </c>
      <c r="B145" s="275" t="s">
        <v>14</v>
      </c>
      <c r="C145" s="275">
        <f>data!AE67</f>
        <v>1152174</v>
      </c>
      <c r="D145" s="275">
        <f>data!AF67</f>
        <v>4184316</v>
      </c>
      <c r="E145" s="275">
        <f>data!AG67</f>
        <v>6297932</v>
      </c>
      <c r="F145" s="275">
        <f>data!AH67</f>
        <v>6875653</v>
      </c>
      <c r="G145" s="275">
        <f>data!AI67</f>
        <v>0</v>
      </c>
      <c r="H145" s="275">
        <f>data!AJ67</f>
        <v>29631336</v>
      </c>
      <c r="I145" s="275">
        <f>data!AK67</f>
        <v>610614</v>
      </c>
    </row>
    <row r="146" spans="1:9" customFormat="1" ht="20.100000000000001" customHeight="1" x14ac:dyDescent="0.2">
      <c r="A146" s="274">
        <v>13</v>
      </c>
      <c r="B146" s="275" t="s">
        <v>1006</v>
      </c>
      <c r="C146" s="275">
        <f>data!AE68</f>
        <v>0</v>
      </c>
      <c r="D146" s="275">
        <f>data!AF68</f>
        <v>0</v>
      </c>
      <c r="E146" s="275">
        <f>data!AG68</f>
        <v>0</v>
      </c>
      <c r="F146" s="275">
        <f>data!AH68</f>
        <v>0</v>
      </c>
      <c r="G146" s="275">
        <f>data!AI68</f>
        <v>0</v>
      </c>
      <c r="H146" s="275">
        <f>data!AJ68</f>
        <v>1604543.7600000002</v>
      </c>
      <c r="I146" s="275">
        <f>data!AK68</f>
        <v>0</v>
      </c>
    </row>
    <row r="147" spans="1:9" customFormat="1" ht="20.100000000000001" customHeight="1" x14ac:dyDescent="0.2">
      <c r="A147" s="274">
        <v>14</v>
      </c>
      <c r="B147" s="275" t="s">
        <v>1007</v>
      </c>
      <c r="C147" s="275">
        <f>data!AE69</f>
        <v>2024481.34</v>
      </c>
      <c r="D147" s="275">
        <f>data!AF69</f>
        <v>272325.83999999997</v>
      </c>
      <c r="E147" s="275">
        <f>data!AG69</f>
        <v>4992125.6000000006</v>
      </c>
      <c r="F147" s="275">
        <f>data!AH69</f>
        <v>44991.649999999994</v>
      </c>
      <c r="G147" s="275">
        <f>data!AI69</f>
        <v>0</v>
      </c>
      <c r="H147" s="275">
        <f>data!AJ69</f>
        <v>3653626.2999999989</v>
      </c>
      <c r="I147" s="275">
        <f>data!AK69</f>
        <v>8651.51</v>
      </c>
    </row>
    <row r="148" spans="1:9" customFormat="1" ht="20.100000000000001" customHeight="1" x14ac:dyDescent="0.2">
      <c r="A148" s="274">
        <v>15</v>
      </c>
      <c r="B148" s="275" t="s">
        <v>282</v>
      </c>
      <c r="C148" s="275">
        <f>-data!AE84</f>
        <v>0</v>
      </c>
      <c r="D148" s="275">
        <f>-data!AF84</f>
        <v>-2537686.0100000002</v>
      </c>
      <c r="E148" s="275">
        <f>-data!AG84</f>
        <v>-469675.00000000006</v>
      </c>
      <c r="F148" s="275">
        <f>-data!AH84</f>
        <v>-1011535.4999999998</v>
      </c>
      <c r="G148" s="275">
        <f>-data!AI84</f>
        <v>0</v>
      </c>
      <c r="H148" s="275">
        <f>-data!AJ84</f>
        <v>-9292356.6600000001</v>
      </c>
      <c r="I148" s="275">
        <f>-data!AK84</f>
        <v>0</v>
      </c>
    </row>
    <row r="149" spans="1:9" customFormat="1" ht="20.100000000000001" customHeight="1" x14ac:dyDescent="0.2">
      <c r="A149" s="274">
        <v>16</v>
      </c>
      <c r="B149" s="283" t="s">
        <v>1008</v>
      </c>
      <c r="C149" s="275">
        <f>data!AE85</f>
        <v>19471909.100000001</v>
      </c>
      <c r="D149" s="275">
        <f>data!AF85</f>
        <v>28601367.089999992</v>
      </c>
      <c r="E149" s="275">
        <f>data!AG85</f>
        <v>42211401.059999995</v>
      </c>
      <c r="F149" s="275">
        <f>data!AH85</f>
        <v>11919222.340000002</v>
      </c>
      <c r="G149" s="275">
        <f>data!AI85</f>
        <v>0</v>
      </c>
      <c r="H149" s="275">
        <f>data!AJ85</f>
        <v>234970226.87</v>
      </c>
      <c r="I149" s="275">
        <f>data!AK85</f>
        <v>5038545.129999999</v>
      </c>
    </row>
    <row r="150" spans="1:9" customFormat="1" ht="20.100000000000001" customHeight="1" x14ac:dyDescent="0.2">
      <c r="A150" s="274">
        <v>17</v>
      </c>
      <c r="B150" s="275" t="s">
        <v>284</v>
      </c>
      <c r="C150" s="285"/>
      <c r="D150" s="285"/>
      <c r="E150" s="285"/>
      <c r="F150" s="285"/>
      <c r="G150" s="285"/>
      <c r="H150" s="285"/>
      <c r="I150" s="285"/>
    </row>
    <row r="151" spans="1:9" customFormat="1" ht="20.100000000000001" customHeight="1" x14ac:dyDescent="0.2">
      <c r="A151" s="274">
        <v>18</v>
      </c>
      <c r="B151" s="275" t="s">
        <v>1009</v>
      </c>
      <c r="C151" s="283" t="e">
        <f>+data!M696</f>
        <v>#DIV/0!</v>
      </c>
      <c r="D151" s="283" t="e">
        <f>+data!M697</f>
        <v>#DIV/0!</v>
      </c>
      <c r="E151" s="283" t="e">
        <f>+data!M698</f>
        <v>#DIV/0!</v>
      </c>
      <c r="F151" s="283" t="e">
        <f>+data!M699</f>
        <v>#DIV/0!</v>
      </c>
      <c r="G151" s="283" t="e">
        <f>+data!M700</f>
        <v>#DIV/0!</v>
      </c>
      <c r="H151" s="283" t="e">
        <f>+data!M701</f>
        <v>#DIV/0!</v>
      </c>
      <c r="I151" s="283" t="e">
        <f>+data!M702</f>
        <v>#DIV/0!</v>
      </c>
    </row>
    <row r="152" spans="1:9" customFormat="1" ht="20.100000000000001" customHeight="1" x14ac:dyDescent="0.2">
      <c r="A152" s="274">
        <v>19</v>
      </c>
      <c r="B152" s="283" t="s">
        <v>1010</v>
      </c>
      <c r="C152" s="275">
        <f>data!AE87</f>
        <v>6336735.9999999991</v>
      </c>
      <c r="D152" s="275">
        <f>data!AF87</f>
        <v>2265422.2000000002</v>
      </c>
      <c r="E152" s="275">
        <f>data!AG87</f>
        <v>31154913.500000004</v>
      </c>
      <c r="F152" s="275">
        <f>data!AH87</f>
        <v>1308901.5999999999</v>
      </c>
      <c r="G152" s="275">
        <f>data!AI87</f>
        <v>0</v>
      </c>
      <c r="H152" s="275">
        <f>data!AJ87</f>
        <v>4896640.9100000011</v>
      </c>
      <c r="I152" s="275">
        <f>data!AK87</f>
        <v>7091859.2500000009</v>
      </c>
    </row>
    <row r="153" spans="1:9" customFormat="1" ht="20.100000000000001" customHeight="1" x14ac:dyDescent="0.2">
      <c r="A153" s="274">
        <v>20</v>
      </c>
      <c r="B153" s="283" t="s">
        <v>1011</v>
      </c>
      <c r="C153" s="275">
        <f>data!AE88</f>
        <v>20361409.999999996</v>
      </c>
      <c r="D153" s="275">
        <f>data!AF88</f>
        <v>18191759.619999997</v>
      </c>
      <c r="E153" s="275">
        <f>data!AG88</f>
        <v>135650649.90000001</v>
      </c>
      <c r="F153" s="275">
        <f>data!AH88</f>
        <v>295153.8</v>
      </c>
      <c r="G153" s="275">
        <f>data!AI88</f>
        <v>0</v>
      </c>
      <c r="H153" s="275">
        <f>data!AJ88</f>
        <v>203373752.75999999</v>
      </c>
      <c r="I153" s="275">
        <f>data!AK88</f>
        <v>3541374.6400000006</v>
      </c>
    </row>
    <row r="154" spans="1:9" customFormat="1" ht="20.100000000000001" customHeight="1" x14ac:dyDescent="0.2">
      <c r="A154" s="274">
        <v>21</v>
      </c>
      <c r="B154" s="283" t="s">
        <v>1012</v>
      </c>
      <c r="C154" s="275">
        <f>data!AE89</f>
        <v>26698145.999999996</v>
      </c>
      <c r="D154" s="275">
        <f>data!AF89</f>
        <v>20457181.819999997</v>
      </c>
      <c r="E154" s="275">
        <f>data!AG89</f>
        <v>166805563.40000001</v>
      </c>
      <c r="F154" s="275">
        <f>data!AH89</f>
        <v>1604055.4</v>
      </c>
      <c r="G154" s="275">
        <f>data!AI89</f>
        <v>0</v>
      </c>
      <c r="H154" s="275">
        <f>data!AJ89</f>
        <v>208270393.66999999</v>
      </c>
      <c r="I154" s="275">
        <f>data!AK89</f>
        <v>10633233.890000001</v>
      </c>
    </row>
    <row r="155" spans="1:9" customFormat="1" ht="20.100000000000001" customHeight="1" x14ac:dyDescent="0.2">
      <c r="A155" s="274" t="s">
        <v>1013</v>
      </c>
      <c r="B155" s="275"/>
      <c r="C155" s="285"/>
      <c r="D155" s="285"/>
      <c r="E155" s="285"/>
      <c r="F155" s="285"/>
      <c r="G155" s="285"/>
      <c r="H155" s="285"/>
      <c r="I155" s="285"/>
    </row>
    <row r="156" spans="1:9" customFormat="1" ht="20.100000000000001" customHeight="1" x14ac:dyDescent="0.2">
      <c r="A156" s="274">
        <v>22</v>
      </c>
      <c r="B156" s="275" t="s">
        <v>1014</v>
      </c>
      <c r="C156" s="275">
        <f>data!AE90</f>
        <v>11296.93</v>
      </c>
      <c r="D156" s="275">
        <f>data!AF90</f>
        <v>41026.743709207061</v>
      </c>
      <c r="E156" s="275">
        <f>data!AG90</f>
        <v>61750.503212063115</v>
      </c>
      <c r="F156" s="275">
        <f>data!AH90</f>
        <v>67414.993907057811</v>
      </c>
      <c r="G156" s="275">
        <f>data!AI90</f>
        <v>0</v>
      </c>
      <c r="H156" s="275">
        <f>data!AJ90</f>
        <v>290531.86865620897</v>
      </c>
      <c r="I156" s="275">
        <f>data!AK90</f>
        <v>5986.9979176205361</v>
      </c>
    </row>
    <row r="157" spans="1:9" customFormat="1" ht="20.100000000000001" customHeight="1" x14ac:dyDescent="0.2">
      <c r="A157" s="274">
        <v>23</v>
      </c>
      <c r="B157" s="275" t="s">
        <v>1015</v>
      </c>
      <c r="C157" s="275">
        <f>data!AE91</f>
        <v>0</v>
      </c>
      <c r="D157" s="275">
        <f>data!AF91</f>
        <v>0</v>
      </c>
      <c r="E157" s="275">
        <f>data!AG91</f>
        <v>0</v>
      </c>
      <c r="F157" s="275">
        <f>data!AH91</f>
        <v>0</v>
      </c>
      <c r="G157" s="275">
        <f>data!AI91</f>
        <v>0</v>
      </c>
      <c r="H157" s="275">
        <f>data!AJ91</f>
        <v>0</v>
      </c>
      <c r="I157" s="275">
        <f>data!AK91</f>
        <v>0</v>
      </c>
    </row>
    <row r="158" spans="1:9" customFormat="1" ht="20.100000000000001" customHeight="1" x14ac:dyDescent="0.2">
      <c r="A158" s="274">
        <v>24</v>
      </c>
      <c r="B158" s="275" t="s">
        <v>1016</v>
      </c>
      <c r="C158" s="275">
        <f>data!AE92</f>
        <v>6879.390596843019</v>
      </c>
      <c r="D158" s="275">
        <f>data!AF92</f>
        <v>6571.9426927327595</v>
      </c>
      <c r="E158" s="275">
        <f>data!AG92</f>
        <v>5923.4834125653706</v>
      </c>
      <c r="F158" s="275">
        <f>data!AH92</f>
        <v>309.25563200641955</v>
      </c>
      <c r="G158" s="275">
        <f>data!AI92</f>
        <v>0</v>
      </c>
      <c r="H158" s="275">
        <f>data!AJ92</f>
        <v>48794.6603914445</v>
      </c>
      <c r="I158" s="275">
        <f>data!AK92</f>
        <v>703.84528695236963</v>
      </c>
    </row>
    <row r="159" spans="1:9" customFormat="1" ht="20.100000000000001" customHeight="1" x14ac:dyDescent="0.2">
      <c r="A159" s="274">
        <v>25</v>
      </c>
      <c r="B159" s="275" t="s">
        <v>1017</v>
      </c>
      <c r="C159" s="275">
        <f>data!AE93</f>
        <v>0</v>
      </c>
      <c r="D159" s="275">
        <f>data!AF93</f>
        <v>0</v>
      </c>
      <c r="E159" s="275">
        <f>data!AG93</f>
        <v>85116</v>
      </c>
      <c r="F159" s="275">
        <f>data!AH93</f>
        <v>0</v>
      </c>
      <c r="G159" s="275">
        <f>data!AI93</f>
        <v>0</v>
      </c>
      <c r="H159" s="275">
        <f>data!AJ93</f>
        <v>102208</v>
      </c>
      <c r="I159" s="275">
        <f>data!AK93</f>
        <v>0</v>
      </c>
    </row>
    <row r="160" spans="1:9" customFormat="1" ht="20.100000000000001" customHeight="1" x14ac:dyDescent="0.2">
      <c r="A160" s="274">
        <v>26</v>
      </c>
      <c r="B160" s="275" t="s">
        <v>292</v>
      </c>
      <c r="C160" s="282">
        <f>data!AE94</f>
        <v>0</v>
      </c>
      <c r="D160" s="282">
        <f>data!AF94</f>
        <v>7.17</v>
      </c>
      <c r="E160" s="282">
        <f>data!AG94</f>
        <v>67.41</v>
      </c>
      <c r="F160" s="282">
        <f>data!AH94</f>
        <v>11.05</v>
      </c>
      <c r="G160" s="282">
        <f>data!AI94</f>
        <v>0</v>
      </c>
      <c r="H160" s="282">
        <f>data!AJ94</f>
        <v>300.24</v>
      </c>
      <c r="I160" s="282">
        <f>data!AK94</f>
        <v>0</v>
      </c>
    </row>
    <row r="161" spans="1:9" customFormat="1" ht="20.100000000000001" customHeight="1" x14ac:dyDescent="0.2">
      <c r="A161" s="268" t="s">
        <v>999</v>
      </c>
      <c r="B161" s="269"/>
      <c r="C161" s="269"/>
      <c r="D161" s="269"/>
      <c r="E161" s="269"/>
      <c r="F161" s="269"/>
      <c r="G161" s="269"/>
      <c r="H161" s="269"/>
      <c r="I161" s="268"/>
    </row>
    <row r="162" spans="1:9" customFormat="1" ht="20.100000000000001" customHeight="1" x14ac:dyDescent="0.2">
      <c r="D162" s="270"/>
      <c r="I162" s="271" t="s">
        <v>1033</v>
      </c>
    </row>
    <row r="163" spans="1:9" customFormat="1" ht="20.100000000000001" customHeight="1" x14ac:dyDescent="0.2">
      <c r="A163" s="270"/>
    </row>
    <row r="164" spans="1:9" customFormat="1" ht="20.100000000000001" customHeight="1" x14ac:dyDescent="0.2">
      <c r="A164" s="272" t="str">
        <f>"Hospital: "&amp;data!C98</f>
        <v>Hospital: Seattle Children's Hospital</v>
      </c>
      <c r="G164" s="273"/>
      <c r="H164" s="272" t="str">
        <f>"FYE: "&amp;data!C96</f>
        <v>FYE: 09/30/2024</v>
      </c>
    </row>
    <row r="165" spans="1:9" customFormat="1" ht="20.100000000000001" customHeight="1" x14ac:dyDescent="0.2">
      <c r="A165" s="274">
        <v>1</v>
      </c>
      <c r="B165" s="275" t="s">
        <v>234</v>
      </c>
      <c r="C165" s="277" t="s">
        <v>69</v>
      </c>
      <c r="D165" s="277" t="s">
        <v>70</v>
      </c>
      <c r="E165" s="277" t="s">
        <v>71</v>
      </c>
      <c r="F165" s="277" t="s">
        <v>72</v>
      </c>
      <c r="G165" s="277" t="s">
        <v>73</v>
      </c>
      <c r="H165" s="277" t="s">
        <v>74</v>
      </c>
      <c r="I165" s="277" t="s">
        <v>75</v>
      </c>
    </row>
    <row r="166" spans="1:9" customFormat="1" ht="20.100000000000001" customHeight="1" x14ac:dyDescent="0.2">
      <c r="A166" s="278">
        <v>2</v>
      </c>
      <c r="B166" s="279" t="s">
        <v>1001</v>
      </c>
      <c r="C166" s="281" t="s">
        <v>148</v>
      </c>
      <c r="D166" s="281" t="s">
        <v>149</v>
      </c>
      <c r="E166" s="281" t="s">
        <v>135</v>
      </c>
      <c r="F166" s="281" t="s">
        <v>150</v>
      </c>
      <c r="G166" s="281" t="s">
        <v>1034</v>
      </c>
      <c r="H166" s="281" t="s">
        <v>152</v>
      </c>
      <c r="I166" s="281" t="s">
        <v>153</v>
      </c>
    </row>
    <row r="167" spans="1:9" customFormat="1" ht="20.100000000000001" customHeight="1" x14ac:dyDescent="0.2">
      <c r="A167" s="278"/>
      <c r="B167" s="279"/>
      <c r="C167" s="281" t="s">
        <v>197</v>
      </c>
      <c r="D167" s="281" t="s">
        <v>197</v>
      </c>
      <c r="E167" s="281" t="s">
        <v>1035</v>
      </c>
      <c r="F167" s="281" t="s">
        <v>207</v>
      </c>
      <c r="G167" s="281" t="s">
        <v>146</v>
      </c>
      <c r="H167" s="280" t="s">
        <v>1036</v>
      </c>
      <c r="I167" s="281" t="s">
        <v>194</v>
      </c>
    </row>
    <row r="168" spans="1:9" customFormat="1" ht="20.100000000000001" customHeight="1" x14ac:dyDescent="0.2">
      <c r="A168" s="274">
        <v>3</v>
      </c>
      <c r="B168" s="275" t="s">
        <v>1005</v>
      </c>
      <c r="C168" s="277" t="s">
        <v>251</v>
      </c>
      <c r="D168" s="277" t="s">
        <v>251</v>
      </c>
      <c r="E168" s="277" t="s">
        <v>242</v>
      </c>
      <c r="F168" s="277" t="s">
        <v>252</v>
      </c>
      <c r="G168" s="277" t="s">
        <v>253</v>
      </c>
      <c r="H168" s="277" t="s">
        <v>254</v>
      </c>
      <c r="I168" s="277" t="s">
        <v>253</v>
      </c>
    </row>
    <row r="169" spans="1:9" customFormat="1" ht="20.100000000000001" customHeight="1" x14ac:dyDescent="0.2">
      <c r="A169" s="274">
        <v>4</v>
      </c>
      <c r="B169" s="275" t="s">
        <v>259</v>
      </c>
      <c r="C169" s="275">
        <f>data!AL59</f>
        <v>64481</v>
      </c>
      <c r="D169" s="275">
        <f>data!AM59</f>
        <v>0</v>
      </c>
      <c r="E169" s="275">
        <f>data!AN59</f>
        <v>0</v>
      </c>
      <c r="F169" s="275">
        <f>data!AO59</f>
        <v>0</v>
      </c>
      <c r="G169" s="275">
        <f>data!AP59</f>
        <v>0</v>
      </c>
      <c r="H169" s="275">
        <f>data!AQ59</f>
        <v>0</v>
      </c>
      <c r="I169" s="275">
        <f>data!AR59</f>
        <v>0</v>
      </c>
    </row>
    <row r="170" spans="1:9" customFormat="1" ht="20.100000000000001" customHeight="1" x14ac:dyDescent="0.2">
      <c r="A170" s="274">
        <v>5</v>
      </c>
      <c r="B170" s="275" t="s">
        <v>260</v>
      </c>
      <c r="C170" s="282">
        <f>data!AL60</f>
        <v>22.813417639127753</v>
      </c>
      <c r="D170" s="282">
        <f>data!AM60</f>
        <v>42.127374444601635</v>
      </c>
      <c r="E170" s="282">
        <f>data!AN60</f>
        <v>0</v>
      </c>
      <c r="F170" s="282">
        <f>data!AO60</f>
        <v>0</v>
      </c>
      <c r="G170" s="282">
        <f>data!AP60</f>
        <v>0</v>
      </c>
      <c r="H170" s="282">
        <f>data!AQ60</f>
        <v>1.3221153846153847E-3</v>
      </c>
      <c r="I170" s="282">
        <f>data!AR60</f>
        <v>63.768855677987638</v>
      </c>
    </row>
    <row r="171" spans="1:9" customFormat="1" ht="20.100000000000001" customHeight="1" x14ac:dyDescent="0.2">
      <c r="A171" s="274">
        <v>6</v>
      </c>
      <c r="B171" s="275" t="s">
        <v>261</v>
      </c>
      <c r="C171" s="275">
        <f>data!AL61</f>
        <v>2786255.4800000004</v>
      </c>
      <c r="D171" s="275">
        <f>data!AM61</f>
        <v>3911010.8800000004</v>
      </c>
      <c r="E171" s="275">
        <f>data!AN61</f>
        <v>0</v>
      </c>
      <c r="F171" s="275">
        <f>data!AO61</f>
        <v>0</v>
      </c>
      <c r="G171" s="275">
        <f>data!AP61</f>
        <v>0</v>
      </c>
      <c r="H171" s="275">
        <f>data!AQ61</f>
        <v>195.2</v>
      </c>
      <c r="I171" s="275">
        <f>data!AR61</f>
        <v>7244350.3199999994</v>
      </c>
    </row>
    <row r="172" spans="1:9" customFormat="1" ht="20.100000000000001" customHeight="1" x14ac:dyDescent="0.2">
      <c r="A172" s="274">
        <v>7</v>
      </c>
      <c r="B172" s="275" t="s">
        <v>9</v>
      </c>
      <c r="C172" s="275">
        <f>data!AL62</f>
        <v>765975</v>
      </c>
      <c r="D172" s="275">
        <f>data!AM62</f>
        <v>1075184</v>
      </c>
      <c r="E172" s="275">
        <f>data!AN62</f>
        <v>0</v>
      </c>
      <c r="F172" s="275">
        <f>data!AO62</f>
        <v>0</v>
      </c>
      <c r="G172" s="275">
        <f>data!AP62</f>
        <v>0</v>
      </c>
      <c r="H172" s="275">
        <f>data!AQ62</f>
        <v>54</v>
      </c>
      <c r="I172" s="275">
        <f>data!AR62</f>
        <v>1991559</v>
      </c>
    </row>
    <row r="173" spans="1:9" customFormat="1" ht="20.100000000000001" customHeight="1" x14ac:dyDescent="0.2">
      <c r="A173" s="274">
        <v>8</v>
      </c>
      <c r="B173" s="275" t="s">
        <v>262</v>
      </c>
      <c r="C173" s="275">
        <f>data!AL63</f>
        <v>-2811.4900000000075</v>
      </c>
      <c r="D173" s="275">
        <f>data!AM63</f>
        <v>0</v>
      </c>
      <c r="E173" s="275">
        <f>data!AN63</f>
        <v>0</v>
      </c>
      <c r="F173" s="275">
        <f>data!AO63</f>
        <v>0</v>
      </c>
      <c r="G173" s="275">
        <f>data!AP63</f>
        <v>0</v>
      </c>
      <c r="H173" s="275">
        <f>data!AQ63</f>
        <v>0</v>
      </c>
      <c r="I173" s="275">
        <f>data!AR63</f>
        <v>0</v>
      </c>
    </row>
    <row r="174" spans="1:9" customFormat="1" ht="20.100000000000001" customHeight="1" x14ac:dyDescent="0.2">
      <c r="A174" s="274">
        <v>9</v>
      </c>
      <c r="B174" s="275" t="s">
        <v>263</v>
      </c>
      <c r="C174" s="275">
        <f>data!AL64</f>
        <v>51863.399999999994</v>
      </c>
      <c r="D174" s="275">
        <f>data!AM64</f>
        <v>17508.63</v>
      </c>
      <c r="E174" s="275">
        <f>data!AN64</f>
        <v>0</v>
      </c>
      <c r="F174" s="275">
        <f>data!AO64</f>
        <v>0</v>
      </c>
      <c r="G174" s="275">
        <f>data!AP64</f>
        <v>0</v>
      </c>
      <c r="H174" s="275">
        <f>data!AQ64</f>
        <v>0</v>
      </c>
      <c r="I174" s="275">
        <f>data!AR64</f>
        <v>12495481.399999999</v>
      </c>
    </row>
    <row r="175" spans="1:9" customFormat="1" ht="20.100000000000001" customHeight="1" x14ac:dyDescent="0.2">
      <c r="A175" s="274">
        <v>10</v>
      </c>
      <c r="B175" s="275" t="s">
        <v>525</v>
      </c>
      <c r="C175" s="275">
        <f>data!AL65</f>
        <v>0</v>
      </c>
      <c r="D175" s="275">
        <f>data!AM65</f>
        <v>0</v>
      </c>
      <c r="E175" s="275">
        <f>data!AN65</f>
        <v>0</v>
      </c>
      <c r="F175" s="275">
        <f>data!AO65</f>
        <v>0</v>
      </c>
      <c r="G175" s="275">
        <f>data!AP65</f>
        <v>0</v>
      </c>
      <c r="H175" s="275">
        <f>data!AQ65</f>
        <v>0</v>
      </c>
      <c r="I175" s="275">
        <f>data!AR65</f>
        <v>0</v>
      </c>
    </row>
    <row r="176" spans="1:9" customFormat="1" ht="20.100000000000001" customHeight="1" x14ac:dyDescent="0.2">
      <c r="A176" s="274">
        <v>11</v>
      </c>
      <c r="B176" s="275" t="s">
        <v>526</v>
      </c>
      <c r="C176" s="275">
        <f>data!AL66</f>
        <v>14567.9</v>
      </c>
      <c r="D176" s="275">
        <f>data!AM66</f>
        <v>697.88000000000011</v>
      </c>
      <c r="E176" s="275">
        <f>data!AN66</f>
        <v>0</v>
      </c>
      <c r="F176" s="275">
        <f>data!AO66</f>
        <v>0</v>
      </c>
      <c r="G176" s="275">
        <f>data!AP66</f>
        <v>0</v>
      </c>
      <c r="H176" s="275">
        <f>data!AQ66</f>
        <v>0</v>
      </c>
      <c r="I176" s="275">
        <f>data!AR66</f>
        <v>57358.59</v>
      </c>
    </row>
    <row r="177" spans="1:9" customFormat="1" ht="20.100000000000001" customHeight="1" x14ac:dyDescent="0.2">
      <c r="A177" s="274">
        <v>12</v>
      </c>
      <c r="B177" s="275" t="s">
        <v>14</v>
      </c>
      <c r="C177" s="275">
        <f>data!AL67</f>
        <v>275026</v>
      </c>
      <c r="D177" s="275">
        <f>data!AM67</f>
        <v>825666</v>
      </c>
      <c r="E177" s="275">
        <f>data!AN67</f>
        <v>0</v>
      </c>
      <c r="F177" s="275">
        <f>data!AO67</f>
        <v>0</v>
      </c>
      <c r="G177" s="275">
        <f>data!AP67</f>
        <v>0</v>
      </c>
      <c r="H177" s="275">
        <f>data!AQ67</f>
        <v>0</v>
      </c>
      <c r="I177" s="275">
        <f>data!AR67</f>
        <v>3617</v>
      </c>
    </row>
    <row r="178" spans="1:9" customFormat="1" ht="20.100000000000001" customHeight="1" x14ac:dyDescent="0.2">
      <c r="A178" s="274">
        <v>13</v>
      </c>
      <c r="B178" s="275" t="s">
        <v>1006</v>
      </c>
      <c r="C178" s="275">
        <f>data!AL68</f>
        <v>0</v>
      </c>
      <c r="D178" s="275">
        <f>data!AM68</f>
        <v>0</v>
      </c>
      <c r="E178" s="275">
        <f>data!AN68</f>
        <v>0</v>
      </c>
      <c r="F178" s="275">
        <f>data!AO68</f>
        <v>0</v>
      </c>
      <c r="G178" s="275">
        <f>data!AP68</f>
        <v>0</v>
      </c>
      <c r="H178" s="275">
        <f>data!AQ68</f>
        <v>0</v>
      </c>
      <c r="I178" s="275">
        <f>data!AR68</f>
        <v>600041.11</v>
      </c>
    </row>
    <row r="179" spans="1:9" customFormat="1" ht="20.100000000000001" customHeight="1" x14ac:dyDescent="0.2">
      <c r="A179" s="274">
        <v>14</v>
      </c>
      <c r="B179" s="275" t="s">
        <v>1007</v>
      </c>
      <c r="C179" s="275">
        <f>data!AL69</f>
        <v>22411.059999999998</v>
      </c>
      <c r="D179" s="275">
        <f>data!AM69</f>
        <v>3808.2</v>
      </c>
      <c r="E179" s="275">
        <f>data!AN69</f>
        <v>0</v>
      </c>
      <c r="F179" s="275">
        <f>data!AO69</f>
        <v>0</v>
      </c>
      <c r="G179" s="275">
        <f>data!AP69</f>
        <v>0</v>
      </c>
      <c r="H179" s="275">
        <f>data!AQ69</f>
        <v>0</v>
      </c>
      <c r="I179" s="275">
        <f>data!AR69</f>
        <v>441640.08000000007</v>
      </c>
    </row>
    <row r="180" spans="1:9" customFormat="1" ht="20.100000000000001" customHeight="1" x14ac:dyDescent="0.2">
      <c r="A180" s="274">
        <v>15</v>
      </c>
      <c r="B180" s="275" t="s">
        <v>282</v>
      </c>
      <c r="C180" s="275">
        <f>-data!AL84</f>
        <v>0</v>
      </c>
      <c r="D180" s="275">
        <f>-data!AM84</f>
        <v>-631670.00000000012</v>
      </c>
      <c r="E180" s="275">
        <f>-data!AN84</f>
        <v>0</v>
      </c>
      <c r="F180" s="275">
        <f>-data!AO84</f>
        <v>0</v>
      </c>
      <c r="G180" s="275">
        <f>-data!AP84</f>
        <v>0</v>
      </c>
      <c r="H180" s="275">
        <f>-data!AQ84</f>
        <v>0</v>
      </c>
      <c r="I180" s="275">
        <f>-data!AR84</f>
        <v>0</v>
      </c>
    </row>
    <row r="181" spans="1:9" customFormat="1" ht="20.100000000000001" customHeight="1" x14ac:dyDescent="0.2">
      <c r="A181" s="274">
        <v>16</v>
      </c>
      <c r="B181" s="283" t="s">
        <v>1008</v>
      </c>
      <c r="C181" s="275">
        <f>data!AL85</f>
        <v>3913287.35</v>
      </c>
      <c r="D181" s="275">
        <f>data!AM85</f>
        <v>5202205.5900000008</v>
      </c>
      <c r="E181" s="275">
        <f>data!AN85</f>
        <v>0</v>
      </c>
      <c r="F181" s="275">
        <f>data!AO85</f>
        <v>0</v>
      </c>
      <c r="G181" s="275">
        <f>data!AP85</f>
        <v>0</v>
      </c>
      <c r="H181" s="275">
        <f>data!AQ85</f>
        <v>249.2</v>
      </c>
      <c r="I181" s="275">
        <f>data!AR85</f>
        <v>22834047.5</v>
      </c>
    </row>
    <row r="182" spans="1:9" customFormat="1" ht="20.100000000000001" customHeight="1" x14ac:dyDescent="0.2">
      <c r="A182" s="274">
        <v>17</v>
      </c>
      <c r="B182" s="275" t="s">
        <v>284</v>
      </c>
      <c r="C182" s="285"/>
      <c r="D182" s="285"/>
      <c r="E182" s="285"/>
      <c r="F182" s="285"/>
      <c r="G182" s="285"/>
      <c r="H182" s="285"/>
      <c r="I182" s="285"/>
    </row>
    <row r="183" spans="1:9" customFormat="1" ht="20.100000000000001" customHeight="1" x14ac:dyDescent="0.2">
      <c r="A183" s="274">
        <v>18</v>
      </c>
      <c r="B183" s="275" t="s">
        <v>1009</v>
      </c>
      <c r="C183" s="283" t="e">
        <f>+data!M703</f>
        <v>#DIV/0!</v>
      </c>
      <c r="D183" s="283" t="e">
        <f>+data!M704</f>
        <v>#DIV/0!</v>
      </c>
      <c r="E183" s="283" t="e">
        <f>+data!M705</f>
        <v>#DIV/0!</v>
      </c>
      <c r="F183" s="283" t="e">
        <f>+data!M706</f>
        <v>#DIV/0!</v>
      </c>
      <c r="G183" s="283" t="e">
        <f>+data!M707</f>
        <v>#DIV/0!</v>
      </c>
      <c r="H183" s="283" t="e">
        <f>+data!M708</f>
        <v>#DIV/0!</v>
      </c>
      <c r="I183" s="283" t="e">
        <f>+data!M709</f>
        <v>#DIV/0!</v>
      </c>
    </row>
    <row r="184" spans="1:9" customFormat="1" ht="20.100000000000001" customHeight="1" x14ac:dyDescent="0.2">
      <c r="A184" s="274">
        <v>19</v>
      </c>
      <c r="B184" s="283" t="s">
        <v>1010</v>
      </c>
      <c r="C184" s="275">
        <f>data!AL87</f>
        <v>5031091.0999999996</v>
      </c>
      <c r="D184" s="275">
        <f>data!AM87</f>
        <v>0</v>
      </c>
      <c r="E184" s="275">
        <f>data!AN87</f>
        <v>0</v>
      </c>
      <c r="F184" s="275">
        <f>data!AO87</f>
        <v>0</v>
      </c>
      <c r="G184" s="275">
        <f>data!AP87</f>
        <v>0</v>
      </c>
      <c r="H184" s="275">
        <f>data!AQ87</f>
        <v>0</v>
      </c>
      <c r="I184" s="275">
        <f>data!AR87</f>
        <v>10717.13</v>
      </c>
    </row>
    <row r="185" spans="1:9" customFormat="1" ht="20.100000000000001" customHeight="1" x14ac:dyDescent="0.2">
      <c r="A185" s="274">
        <v>20</v>
      </c>
      <c r="B185" s="283" t="s">
        <v>1011</v>
      </c>
      <c r="C185" s="275">
        <f>data!AL88</f>
        <v>7302489.7999999998</v>
      </c>
      <c r="D185" s="275">
        <f>data!AM88</f>
        <v>0</v>
      </c>
      <c r="E185" s="275">
        <f>data!AN88</f>
        <v>0</v>
      </c>
      <c r="F185" s="275">
        <f>data!AO88</f>
        <v>0</v>
      </c>
      <c r="G185" s="275">
        <f>data!AP88</f>
        <v>0</v>
      </c>
      <c r="H185" s="275">
        <f>data!AQ88</f>
        <v>0</v>
      </c>
      <c r="I185" s="275">
        <f>data!AR88</f>
        <v>90243484.539999992</v>
      </c>
    </row>
    <row r="186" spans="1:9" customFormat="1" ht="20.100000000000001" customHeight="1" x14ac:dyDescent="0.2">
      <c r="A186" s="274">
        <v>21</v>
      </c>
      <c r="B186" s="283" t="s">
        <v>1012</v>
      </c>
      <c r="C186" s="275">
        <f>data!AL89</f>
        <v>12333580.899999999</v>
      </c>
      <c r="D186" s="275">
        <f>data!AM89</f>
        <v>0</v>
      </c>
      <c r="E186" s="275">
        <f>data!AN89</f>
        <v>0</v>
      </c>
      <c r="F186" s="275">
        <f>data!AO89</f>
        <v>0</v>
      </c>
      <c r="G186" s="275">
        <f>data!AP89</f>
        <v>0</v>
      </c>
      <c r="H186" s="275">
        <f>data!AQ89</f>
        <v>0</v>
      </c>
      <c r="I186" s="275">
        <f>data!AR89</f>
        <v>90254201.669999987</v>
      </c>
    </row>
    <row r="187" spans="1:9" customFormat="1" ht="20.100000000000001" customHeight="1" x14ac:dyDescent="0.2">
      <c r="A187" s="274" t="s">
        <v>1013</v>
      </c>
      <c r="B187" s="275"/>
      <c r="C187" s="285"/>
      <c r="D187" s="285"/>
      <c r="E187" s="285"/>
      <c r="F187" s="285"/>
      <c r="G187" s="285"/>
      <c r="H187" s="285"/>
      <c r="I187" s="285"/>
    </row>
    <row r="188" spans="1:9" customFormat="1" ht="20.100000000000001" customHeight="1" x14ac:dyDescent="0.2">
      <c r="A188" s="274">
        <v>22</v>
      </c>
      <c r="B188" s="275" t="s">
        <v>1014</v>
      </c>
      <c r="C188" s="275">
        <f>data!AL90</f>
        <v>2696.5937329789485</v>
      </c>
      <c r="D188" s="275">
        <f>data!AM90</f>
        <v>8095.5651931570865</v>
      </c>
      <c r="E188" s="275">
        <f>data!AN90</f>
        <v>0</v>
      </c>
      <c r="F188" s="275">
        <f>data!AO90</f>
        <v>0</v>
      </c>
      <c r="G188" s="275">
        <f>data!AP90</f>
        <v>0</v>
      </c>
      <c r="H188" s="275">
        <f>data!AQ90</f>
        <v>0</v>
      </c>
      <c r="I188" s="275">
        <f>data!AR90</f>
        <v>35.467516485657029</v>
      </c>
    </row>
    <row r="189" spans="1:9" customFormat="1" ht="20.100000000000001" customHeight="1" x14ac:dyDescent="0.2">
      <c r="A189" s="274">
        <v>23</v>
      </c>
      <c r="B189" s="275" t="s">
        <v>1015</v>
      </c>
      <c r="C189" s="275">
        <f>data!AL91</f>
        <v>0</v>
      </c>
      <c r="D189" s="275">
        <f>data!AM91</f>
        <v>0</v>
      </c>
      <c r="E189" s="275">
        <f>data!AN91</f>
        <v>0</v>
      </c>
      <c r="F189" s="275">
        <f>data!AO91</f>
        <v>0</v>
      </c>
      <c r="G189" s="275">
        <f>data!AP91</f>
        <v>0</v>
      </c>
      <c r="H189" s="275">
        <f>data!AQ91</f>
        <v>0</v>
      </c>
      <c r="I189" s="275">
        <f>data!AR91</f>
        <v>0</v>
      </c>
    </row>
    <row r="190" spans="1:9" customFormat="1" ht="20.100000000000001" customHeight="1" x14ac:dyDescent="0.2">
      <c r="A190" s="274">
        <v>24</v>
      </c>
      <c r="B190" s="275" t="s">
        <v>1016</v>
      </c>
      <c r="C190" s="275">
        <f>data!AL92</f>
        <v>236.9388072592599</v>
      </c>
      <c r="D190" s="275">
        <f>data!AM92</f>
        <v>711.32463800441315</v>
      </c>
      <c r="E190" s="275">
        <f>data!AN92</f>
        <v>0</v>
      </c>
      <c r="F190" s="275">
        <f>data!AO92</f>
        <v>0</v>
      </c>
      <c r="G190" s="275">
        <f>data!AP92</f>
        <v>0</v>
      </c>
      <c r="H190" s="275">
        <f>data!AQ92</f>
        <v>0</v>
      </c>
      <c r="I190" s="275">
        <f>data!AR92</f>
        <v>1919.3327586436078</v>
      </c>
    </row>
    <row r="191" spans="1:9" customFormat="1" ht="20.100000000000001" customHeight="1" x14ac:dyDescent="0.2">
      <c r="A191" s="274">
        <v>25</v>
      </c>
      <c r="B191" s="275" t="s">
        <v>1017</v>
      </c>
      <c r="C191" s="275">
        <f>data!AL93</f>
        <v>0</v>
      </c>
      <c r="D191" s="275">
        <f>data!AM93</f>
        <v>0</v>
      </c>
      <c r="E191" s="275">
        <f>data!AN93</f>
        <v>0</v>
      </c>
      <c r="F191" s="275">
        <f>data!AO93</f>
        <v>0</v>
      </c>
      <c r="G191" s="275">
        <f>data!AP93</f>
        <v>0</v>
      </c>
      <c r="H191" s="275">
        <f>data!AQ93</f>
        <v>0</v>
      </c>
      <c r="I191" s="275">
        <f>data!AR93</f>
        <v>0</v>
      </c>
    </row>
    <row r="192" spans="1:9" customFormat="1" ht="20.100000000000001" customHeight="1" x14ac:dyDescent="0.2">
      <c r="A192" s="274">
        <v>26</v>
      </c>
      <c r="B192" s="275" t="s">
        <v>292</v>
      </c>
      <c r="C192" s="282">
        <f>data!AL94</f>
        <v>0</v>
      </c>
      <c r="D192" s="282">
        <f>data!AM94</f>
        <v>0</v>
      </c>
      <c r="E192" s="282">
        <f>data!AN94</f>
        <v>0</v>
      </c>
      <c r="F192" s="282">
        <f>data!AO94</f>
        <v>0</v>
      </c>
      <c r="G192" s="282">
        <f>data!AP94</f>
        <v>0</v>
      </c>
      <c r="H192" s="282">
        <f>data!AQ94</f>
        <v>0</v>
      </c>
      <c r="I192" s="282">
        <f>data!AR94</f>
        <v>5.29</v>
      </c>
    </row>
    <row r="193" spans="1:9" customFormat="1" ht="20.100000000000001" customHeight="1" x14ac:dyDescent="0.2">
      <c r="A193" s="268" t="s">
        <v>999</v>
      </c>
      <c r="B193" s="269"/>
      <c r="C193" s="269"/>
      <c r="D193" s="269"/>
      <c r="E193" s="269"/>
      <c r="F193" s="269"/>
      <c r="G193" s="269"/>
      <c r="H193" s="269"/>
      <c r="I193" s="268"/>
    </row>
    <row r="194" spans="1:9" customFormat="1" ht="20.100000000000001" customHeight="1" x14ac:dyDescent="0.2">
      <c r="D194" s="270"/>
      <c r="I194" s="271" t="s">
        <v>1037</v>
      </c>
    </row>
    <row r="195" spans="1:9" customFormat="1" ht="20.100000000000001" customHeight="1" x14ac:dyDescent="0.2">
      <c r="A195" s="270"/>
    </row>
    <row r="196" spans="1:9" customFormat="1" ht="20.100000000000001" customHeight="1" x14ac:dyDescent="0.2">
      <c r="A196" s="272" t="str">
        <f>"Hospital: "&amp;data!C98</f>
        <v>Hospital: Seattle Children's Hospital</v>
      </c>
      <c r="G196" s="273"/>
      <c r="H196" s="272" t="str">
        <f>"FYE: "&amp;data!C96</f>
        <v>FYE: 09/30/2024</v>
      </c>
    </row>
    <row r="197" spans="1:9" customFormat="1" ht="20.100000000000001" customHeight="1" x14ac:dyDescent="0.2">
      <c r="A197" s="274">
        <v>1</v>
      </c>
      <c r="B197" s="275" t="s">
        <v>234</v>
      </c>
      <c r="C197" s="277" t="s">
        <v>76</v>
      </c>
      <c r="D197" s="277" t="s">
        <v>77</v>
      </c>
      <c r="E197" s="277" t="s">
        <v>78</v>
      </c>
      <c r="F197" s="277" t="s">
        <v>79</v>
      </c>
      <c r="G197" s="277" t="s">
        <v>80</v>
      </c>
      <c r="H197" s="277" t="s">
        <v>81</v>
      </c>
      <c r="I197" s="277" t="s">
        <v>82</v>
      </c>
    </row>
    <row r="198" spans="1:9" customFormat="1" ht="20.100000000000001" customHeight="1" x14ac:dyDescent="0.2">
      <c r="A198" s="278">
        <v>2</v>
      </c>
      <c r="B198" s="279" t="s">
        <v>1001</v>
      </c>
      <c r="C198" s="281"/>
      <c r="D198" s="281" t="s">
        <v>155</v>
      </c>
      <c r="E198" s="281" t="s">
        <v>156</v>
      </c>
      <c r="F198" s="281" t="s">
        <v>157</v>
      </c>
      <c r="G198" s="281" t="s">
        <v>1038</v>
      </c>
      <c r="H198" s="281" t="s">
        <v>159</v>
      </c>
      <c r="I198" s="281"/>
    </row>
    <row r="199" spans="1:9" customFormat="1" ht="20.100000000000001" customHeight="1" x14ac:dyDescent="0.2">
      <c r="A199" s="278"/>
      <c r="B199" s="279"/>
      <c r="C199" s="281" t="s">
        <v>154</v>
      </c>
      <c r="D199" s="281" t="s">
        <v>256</v>
      </c>
      <c r="E199" s="281" t="s">
        <v>1039</v>
      </c>
      <c r="F199" s="281" t="s">
        <v>211</v>
      </c>
      <c r="G199" s="281" t="s">
        <v>226</v>
      </c>
      <c r="H199" s="281" t="s">
        <v>213</v>
      </c>
      <c r="I199" s="281" t="s">
        <v>160</v>
      </c>
    </row>
    <row r="200" spans="1:9" customFormat="1" ht="20.100000000000001" customHeight="1" x14ac:dyDescent="0.2">
      <c r="A200" s="274">
        <v>3</v>
      </c>
      <c r="B200" s="275" t="s">
        <v>1005</v>
      </c>
      <c r="C200" s="277" t="s">
        <v>251</v>
      </c>
      <c r="D200" s="277" t="s">
        <v>256</v>
      </c>
      <c r="E200" s="277" t="s">
        <v>253</v>
      </c>
      <c r="F200" s="287"/>
      <c r="G200" s="287"/>
      <c r="H200" s="287"/>
      <c r="I200" s="277" t="s">
        <v>257</v>
      </c>
    </row>
    <row r="201" spans="1:9" customFormat="1" ht="20.100000000000001" customHeight="1" x14ac:dyDescent="0.2">
      <c r="A201" s="274">
        <v>4</v>
      </c>
      <c r="B201" s="275" t="s">
        <v>259</v>
      </c>
      <c r="C201" s="275">
        <f>data!AS59</f>
        <v>0</v>
      </c>
      <c r="D201" s="275">
        <f>data!AT59</f>
        <v>51</v>
      </c>
      <c r="E201" s="275">
        <f>data!AU59</f>
        <v>0</v>
      </c>
      <c r="F201" s="287"/>
      <c r="G201" s="287"/>
      <c r="H201" s="287"/>
      <c r="I201" s="275">
        <f>data!AY59</f>
        <v>1104198</v>
      </c>
    </row>
    <row r="202" spans="1:9" customFormat="1" ht="20.100000000000001" customHeight="1" x14ac:dyDescent="0.2">
      <c r="A202" s="274">
        <v>5</v>
      </c>
      <c r="B202" s="275" t="s">
        <v>260</v>
      </c>
      <c r="C202" s="282">
        <f>data!AS60</f>
        <v>0</v>
      </c>
      <c r="D202" s="282">
        <f>data!AT60</f>
        <v>5.1973899434546702</v>
      </c>
      <c r="E202" s="282">
        <f>data!AU60</f>
        <v>0</v>
      </c>
      <c r="F202" s="282">
        <f>data!AV60</f>
        <v>48.575052353296712</v>
      </c>
      <c r="G202" s="282">
        <f>data!AW60</f>
        <v>1357.9165452004329</v>
      </c>
      <c r="H202" s="282">
        <f>data!AX60</f>
        <v>0</v>
      </c>
      <c r="I202" s="282">
        <f>data!AY60</f>
        <v>169.72316521844095</v>
      </c>
    </row>
    <row r="203" spans="1:9" customFormat="1" ht="20.100000000000001" customHeight="1" x14ac:dyDescent="0.2">
      <c r="A203" s="274">
        <v>6</v>
      </c>
      <c r="B203" s="275" t="s">
        <v>261</v>
      </c>
      <c r="C203" s="275">
        <f>data!AS61</f>
        <v>0</v>
      </c>
      <c r="D203" s="275">
        <f>data!AT61</f>
        <v>740207.53</v>
      </c>
      <c r="E203" s="275">
        <f>data!AU61</f>
        <v>0</v>
      </c>
      <c r="F203" s="275">
        <f>data!AV61</f>
        <v>6215372.7400000002</v>
      </c>
      <c r="G203" s="275">
        <f>data!AW61</f>
        <v>135565457.47999993</v>
      </c>
      <c r="H203" s="275">
        <f>data!AX61</f>
        <v>0</v>
      </c>
      <c r="I203" s="275">
        <f>data!AY61</f>
        <v>12830597.260000002</v>
      </c>
    </row>
    <row r="204" spans="1:9" customFormat="1" ht="20.100000000000001" customHeight="1" x14ac:dyDescent="0.2">
      <c r="A204" s="274">
        <v>7</v>
      </c>
      <c r="B204" s="275" t="s">
        <v>9</v>
      </c>
      <c r="C204" s="275">
        <f>data!AS62</f>
        <v>0</v>
      </c>
      <c r="D204" s="275">
        <f>data!AT62</f>
        <v>203492</v>
      </c>
      <c r="E204" s="275">
        <f>data!AU62</f>
        <v>0</v>
      </c>
      <c r="F204" s="275">
        <f>data!AV62</f>
        <v>1708680</v>
      </c>
      <c r="G204" s="275">
        <f>data!AW62</f>
        <v>37268569</v>
      </c>
      <c r="H204" s="275">
        <f>data!AX62</f>
        <v>0</v>
      </c>
      <c r="I204" s="275">
        <f>data!AY62</f>
        <v>3527285</v>
      </c>
    </row>
    <row r="205" spans="1:9" customFormat="1" ht="20.100000000000001" customHeight="1" x14ac:dyDescent="0.2">
      <c r="A205" s="274">
        <v>8</v>
      </c>
      <c r="B205" s="275" t="s">
        <v>262</v>
      </c>
      <c r="C205" s="275">
        <f>data!AS63</f>
        <v>0</v>
      </c>
      <c r="D205" s="275">
        <f>data!AT63</f>
        <v>346927.29000000004</v>
      </c>
      <c r="E205" s="275">
        <f>data!AU63</f>
        <v>0</v>
      </c>
      <c r="F205" s="275">
        <f>data!AV63</f>
        <v>1090550.24</v>
      </c>
      <c r="G205" s="275">
        <f>data!AW63</f>
        <v>157988997.17000002</v>
      </c>
      <c r="H205" s="275">
        <f>data!AX63</f>
        <v>0</v>
      </c>
      <c r="I205" s="275">
        <f>data!AY63</f>
        <v>34117.179999999993</v>
      </c>
    </row>
    <row r="206" spans="1:9" customFormat="1" ht="20.100000000000001" customHeight="1" x14ac:dyDescent="0.2">
      <c r="A206" s="274">
        <v>9</v>
      </c>
      <c r="B206" s="275" t="s">
        <v>263</v>
      </c>
      <c r="C206" s="275">
        <f>data!AS64</f>
        <v>0</v>
      </c>
      <c r="D206" s="275">
        <f>data!AT64</f>
        <v>125395.03999999998</v>
      </c>
      <c r="E206" s="275">
        <f>data!AU64</f>
        <v>0</v>
      </c>
      <c r="F206" s="275">
        <f>data!AV64</f>
        <v>1082462.6399999999</v>
      </c>
      <c r="G206" s="275">
        <f>data!AW64</f>
        <v>21269532.079999991</v>
      </c>
      <c r="H206" s="275">
        <f>data!AX64</f>
        <v>348005.16</v>
      </c>
      <c r="I206" s="275">
        <f>data!AY64</f>
        <v>3663833.8399999989</v>
      </c>
    </row>
    <row r="207" spans="1:9" customFormat="1" ht="20.100000000000001" customHeight="1" x14ac:dyDescent="0.2">
      <c r="A207" s="274">
        <v>10</v>
      </c>
      <c r="B207" s="275" t="s">
        <v>525</v>
      </c>
      <c r="C207" s="275">
        <f>data!AS65</f>
        <v>0</v>
      </c>
      <c r="D207" s="275">
        <f>data!AT65</f>
        <v>0</v>
      </c>
      <c r="E207" s="275">
        <f>data!AU65</f>
        <v>0</v>
      </c>
      <c r="F207" s="275">
        <f>data!AV65</f>
        <v>0</v>
      </c>
      <c r="G207" s="275">
        <f>data!AW65</f>
        <v>0</v>
      </c>
      <c r="H207" s="275">
        <f>data!AX65</f>
        <v>0</v>
      </c>
      <c r="I207" s="275">
        <f>data!AY65</f>
        <v>0</v>
      </c>
    </row>
    <row r="208" spans="1:9" customFormat="1" ht="20.100000000000001" customHeight="1" x14ac:dyDescent="0.2">
      <c r="A208" s="274">
        <v>11</v>
      </c>
      <c r="B208" s="275" t="s">
        <v>526</v>
      </c>
      <c r="C208" s="275">
        <f>data!AS66</f>
        <v>0</v>
      </c>
      <c r="D208" s="275">
        <f>data!AT66</f>
        <v>3818173.5799999996</v>
      </c>
      <c r="E208" s="275">
        <f>data!AU66</f>
        <v>0</v>
      </c>
      <c r="F208" s="275">
        <f>data!AV66</f>
        <v>3262.3199999999997</v>
      </c>
      <c r="G208" s="275">
        <f>data!AW66</f>
        <v>78993505.299999997</v>
      </c>
      <c r="H208" s="275">
        <f>data!AX66</f>
        <v>434324.02000000008</v>
      </c>
      <c r="I208" s="275">
        <f>data!AY66</f>
        <v>136362.88</v>
      </c>
    </row>
    <row r="209" spans="1:9" customFormat="1" ht="20.100000000000001" customHeight="1" x14ac:dyDescent="0.2">
      <c r="A209" s="274">
        <v>12</v>
      </c>
      <c r="B209" s="275" t="s">
        <v>14</v>
      </c>
      <c r="C209" s="275">
        <f>data!AS67</f>
        <v>0</v>
      </c>
      <c r="D209" s="275">
        <f>data!AT67</f>
        <v>136326</v>
      </c>
      <c r="E209" s="275">
        <f>data!AU67</f>
        <v>0</v>
      </c>
      <c r="F209" s="275">
        <f>data!AV67</f>
        <v>68479</v>
      </c>
      <c r="G209" s="275">
        <f>data!AW67</f>
        <v>563962</v>
      </c>
      <c r="H209" s="275">
        <f>data!AX67</f>
        <v>0</v>
      </c>
      <c r="I209" s="275">
        <f>data!AY67</f>
        <v>5324817</v>
      </c>
    </row>
    <row r="210" spans="1:9" customFormat="1" ht="20.100000000000001" customHeight="1" x14ac:dyDescent="0.2">
      <c r="A210" s="274">
        <v>13</v>
      </c>
      <c r="B210" s="275" t="s">
        <v>1006</v>
      </c>
      <c r="C210" s="275">
        <f>data!AS68</f>
        <v>0</v>
      </c>
      <c r="D210" s="275">
        <f>data!AT68</f>
        <v>0</v>
      </c>
      <c r="E210" s="275">
        <f>data!AU68</f>
        <v>0</v>
      </c>
      <c r="F210" s="275">
        <f>data!AV68</f>
        <v>0</v>
      </c>
      <c r="G210" s="275">
        <f>data!AW68</f>
        <v>7890692.2600000016</v>
      </c>
      <c r="H210" s="275">
        <f>data!AX68</f>
        <v>408885.41000000003</v>
      </c>
      <c r="I210" s="275">
        <f>data!AY68</f>
        <v>0</v>
      </c>
    </row>
    <row r="211" spans="1:9" customFormat="1" ht="20.100000000000001" customHeight="1" x14ac:dyDescent="0.2">
      <c r="A211" s="274">
        <v>14</v>
      </c>
      <c r="B211" s="275" t="s">
        <v>1007</v>
      </c>
      <c r="C211" s="275">
        <f>data!AS69</f>
        <v>0</v>
      </c>
      <c r="D211" s="275">
        <f>data!AT69</f>
        <v>10563.819999999998</v>
      </c>
      <c r="E211" s="275">
        <f>data!AU69</f>
        <v>0</v>
      </c>
      <c r="F211" s="275">
        <f>data!AV69</f>
        <v>183566.38999999998</v>
      </c>
      <c r="G211" s="275">
        <f>data!AW69</f>
        <v>51458372.990000024</v>
      </c>
      <c r="H211" s="275">
        <f>data!AX69</f>
        <v>6621</v>
      </c>
      <c r="I211" s="275">
        <f>data!AY69</f>
        <v>250126.33000000002</v>
      </c>
    </row>
    <row r="212" spans="1:9" customFormat="1" ht="20.100000000000001" customHeight="1" x14ac:dyDescent="0.2">
      <c r="A212" s="274">
        <v>15</v>
      </c>
      <c r="B212" s="275" t="s">
        <v>282</v>
      </c>
      <c r="C212" s="275">
        <f>-data!AS84</f>
        <v>0</v>
      </c>
      <c r="D212" s="275">
        <f>-data!AT84</f>
        <v>-700</v>
      </c>
      <c r="E212" s="275">
        <f>-data!AU84</f>
        <v>0</v>
      </c>
      <c r="F212" s="275">
        <f>-data!AV84</f>
        <v>-1438149.77</v>
      </c>
      <c r="G212" s="275">
        <f>-data!AW84</f>
        <v>-303748798.93999994</v>
      </c>
      <c r="H212" s="275">
        <f>-data!AX84</f>
        <v>0</v>
      </c>
      <c r="I212" s="275">
        <f>-data!AY84</f>
        <v>-4003476.8299999991</v>
      </c>
    </row>
    <row r="213" spans="1:9" customFormat="1" ht="20.100000000000001" customHeight="1" x14ac:dyDescent="0.2">
      <c r="A213" s="274">
        <v>16</v>
      </c>
      <c r="B213" s="283" t="s">
        <v>1008</v>
      </c>
      <c r="C213" s="275">
        <f>data!AS85</f>
        <v>0</v>
      </c>
      <c r="D213" s="275">
        <f>data!AT85</f>
        <v>5380385.2599999998</v>
      </c>
      <c r="E213" s="275">
        <f>data!AU85</f>
        <v>0</v>
      </c>
      <c r="F213" s="275">
        <f>data!AV85</f>
        <v>8914223.5600000024</v>
      </c>
      <c r="G213" s="275">
        <f>data!AW85</f>
        <v>187250289.34000003</v>
      </c>
      <c r="H213" s="275">
        <f>data!AX85</f>
        <v>1197835.5900000001</v>
      </c>
      <c r="I213" s="275">
        <f>data!AY85</f>
        <v>21763662.66</v>
      </c>
    </row>
    <row r="214" spans="1:9" customFormat="1" ht="20.100000000000001" customHeight="1" x14ac:dyDescent="0.2">
      <c r="A214" s="274">
        <v>17</v>
      </c>
      <c r="B214" s="275" t="s">
        <v>284</v>
      </c>
      <c r="C214" s="285"/>
      <c r="D214" s="285"/>
      <c r="E214" s="285"/>
      <c r="F214" s="285"/>
      <c r="G214" s="285"/>
      <c r="H214" s="285"/>
      <c r="I214" s="285"/>
    </row>
    <row r="215" spans="1:9" customFormat="1" ht="20.100000000000001" customHeight="1" x14ac:dyDescent="0.2">
      <c r="A215" s="274">
        <v>18</v>
      </c>
      <c r="B215" s="275" t="s">
        <v>1009</v>
      </c>
      <c r="C215" s="283" t="e">
        <f>+data!M710</f>
        <v>#DIV/0!</v>
      </c>
      <c r="D215" s="283" t="e">
        <f>+data!M711</f>
        <v>#DIV/0!</v>
      </c>
      <c r="E215" s="283" t="e">
        <f>+data!M712</f>
        <v>#DIV/0!</v>
      </c>
      <c r="F215" s="283" t="e">
        <f>+data!M713</f>
        <v>#DIV/0!</v>
      </c>
      <c r="G215" s="289"/>
      <c r="H215" s="275"/>
      <c r="I215" s="275"/>
    </row>
    <row r="216" spans="1:9" customFormat="1" ht="20.100000000000001" customHeight="1" x14ac:dyDescent="0.2">
      <c r="A216" s="274">
        <v>19</v>
      </c>
      <c r="B216" s="283" t="s">
        <v>1010</v>
      </c>
      <c r="C216" s="275">
        <f>data!AS87</f>
        <v>0</v>
      </c>
      <c r="D216" s="275">
        <f>data!AT87</f>
        <v>7701500</v>
      </c>
      <c r="E216" s="275">
        <f>data!AU87</f>
        <v>0</v>
      </c>
      <c r="F216" s="275">
        <f>data!AV87</f>
        <v>24648849.299999997</v>
      </c>
      <c r="G216" s="290" t="str">
        <f>IF(data!AW87&gt;0,data!AW87,"")</f>
        <v>x</v>
      </c>
      <c r="H216" s="290" t="str">
        <f>IF(data!AX87&gt;0,data!AX87,"")</f>
        <v>x</v>
      </c>
      <c r="I216" s="290" t="str">
        <f>IF(data!AY87&gt;0,data!AY87,"")</f>
        <v>x</v>
      </c>
    </row>
    <row r="217" spans="1:9" customFormat="1" ht="20.100000000000001" customHeight="1" x14ac:dyDescent="0.2">
      <c r="A217" s="274">
        <v>20</v>
      </c>
      <c r="B217" s="283" t="s">
        <v>1011</v>
      </c>
      <c r="C217" s="275">
        <f>data!AS88</f>
        <v>0</v>
      </c>
      <c r="D217" s="275">
        <f>data!AT88</f>
        <v>0</v>
      </c>
      <c r="E217" s="275">
        <f>data!AU88</f>
        <v>0</v>
      </c>
      <c r="F217" s="275">
        <f>data!AV88</f>
        <v>201150.1</v>
      </c>
      <c r="G217" s="290" t="str">
        <f>IF(data!AW88&gt;0,data!AW88,"")</f>
        <v>x</v>
      </c>
      <c r="H217" s="290" t="str">
        <f>IF(data!AX88&gt;0,data!AX88,"")</f>
        <v>x</v>
      </c>
      <c r="I217" s="290" t="str">
        <f>IF(data!AY88&gt;0,data!AY88,"")</f>
        <v>x</v>
      </c>
    </row>
    <row r="218" spans="1:9" customFormat="1" ht="20.100000000000001" customHeight="1" x14ac:dyDescent="0.2">
      <c r="A218" s="274">
        <v>21</v>
      </c>
      <c r="B218" s="283" t="s">
        <v>1012</v>
      </c>
      <c r="C218" s="275">
        <f>data!AS89</f>
        <v>0</v>
      </c>
      <c r="D218" s="275">
        <f>data!AT89</f>
        <v>7701500</v>
      </c>
      <c r="E218" s="275">
        <f>data!AU89</f>
        <v>0</v>
      </c>
      <c r="F218" s="275">
        <f>data!AV89</f>
        <v>24849999.399999999</v>
      </c>
      <c r="G218" s="290" t="str">
        <f>IF(data!AW89&gt;0,data!AW89,"")</f>
        <v>x</v>
      </c>
      <c r="H218" s="290" t="str">
        <f>IF(data!AX89&gt;0,data!AX89,"")</f>
        <v>x</v>
      </c>
      <c r="I218" s="290" t="str">
        <f>IF(data!AY89&gt;0,data!AY89,"")</f>
        <v>x</v>
      </c>
    </row>
    <row r="219" spans="1:9" customFormat="1" ht="20.100000000000001" customHeight="1" x14ac:dyDescent="0.2">
      <c r="A219" s="274" t="s">
        <v>1013</v>
      </c>
      <c r="B219" s="275"/>
      <c r="C219" s="285"/>
      <c r="D219" s="285"/>
      <c r="E219" s="285"/>
      <c r="F219" s="285"/>
      <c r="G219" s="285"/>
      <c r="H219" s="285"/>
      <c r="I219" s="285"/>
    </row>
    <row r="220" spans="1:9" customFormat="1" ht="20.100000000000001" customHeight="1" x14ac:dyDescent="0.2">
      <c r="A220" s="274">
        <v>22</v>
      </c>
      <c r="B220" s="275" t="s">
        <v>1014</v>
      </c>
      <c r="C220" s="275">
        <f>data!AS90</f>
        <v>0</v>
      </c>
      <c r="D220" s="275">
        <f>data!AT90</f>
        <v>1336.6578802789036</v>
      </c>
      <c r="E220" s="275">
        <f>data!AU90</f>
        <v>0</v>
      </c>
      <c r="F220" s="275">
        <f>data!AV90</f>
        <v>671.43</v>
      </c>
      <c r="G220" s="275">
        <f>data!AW90</f>
        <v>5529.58</v>
      </c>
      <c r="H220" s="275">
        <f>data!AX90</f>
        <v>0</v>
      </c>
      <c r="I220" s="275">
        <f>data!AY90</f>
        <v>52209.227074808376</v>
      </c>
    </row>
    <row r="221" spans="1:9" customFormat="1" ht="20.100000000000001" customHeight="1" x14ac:dyDescent="0.2">
      <c r="A221" s="274">
        <v>23</v>
      </c>
      <c r="B221" s="275" t="s">
        <v>1015</v>
      </c>
      <c r="C221" s="275">
        <f>data!AS91</f>
        <v>0</v>
      </c>
      <c r="D221" s="275">
        <f>data!AT91</f>
        <v>0</v>
      </c>
      <c r="E221" s="275">
        <f>data!AU91</f>
        <v>0</v>
      </c>
      <c r="F221" s="275">
        <f>data!AV91</f>
        <v>0</v>
      </c>
      <c r="G221" s="275">
        <f>data!AW91</f>
        <v>0</v>
      </c>
      <c r="H221" s="290" t="str">
        <f>IF(data!AX91&gt;0,data!AX91,"")</f>
        <v>x</v>
      </c>
      <c r="I221" s="290" t="str">
        <f>IF(data!AY91&gt;0,data!AY91,"")</f>
        <v>x</v>
      </c>
    </row>
    <row r="222" spans="1:9" customFormat="1" ht="20.100000000000001" customHeight="1" x14ac:dyDescent="0.2">
      <c r="A222" s="274">
        <v>24</v>
      </c>
      <c r="B222" s="275" t="s">
        <v>1016</v>
      </c>
      <c r="C222" s="275">
        <f>data!AS92</f>
        <v>0</v>
      </c>
      <c r="D222" s="275">
        <f>data!AT92</f>
        <v>136</v>
      </c>
      <c r="E222" s="275">
        <f>data!AU92</f>
        <v>0</v>
      </c>
      <c r="F222" s="275">
        <f>data!AV92</f>
        <v>226.39989670435421</v>
      </c>
      <c r="G222" s="275">
        <f>data!AW92</f>
        <v>1380.259665370404</v>
      </c>
      <c r="H222" s="290" t="str">
        <f>IF(data!AX92&gt;0,data!AX92,"")</f>
        <v>x</v>
      </c>
      <c r="I222" s="290" t="str">
        <f>IF(data!AY92&gt;0,data!AY92,"")</f>
        <v>x</v>
      </c>
    </row>
    <row r="223" spans="1:9" customFormat="1" ht="20.100000000000001" customHeight="1" x14ac:dyDescent="0.2">
      <c r="A223" s="274">
        <v>25</v>
      </c>
      <c r="B223" s="275" t="s">
        <v>1017</v>
      </c>
      <c r="C223" s="275">
        <f>data!AS93</f>
        <v>0</v>
      </c>
      <c r="D223" s="275">
        <f>data!AT93</f>
        <v>0</v>
      </c>
      <c r="E223" s="275">
        <f>data!AU93</f>
        <v>0</v>
      </c>
      <c r="F223" s="275">
        <f>data!AV93</f>
        <v>0</v>
      </c>
      <c r="G223" s="275">
        <f>data!AW93</f>
        <v>18192</v>
      </c>
      <c r="H223" s="290" t="str">
        <f>IF(data!AX93&gt;0,data!AX93,"")</f>
        <v>x</v>
      </c>
      <c r="I223" s="290" t="str">
        <f>IF(data!AY93&gt;0,data!AY93,"")</f>
        <v>x</v>
      </c>
    </row>
    <row r="224" spans="1:9" customFormat="1" ht="20.100000000000001" customHeight="1" x14ac:dyDescent="0.2">
      <c r="A224" s="274">
        <v>26</v>
      </c>
      <c r="B224" s="275" t="s">
        <v>292</v>
      </c>
      <c r="C224" s="282">
        <f>data!AS94</f>
        <v>0</v>
      </c>
      <c r="D224" s="282">
        <f>data!AT94</f>
        <v>2.4</v>
      </c>
      <c r="E224" s="282">
        <f>data!AU94</f>
        <v>0</v>
      </c>
      <c r="F224" s="282">
        <f>data!AV94</f>
        <v>8.49</v>
      </c>
      <c r="G224" s="290" t="str">
        <f>IF(data!AW94&gt;0,data!AW94,"")</f>
        <v>x</v>
      </c>
      <c r="H224" s="290" t="str">
        <f>IF(data!AX94&gt;0,data!AX94,"")</f>
        <v>x</v>
      </c>
      <c r="I224" s="290" t="str">
        <f>IF(data!AY94&gt;0,data!AY94,"")</f>
        <v>x</v>
      </c>
    </row>
    <row r="225" spans="1:9" customFormat="1" ht="20.100000000000001" customHeight="1" x14ac:dyDescent="0.2">
      <c r="A225" s="268" t="s">
        <v>999</v>
      </c>
      <c r="B225" s="269"/>
      <c r="C225" s="269"/>
      <c r="D225" s="269"/>
      <c r="E225" s="269"/>
      <c r="F225" s="269"/>
      <c r="G225" s="269"/>
      <c r="H225" s="269"/>
      <c r="I225" s="268"/>
    </row>
    <row r="226" spans="1:9" customFormat="1" ht="20.100000000000001" customHeight="1" x14ac:dyDescent="0.2">
      <c r="D226" s="270"/>
      <c r="I226" s="271" t="s">
        <v>1040</v>
      </c>
    </row>
    <row r="227" spans="1:9" customFormat="1" ht="20.100000000000001" customHeight="1" x14ac:dyDescent="0.2">
      <c r="A227" s="270"/>
    </row>
    <row r="228" spans="1:9" customFormat="1" ht="20.100000000000001" customHeight="1" x14ac:dyDescent="0.2">
      <c r="A228" s="272" t="str">
        <f>"Hospital: "&amp;data!C98</f>
        <v>Hospital: Seattle Children's Hospital</v>
      </c>
      <c r="G228" s="273"/>
      <c r="H228" s="272" t="str">
        <f>"FYE: "&amp;data!C96</f>
        <v>FYE: 09/30/2024</v>
      </c>
    </row>
    <row r="229" spans="1:9" customFormat="1" ht="20.100000000000001" customHeight="1" x14ac:dyDescent="0.2">
      <c r="A229" s="274">
        <v>1</v>
      </c>
      <c r="B229" s="275" t="s">
        <v>234</v>
      </c>
      <c r="C229" s="277" t="s">
        <v>83</v>
      </c>
      <c r="D229" s="277" t="s">
        <v>84</v>
      </c>
      <c r="E229" s="277" t="s">
        <v>85</v>
      </c>
      <c r="F229" s="277" t="s">
        <v>86</v>
      </c>
      <c r="G229" s="277" t="s">
        <v>87</v>
      </c>
      <c r="H229" s="277" t="s">
        <v>88</v>
      </c>
      <c r="I229" s="277" t="s">
        <v>89</v>
      </c>
    </row>
    <row r="230" spans="1:9" customFormat="1" ht="20.100000000000001" customHeight="1" x14ac:dyDescent="0.2">
      <c r="A230" s="278">
        <v>2</v>
      </c>
      <c r="B230" s="279" t="s">
        <v>1001</v>
      </c>
      <c r="C230" s="281"/>
      <c r="D230" s="281" t="s">
        <v>162</v>
      </c>
      <c r="E230" s="281" t="s">
        <v>163</v>
      </c>
      <c r="F230" s="281" t="s">
        <v>132</v>
      </c>
      <c r="G230" s="281"/>
      <c r="H230" s="281"/>
      <c r="I230" s="281"/>
    </row>
    <row r="231" spans="1:9" customFormat="1" ht="20.100000000000001" customHeight="1" x14ac:dyDescent="0.2">
      <c r="A231" s="278"/>
      <c r="B231" s="279"/>
      <c r="C231" s="281" t="s">
        <v>161</v>
      </c>
      <c r="D231" s="281" t="s">
        <v>214</v>
      </c>
      <c r="E231" s="281" t="s">
        <v>1041</v>
      </c>
      <c r="F231" s="281" t="s">
        <v>1042</v>
      </c>
      <c r="G231" s="281" t="s">
        <v>164</v>
      </c>
      <c r="H231" s="281" t="s">
        <v>165</v>
      </c>
      <c r="I231" s="281" t="s">
        <v>166</v>
      </c>
    </row>
    <row r="232" spans="1:9" customFormat="1" ht="20.100000000000001" customHeight="1" x14ac:dyDescent="0.2">
      <c r="A232" s="274">
        <v>3</v>
      </c>
      <c r="B232" s="275" t="s">
        <v>1005</v>
      </c>
      <c r="C232" s="277" t="s">
        <v>1043</v>
      </c>
      <c r="D232" s="277" t="s">
        <v>1044</v>
      </c>
      <c r="E232" s="287"/>
      <c r="F232" s="287"/>
      <c r="G232" s="287"/>
      <c r="H232" s="277" t="s">
        <v>258</v>
      </c>
      <c r="I232" s="287"/>
    </row>
    <row r="233" spans="1:9" customFormat="1" ht="20.100000000000001" customHeight="1" x14ac:dyDescent="0.2">
      <c r="A233" s="274">
        <v>4</v>
      </c>
      <c r="B233" s="275" t="s">
        <v>259</v>
      </c>
      <c r="C233" s="275">
        <f>data!AZ59</f>
        <v>0</v>
      </c>
      <c r="D233" s="275">
        <f>data!BA59</f>
        <v>0</v>
      </c>
      <c r="E233" s="287"/>
      <c r="F233" s="287"/>
      <c r="G233" s="287"/>
      <c r="H233" s="275">
        <f>data!BE59</f>
        <v>1387127.6146800872</v>
      </c>
      <c r="I233" s="287"/>
    </row>
    <row r="234" spans="1:9" customFormat="1" ht="20.100000000000001" customHeight="1" x14ac:dyDescent="0.2">
      <c r="A234" s="274">
        <v>5</v>
      </c>
      <c r="B234" s="275" t="s">
        <v>260</v>
      </c>
      <c r="C234" s="282">
        <f>data!AZ60</f>
        <v>1.8184401739079665</v>
      </c>
      <c r="D234" s="282">
        <f>data!BA60</f>
        <v>6.1529155223145606</v>
      </c>
      <c r="E234" s="282">
        <f>data!BB60</f>
        <v>157.98209536467718</v>
      </c>
      <c r="F234" s="282">
        <f>data!BC60</f>
        <v>4.2889148326785707</v>
      </c>
      <c r="G234" s="282">
        <f>data!BD60</f>
        <v>19.44515053112638</v>
      </c>
      <c r="H234" s="282">
        <f>data!BE60</f>
        <v>242.30081985094782</v>
      </c>
      <c r="I234" s="282">
        <f>data!BF60</f>
        <v>222.31450535313877</v>
      </c>
    </row>
    <row r="235" spans="1:9" customFormat="1" ht="20.100000000000001" customHeight="1" x14ac:dyDescent="0.2">
      <c r="A235" s="274">
        <v>6</v>
      </c>
      <c r="B235" s="275" t="s">
        <v>261</v>
      </c>
      <c r="C235" s="275">
        <f>data!AZ61</f>
        <v>107482.82999999999</v>
      </c>
      <c r="D235" s="275">
        <f>data!BA61</f>
        <v>388436.65999999992</v>
      </c>
      <c r="E235" s="275">
        <f>data!BB61</f>
        <v>15934505.860000005</v>
      </c>
      <c r="F235" s="275">
        <f>data!BC61</f>
        <v>238863.59</v>
      </c>
      <c r="G235" s="275">
        <f>data!BD61</f>
        <v>2145009.5699999998</v>
      </c>
      <c r="H235" s="275">
        <f>data!BE61</f>
        <v>23885294.420000002</v>
      </c>
      <c r="I235" s="275">
        <f>data!BF61</f>
        <v>13995004.519999998</v>
      </c>
    </row>
    <row r="236" spans="1:9" customFormat="1" ht="20.100000000000001" customHeight="1" x14ac:dyDescent="0.2">
      <c r="A236" s="274">
        <v>7</v>
      </c>
      <c r="B236" s="275" t="s">
        <v>9</v>
      </c>
      <c r="C236" s="275">
        <f>data!AZ62</f>
        <v>29548</v>
      </c>
      <c r="D236" s="275">
        <f>data!BA62</f>
        <v>106786</v>
      </c>
      <c r="E236" s="275">
        <f>data!BB62</f>
        <v>4380587</v>
      </c>
      <c r="F236" s="275">
        <f>data!BC62</f>
        <v>65666</v>
      </c>
      <c r="G236" s="275">
        <f>data!BD62</f>
        <v>589689</v>
      </c>
      <c r="H236" s="275">
        <f>data!BE62</f>
        <v>6566354</v>
      </c>
      <c r="I236" s="275">
        <f>data!BF62</f>
        <v>3847395</v>
      </c>
    </row>
    <row r="237" spans="1:9" customFormat="1" ht="20.100000000000001" customHeight="1" x14ac:dyDescent="0.2">
      <c r="A237" s="274">
        <v>8</v>
      </c>
      <c r="B237" s="275" t="s">
        <v>262</v>
      </c>
      <c r="C237" s="275">
        <f>data!AZ63</f>
        <v>0</v>
      </c>
      <c r="D237" s="275">
        <f>data!BA63</f>
        <v>0</v>
      </c>
      <c r="E237" s="275">
        <f>data!BB63</f>
        <v>503718.19999999995</v>
      </c>
      <c r="F237" s="275">
        <f>data!BC63</f>
        <v>0</v>
      </c>
      <c r="G237" s="275">
        <f>data!BD63</f>
        <v>0</v>
      </c>
      <c r="H237" s="275">
        <f>data!BE63</f>
        <v>261164.44999999998</v>
      </c>
      <c r="I237" s="275">
        <f>data!BF63</f>
        <v>0</v>
      </c>
    </row>
    <row r="238" spans="1:9" customFormat="1" ht="20.100000000000001" customHeight="1" x14ac:dyDescent="0.2">
      <c r="A238" s="274">
        <v>9</v>
      </c>
      <c r="B238" s="275" t="s">
        <v>263</v>
      </c>
      <c r="C238" s="275">
        <f>data!AZ64</f>
        <v>93575.87999999999</v>
      </c>
      <c r="D238" s="275">
        <f>data!BA64</f>
        <v>10910.35</v>
      </c>
      <c r="E238" s="275">
        <f>data!BB64</f>
        <v>283901.03000000009</v>
      </c>
      <c r="F238" s="275">
        <f>data!BC64</f>
        <v>0</v>
      </c>
      <c r="G238" s="275">
        <f>data!BD64</f>
        <v>154101.74</v>
      </c>
      <c r="H238" s="275">
        <f>data!BE64</f>
        <v>969329.80999999982</v>
      </c>
      <c r="I238" s="275">
        <f>data!BF64</f>
        <v>1600404.88</v>
      </c>
    </row>
    <row r="239" spans="1:9" customFormat="1" ht="20.100000000000001" customHeight="1" x14ac:dyDescent="0.2">
      <c r="A239" s="274">
        <v>10</v>
      </c>
      <c r="B239" s="275" t="s">
        <v>525</v>
      </c>
      <c r="C239" s="275">
        <f>data!AZ65</f>
        <v>0</v>
      </c>
      <c r="D239" s="275">
        <f>data!BA65</f>
        <v>0</v>
      </c>
      <c r="E239" s="275">
        <f>data!BB65</f>
        <v>0</v>
      </c>
      <c r="F239" s="275">
        <f>data!BC65</f>
        <v>0</v>
      </c>
      <c r="G239" s="275">
        <f>data!BD65</f>
        <v>0</v>
      </c>
      <c r="H239" s="275">
        <f>data!BE65</f>
        <v>0</v>
      </c>
      <c r="I239" s="275">
        <f>data!BF65</f>
        <v>0</v>
      </c>
    </row>
    <row r="240" spans="1:9" customFormat="1" ht="20.100000000000001" customHeight="1" x14ac:dyDescent="0.2">
      <c r="A240" s="274">
        <v>11</v>
      </c>
      <c r="B240" s="275" t="s">
        <v>526</v>
      </c>
      <c r="C240" s="275">
        <f>data!AZ66</f>
        <v>0</v>
      </c>
      <c r="D240" s="275">
        <f>data!BA66</f>
        <v>-0.52999999979510903</v>
      </c>
      <c r="E240" s="275">
        <f>data!BB66</f>
        <v>5264436.5099999988</v>
      </c>
      <c r="F240" s="275">
        <f>data!BC66</f>
        <v>0</v>
      </c>
      <c r="G240" s="275">
        <f>data!BD66</f>
        <v>240137.69</v>
      </c>
      <c r="H240" s="275">
        <f>data!BE66</f>
        <v>13743323.5</v>
      </c>
      <c r="I240" s="275">
        <f>data!BF66</f>
        <v>1154442.22</v>
      </c>
    </row>
    <row r="241" spans="1:9" customFormat="1" ht="20.100000000000001" customHeight="1" x14ac:dyDescent="0.2">
      <c r="A241" s="274">
        <v>12</v>
      </c>
      <c r="B241" s="275" t="s">
        <v>14</v>
      </c>
      <c r="C241" s="275">
        <f>data!AZ67</f>
        <v>133307</v>
      </c>
      <c r="D241" s="275">
        <f>data!BA67</f>
        <v>124591</v>
      </c>
      <c r="E241" s="275">
        <f>data!BB67</f>
        <v>1919303</v>
      </c>
      <c r="F241" s="275">
        <f>data!BC67</f>
        <v>94996</v>
      </c>
      <c r="G241" s="275">
        <f>data!BD67</f>
        <v>0</v>
      </c>
      <c r="H241" s="275">
        <f>data!BE67</f>
        <v>47307730</v>
      </c>
      <c r="I241" s="275">
        <f>data!BF67</f>
        <v>896430</v>
      </c>
    </row>
    <row r="242" spans="1:9" customFormat="1" ht="20.100000000000001" customHeight="1" x14ac:dyDescent="0.2">
      <c r="A242" s="274">
        <v>13</v>
      </c>
      <c r="B242" s="275" t="s">
        <v>1006</v>
      </c>
      <c r="C242" s="275">
        <f>data!AZ68</f>
        <v>0</v>
      </c>
      <c r="D242" s="275">
        <f>data!BA68</f>
        <v>0</v>
      </c>
      <c r="E242" s="275">
        <f>data!BB68</f>
        <v>577.57000000000005</v>
      </c>
      <c r="F242" s="275">
        <f>data!BC68</f>
        <v>0</v>
      </c>
      <c r="G242" s="275">
        <f>data!BD68</f>
        <v>0</v>
      </c>
      <c r="H242" s="275">
        <f>data!BE68</f>
        <v>1393355.2500000002</v>
      </c>
      <c r="I242" s="275">
        <f>data!BF68</f>
        <v>0</v>
      </c>
    </row>
    <row r="243" spans="1:9" customFormat="1" ht="20.100000000000001" customHeight="1" x14ac:dyDescent="0.2">
      <c r="A243" s="274">
        <v>14</v>
      </c>
      <c r="B243" s="275" t="s">
        <v>1007</v>
      </c>
      <c r="C243" s="275">
        <f>data!AZ69</f>
        <v>2139.9100000000003</v>
      </c>
      <c r="D243" s="275">
        <f>data!BA69</f>
        <v>3879152</v>
      </c>
      <c r="E243" s="275">
        <f>data!BB69</f>
        <v>365832.28</v>
      </c>
      <c r="F243" s="275">
        <f>data!BC69</f>
        <v>0</v>
      </c>
      <c r="G243" s="275">
        <f>data!BD69</f>
        <v>99250.45</v>
      </c>
      <c r="H243" s="275">
        <f>data!BE69</f>
        <v>25000523.990000002</v>
      </c>
      <c r="I243" s="275">
        <f>data!BF69</f>
        <v>1255214.1399999999</v>
      </c>
    </row>
    <row r="244" spans="1:9" customFormat="1" ht="20.100000000000001" customHeight="1" x14ac:dyDescent="0.2">
      <c r="A244" s="274">
        <v>15</v>
      </c>
      <c r="B244" s="275" t="s">
        <v>282</v>
      </c>
      <c r="C244" s="275">
        <f>-data!AZ84</f>
        <v>-207857.31</v>
      </c>
      <c r="D244" s="275">
        <f>-data!BA84</f>
        <v>0</v>
      </c>
      <c r="E244" s="275">
        <f>-data!BB84</f>
        <v>289.76000000000931</v>
      </c>
      <c r="F244" s="275">
        <f>-data!BC84</f>
        <v>0</v>
      </c>
      <c r="G244" s="275">
        <f>-data!BD84</f>
        <v>0</v>
      </c>
      <c r="H244" s="275">
        <f>-data!BE84</f>
        <v>-8061465.0999999996</v>
      </c>
      <c r="I244" s="275">
        <f>-data!BF84</f>
        <v>0</v>
      </c>
    </row>
    <row r="245" spans="1:9" customFormat="1" ht="20.100000000000001" customHeight="1" x14ac:dyDescent="0.2">
      <c r="A245" s="274">
        <v>16</v>
      </c>
      <c r="B245" s="283" t="s">
        <v>1008</v>
      </c>
      <c r="C245" s="275">
        <f>data!AZ85</f>
        <v>158196.30999999994</v>
      </c>
      <c r="D245" s="275">
        <f>data!BA85</f>
        <v>4509875.4800000004</v>
      </c>
      <c r="E245" s="275">
        <f>data!BB85</f>
        <v>28653151.210000008</v>
      </c>
      <c r="F245" s="275">
        <f>data!BC85</f>
        <v>399525.58999999997</v>
      </c>
      <c r="G245" s="275">
        <f>data!BD85</f>
        <v>3228188.4499999997</v>
      </c>
      <c r="H245" s="275">
        <f>data!BE85</f>
        <v>111065610.32000002</v>
      </c>
      <c r="I245" s="275">
        <f>data!BF85</f>
        <v>22748890.759999994</v>
      </c>
    </row>
    <row r="246" spans="1:9" customFormat="1" ht="20.100000000000001" customHeight="1" x14ac:dyDescent="0.2">
      <c r="A246" s="274">
        <v>17</v>
      </c>
      <c r="B246" s="275" t="s">
        <v>284</v>
      </c>
      <c r="C246" s="285"/>
      <c r="D246" s="285"/>
      <c r="E246" s="285"/>
      <c r="F246" s="285"/>
      <c r="G246" s="285"/>
      <c r="H246" s="285"/>
      <c r="I246" s="285"/>
    </row>
    <row r="247" spans="1:9" customFormat="1" ht="20.100000000000001" customHeight="1" x14ac:dyDescent="0.2">
      <c r="A247" s="274">
        <v>18</v>
      </c>
      <c r="B247" s="275" t="s">
        <v>1009</v>
      </c>
      <c r="C247" s="275"/>
      <c r="D247" s="275"/>
      <c r="E247" s="275"/>
      <c r="F247" s="275"/>
      <c r="G247" s="275"/>
      <c r="H247" s="275"/>
      <c r="I247" s="275"/>
    </row>
    <row r="248" spans="1:9" customFormat="1" ht="20.100000000000001" customHeight="1" x14ac:dyDescent="0.2">
      <c r="A248" s="274">
        <v>19</v>
      </c>
      <c r="B248" s="283" t="s">
        <v>1010</v>
      </c>
      <c r="C248" s="290" t="str">
        <f>IF(data!AZ87&gt;0,data!AZ87,"")</f>
        <v>x</v>
      </c>
      <c r="D248" s="290" t="str">
        <f>IF(data!BA87&gt;0,data!BA87,"")</f>
        <v>x</v>
      </c>
      <c r="E248" s="290" t="str">
        <f>IF(data!BB87&gt;0,data!BB87,"")</f>
        <v>x</v>
      </c>
      <c r="F248" s="290" t="str">
        <f>IF(data!BC87&gt;0,data!BC87,"")</f>
        <v>x</v>
      </c>
      <c r="G248" s="290" t="str">
        <f>IF(data!BD87&gt;0,data!BD87,"")</f>
        <v>x</v>
      </c>
      <c r="H248" s="290" t="str">
        <f>IF(data!BE87&gt;0,data!BE87,"")</f>
        <v>x</v>
      </c>
      <c r="I248" s="290" t="str">
        <f>IF(data!BF87&gt;0,data!BF87,"")</f>
        <v>x</v>
      </c>
    </row>
    <row r="249" spans="1:9" customFormat="1" ht="20.100000000000001" customHeight="1" x14ac:dyDescent="0.2">
      <c r="A249" s="274">
        <v>20</v>
      </c>
      <c r="B249" s="283" t="s">
        <v>1011</v>
      </c>
      <c r="C249" s="290" t="str">
        <f>IF(data!AZ88&gt;0,data!AZ88,"")</f>
        <v>x</v>
      </c>
      <c r="D249" s="290" t="str">
        <f>IF(data!BA88&gt;0,data!BA88,"")</f>
        <v>x</v>
      </c>
      <c r="E249" s="290" t="str">
        <f>IF(data!BB88&gt;0,data!BB88,"")</f>
        <v>x</v>
      </c>
      <c r="F249" s="290" t="str">
        <f>IF(data!BC88&gt;0,data!BC88,"")</f>
        <v>x</v>
      </c>
      <c r="G249" s="290" t="str">
        <f>IF(data!BD88&gt;0,data!BD88,"")</f>
        <v>x</v>
      </c>
      <c r="H249" s="290" t="str">
        <f>IF(data!BE88&gt;0,data!BE88,"")</f>
        <v>x</v>
      </c>
      <c r="I249" s="290" t="str">
        <f>IF(data!BF88&gt;0,data!BF88,"")</f>
        <v>x</v>
      </c>
    </row>
    <row r="250" spans="1:9" customFormat="1" ht="20.100000000000001" customHeight="1" x14ac:dyDescent="0.2">
      <c r="A250" s="274">
        <v>21</v>
      </c>
      <c r="B250" s="283" t="s">
        <v>1012</v>
      </c>
      <c r="C250" s="290" t="str">
        <f>IF(data!AZ89&gt;0,data!AZ89,"")</f>
        <v>x</v>
      </c>
      <c r="D250" s="290" t="str">
        <f>IF(data!BA89&gt;0,data!BA89,"")</f>
        <v>x</v>
      </c>
      <c r="E250" s="290" t="str">
        <f>IF(data!BB89&gt;0,data!BB89,"")</f>
        <v>x</v>
      </c>
      <c r="F250" s="290" t="str">
        <f>IF(data!BC89&gt;0,data!BC89,"")</f>
        <v>x</v>
      </c>
      <c r="G250" s="290" t="str">
        <f>IF(data!BD89&gt;0,data!BD89,"")</f>
        <v>x</v>
      </c>
      <c r="H250" s="290" t="str">
        <f>IF(data!BE89&gt;0,data!BE89,"")</f>
        <v>x</v>
      </c>
      <c r="I250" s="290" t="str">
        <f>IF(data!BF89&gt;0,data!BF89,"")</f>
        <v>x</v>
      </c>
    </row>
    <row r="251" spans="1:9" customFormat="1" ht="20.100000000000001" customHeight="1" x14ac:dyDescent="0.2">
      <c r="A251" s="274" t="s">
        <v>1013</v>
      </c>
      <c r="B251" s="275"/>
      <c r="C251" s="285"/>
      <c r="D251" s="285"/>
      <c r="E251" s="285"/>
      <c r="F251" s="285"/>
      <c r="G251" s="285"/>
      <c r="H251" s="285"/>
      <c r="I251" s="285"/>
    </row>
    <row r="252" spans="1:9" customFormat="1" ht="20.100000000000001" customHeight="1" x14ac:dyDescent="0.2">
      <c r="A252" s="274">
        <v>22</v>
      </c>
      <c r="B252" s="275" t="s">
        <v>1014</v>
      </c>
      <c r="C252" s="291">
        <f>data!AZ90</f>
        <v>1307.0574386637277</v>
      </c>
      <c r="D252" s="291">
        <f>data!BA90</f>
        <v>1221.6015341016334</v>
      </c>
      <c r="E252" s="291">
        <f>data!BB90</f>
        <v>18818.551419041069</v>
      </c>
      <c r="F252" s="291">
        <f>data!BC90</f>
        <v>931.42299934499931</v>
      </c>
      <c r="G252" s="291">
        <f>data!BD90</f>
        <v>0</v>
      </c>
      <c r="H252" s="291">
        <f>data!BE90</f>
        <v>463846.8951265561</v>
      </c>
      <c r="I252" s="291">
        <f>data!BF90</f>
        <v>8789.3896437382082</v>
      </c>
    </row>
    <row r="253" spans="1:9" customFormat="1" ht="20.100000000000001" customHeight="1" x14ac:dyDescent="0.2">
      <c r="A253" s="274">
        <v>23</v>
      </c>
      <c r="B253" s="275" t="s">
        <v>1015</v>
      </c>
      <c r="C253" s="291">
        <f>data!AZ91</f>
        <v>0</v>
      </c>
      <c r="D253" s="291">
        <f>data!BA91</f>
        <v>0</v>
      </c>
      <c r="E253" s="291">
        <f>data!BB91</f>
        <v>0</v>
      </c>
      <c r="F253" s="291">
        <f>data!BC91</f>
        <v>0</v>
      </c>
      <c r="G253" s="290" t="str">
        <f>IF(data!BD91&gt;0,data!BD91,"")</f>
        <v>x</v>
      </c>
      <c r="H253" s="290" t="str">
        <f>IF(data!BE91&gt;0,data!BE91,"")</f>
        <v>x</v>
      </c>
      <c r="I253" s="291">
        <f>data!BF91</f>
        <v>0</v>
      </c>
    </row>
    <row r="254" spans="1:9" customFormat="1" ht="20.100000000000001" customHeight="1" x14ac:dyDescent="0.2">
      <c r="A254" s="274">
        <v>24</v>
      </c>
      <c r="B254" s="275" t="s">
        <v>1016</v>
      </c>
      <c r="C254" s="290" t="str">
        <f>IF(data!AZ92&gt;0,data!AZ92,"")</f>
        <v>x</v>
      </c>
      <c r="D254" s="291">
        <f>data!BA92</f>
        <v>107.33719614351068</v>
      </c>
      <c r="E254" s="291">
        <f>data!BB92</f>
        <v>1794.3203639894448</v>
      </c>
      <c r="F254" s="291">
        <f>data!BC92</f>
        <v>81.840379520146769</v>
      </c>
      <c r="G254" s="290" t="str">
        <f>IF(data!BD92&gt;0,data!BD92,"")</f>
        <v>x</v>
      </c>
      <c r="H254" s="290" t="str">
        <f>IF(data!BE92&gt;0,data!BE92,"")</f>
        <v>x</v>
      </c>
      <c r="I254" s="290" t="str">
        <f>IF(data!BF92&gt;0,data!BF92,"")</f>
        <v>x</v>
      </c>
    </row>
    <row r="255" spans="1:9" customFormat="1" ht="20.100000000000001" customHeight="1" x14ac:dyDescent="0.2">
      <c r="A255" s="274">
        <v>25</v>
      </c>
      <c r="B255" s="275" t="s">
        <v>1017</v>
      </c>
      <c r="C255" s="290" t="str">
        <f>IF(data!AZ93&gt;0,data!AZ93,"")</f>
        <v>x</v>
      </c>
      <c r="D255" s="290" t="str">
        <f>IF(data!BA93&gt;0,data!BA93,"")</f>
        <v>x</v>
      </c>
      <c r="E255" s="291">
        <f>data!BB93</f>
        <v>0</v>
      </c>
      <c r="F255" s="291">
        <f>data!BC93</f>
        <v>0</v>
      </c>
      <c r="G255" s="290" t="str">
        <f>IF(data!BD93&gt;0,data!BD93,"")</f>
        <v>x</v>
      </c>
      <c r="H255" s="290" t="str">
        <f>IF(data!BE93&gt;0,data!BE93,"")</f>
        <v>x</v>
      </c>
      <c r="I255" s="290" t="str">
        <f>IF(data!BF93&gt;0,data!BF93,"")</f>
        <v>x</v>
      </c>
    </row>
    <row r="256" spans="1:9" customFormat="1" ht="20.100000000000001" customHeight="1" x14ac:dyDescent="0.2">
      <c r="A256" s="274">
        <v>26</v>
      </c>
      <c r="B256" s="275" t="s">
        <v>292</v>
      </c>
      <c r="C256" s="290" t="str">
        <f>IF(data!AZ94&gt;0,data!AZ94,"")</f>
        <v>x</v>
      </c>
      <c r="D256" s="290" t="str">
        <f>IF(data!BA94&gt;0,data!BA94,"")</f>
        <v>x</v>
      </c>
      <c r="E256" s="290" t="str">
        <f>IF(data!BB94&gt;0,data!BB94,"")</f>
        <v>x</v>
      </c>
      <c r="F256" s="290" t="str">
        <f>IF(data!BC94&gt;0,data!BC94,"")</f>
        <v>x</v>
      </c>
      <c r="G256" s="290" t="str">
        <f>IF(data!BD94&gt;0,data!BD94,"")</f>
        <v>x</v>
      </c>
      <c r="H256" s="290" t="str">
        <f>IF(data!BE94&gt;0,data!BE94,"")</f>
        <v>x</v>
      </c>
      <c r="I256" s="290" t="str">
        <f>IF(data!BF94&gt;0,data!BF94,"")</f>
        <v>x</v>
      </c>
    </row>
    <row r="257" spans="1:9" customFormat="1" ht="20.100000000000001" customHeight="1" x14ac:dyDescent="0.2">
      <c r="A257" s="268" t="s">
        <v>999</v>
      </c>
      <c r="B257" s="269"/>
      <c r="C257" s="269"/>
      <c r="D257" s="269"/>
      <c r="E257" s="269"/>
      <c r="F257" s="269"/>
      <c r="G257" s="269"/>
      <c r="H257" s="269"/>
      <c r="I257" s="268"/>
    </row>
    <row r="258" spans="1:9" customFormat="1" ht="20.100000000000001" customHeight="1" x14ac:dyDescent="0.2">
      <c r="D258" s="270"/>
      <c r="I258" s="271" t="s">
        <v>1045</v>
      </c>
    </row>
    <row r="259" spans="1:9" customFormat="1" ht="20.100000000000001" customHeight="1" x14ac:dyDescent="0.2">
      <c r="A259" s="270"/>
    </row>
    <row r="260" spans="1:9" customFormat="1" ht="20.100000000000001" customHeight="1" x14ac:dyDescent="0.2">
      <c r="A260" s="272" t="str">
        <f>"Hospital: "&amp;data!C98</f>
        <v>Hospital: Seattle Children's Hospital</v>
      </c>
      <c r="G260" s="273"/>
      <c r="H260" s="272" t="str">
        <f>"FYE: "&amp;data!C96</f>
        <v>FYE: 09/30/2024</v>
      </c>
    </row>
    <row r="261" spans="1:9" customFormat="1" ht="20.100000000000001" customHeight="1" x14ac:dyDescent="0.2">
      <c r="A261" s="274">
        <v>1</v>
      </c>
      <c r="B261" s="275" t="s">
        <v>234</v>
      </c>
      <c r="C261" s="277" t="s">
        <v>90</v>
      </c>
      <c r="D261" s="277" t="s">
        <v>91</v>
      </c>
      <c r="E261" s="277" t="s">
        <v>92</v>
      </c>
      <c r="F261" s="277" t="s">
        <v>93</v>
      </c>
      <c r="G261" s="277" t="s">
        <v>94</v>
      </c>
      <c r="H261" s="277" t="s">
        <v>95</v>
      </c>
      <c r="I261" s="277" t="s">
        <v>96</v>
      </c>
    </row>
    <row r="262" spans="1:9" customFormat="1" ht="20.100000000000001" customHeight="1" x14ac:dyDescent="0.2">
      <c r="A262" s="278">
        <v>2</v>
      </c>
      <c r="B262" s="279" t="s">
        <v>1001</v>
      </c>
      <c r="C262" s="281" t="s">
        <v>1046</v>
      </c>
      <c r="D262" s="281" t="s">
        <v>168</v>
      </c>
      <c r="E262" s="281" t="s">
        <v>169</v>
      </c>
      <c r="F262" s="281"/>
      <c r="G262" s="281" t="s">
        <v>171</v>
      </c>
      <c r="H262" s="281"/>
      <c r="I262" s="281" t="s">
        <v>157</v>
      </c>
    </row>
    <row r="263" spans="1:9" customFormat="1" ht="20.100000000000001" customHeight="1" x14ac:dyDescent="0.2">
      <c r="A263" s="278"/>
      <c r="B263" s="279"/>
      <c r="C263" s="281" t="s">
        <v>1047</v>
      </c>
      <c r="D263" s="281" t="s">
        <v>215</v>
      </c>
      <c r="E263" s="281" t="s">
        <v>194</v>
      </c>
      <c r="F263" s="281" t="s">
        <v>170</v>
      </c>
      <c r="G263" s="281" t="s">
        <v>216</v>
      </c>
      <c r="H263" s="281" t="s">
        <v>172</v>
      </c>
      <c r="I263" s="281" t="s">
        <v>1048</v>
      </c>
    </row>
    <row r="264" spans="1:9" customFormat="1" ht="20.100000000000001" customHeight="1" x14ac:dyDescent="0.2">
      <c r="A264" s="274">
        <v>3</v>
      </c>
      <c r="B264" s="275" t="s">
        <v>1005</v>
      </c>
      <c r="C264" s="287"/>
      <c r="D264" s="287"/>
      <c r="E264" s="287"/>
      <c r="F264" s="287"/>
      <c r="G264" s="287"/>
      <c r="H264" s="287"/>
      <c r="I264" s="287"/>
    </row>
    <row r="265" spans="1:9" customFormat="1" ht="20.100000000000001" customHeight="1" x14ac:dyDescent="0.2">
      <c r="A265" s="274">
        <v>4</v>
      </c>
      <c r="B265" s="275" t="s">
        <v>259</v>
      </c>
      <c r="C265" s="287"/>
      <c r="D265" s="287"/>
      <c r="E265" s="287"/>
      <c r="F265" s="287"/>
      <c r="G265" s="287"/>
      <c r="H265" s="287"/>
      <c r="I265" s="287"/>
    </row>
    <row r="266" spans="1:9" customFormat="1" ht="20.100000000000001" customHeight="1" x14ac:dyDescent="0.2">
      <c r="A266" s="274">
        <v>5</v>
      </c>
      <c r="B266" s="275" t="s">
        <v>260</v>
      </c>
      <c r="C266" s="282">
        <f>data!BG60</f>
        <v>21.373624104635994</v>
      </c>
      <c r="D266" s="282">
        <f>data!BH60</f>
        <v>306.55634790284341</v>
      </c>
      <c r="E266" s="282">
        <f>data!BI60</f>
        <v>39.370539730831034</v>
      </c>
      <c r="F266" s="282">
        <f>data!BJ60</f>
        <v>50.622749368111272</v>
      </c>
      <c r="G266" s="282">
        <f>data!BK60</f>
        <v>210.36206710135303</v>
      </c>
      <c r="H266" s="282">
        <f>data!BL60</f>
        <v>120.14549308783654</v>
      </c>
      <c r="I266" s="282">
        <f>data!BM60</f>
        <v>0</v>
      </c>
    </row>
    <row r="267" spans="1:9" customFormat="1" ht="20.100000000000001" customHeight="1" x14ac:dyDescent="0.2">
      <c r="A267" s="274">
        <v>6</v>
      </c>
      <c r="B267" s="275" t="s">
        <v>261</v>
      </c>
      <c r="C267" s="275">
        <f>data!BG61</f>
        <v>1949474.6900000002</v>
      </c>
      <c r="D267" s="275">
        <f>data!BH61</f>
        <v>44654182.630000003</v>
      </c>
      <c r="E267" s="275">
        <f>data!BI61</f>
        <v>3719578.2800000003</v>
      </c>
      <c r="F267" s="275">
        <f>data!BJ61</f>
        <v>6128060.7200000007</v>
      </c>
      <c r="G267" s="275">
        <f>data!BK61</f>
        <v>19348898.039999995</v>
      </c>
      <c r="H267" s="275">
        <f>data!BL61</f>
        <v>8214977.79</v>
      </c>
      <c r="I267" s="275">
        <f>data!BM61</f>
        <v>0</v>
      </c>
    </row>
    <row r="268" spans="1:9" customFormat="1" ht="20.100000000000001" customHeight="1" x14ac:dyDescent="0.2">
      <c r="A268" s="274">
        <v>7</v>
      </c>
      <c r="B268" s="275" t="s">
        <v>9</v>
      </c>
      <c r="C268" s="275">
        <f>data!BG62</f>
        <v>535934</v>
      </c>
      <c r="D268" s="275">
        <f>data!BH62</f>
        <v>12275970</v>
      </c>
      <c r="E268" s="275">
        <f>data!BI62</f>
        <v>1022557</v>
      </c>
      <c r="F268" s="275">
        <f>data!BJ62</f>
        <v>1684677</v>
      </c>
      <c r="G268" s="275">
        <f>data!BK62</f>
        <v>5319244</v>
      </c>
      <c r="H268" s="275">
        <f>data!BL62</f>
        <v>2258396</v>
      </c>
      <c r="I268" s="275">
        <f>data!BM62</f>
        <v>0</v>
      </c>
    </row>
    <row r="269" spans="1:9" customFormat="1" ht="20.100000000000001" customHeight="1" x14ac:dyDescent="0.2">
      <c r="A269" s="274">
        <v>8</v>
      </c>
      <c r="B269" s="275" t="s">
        <v>262</v>
      </c>
      <c r="C269" s="275">
        <f>data!BG63</f>
        <v>0</v>
      </c>
      <c r="D269" s="275">
        <f>data!BH63</f>
        <v>1171422.3999999999</v>
      </c>
      <c r="E269" s="275">
        <f>data!BI63</f>
        <v>0</v>
      </c>
      <c r="F269" s="275">
        <f>data!BJ63</f>
        <v>0</v>
      </c>
      <c r="G269" s="275">
        <f>data!BK63</f>
        <v>0</v>
      </c>
      <c r="H269" s="275">
        <f>data!BL63</f>
        <v>0</v>
      </c>
      <c r="I269" s="275">
        <f>data!BM63</f>
        <v>0</v>
      </c>
    </row>
    <row r="270" spans="1:9" customFormat="1" ht="20.100000000000001" customHeight="1" x14ac:dyDescent="0.2">
      <c r="A270" s="274">
        <v>9</v>
      </c>
      <c r="B270" s="275" t="s">
        <v>263</v>
      </c>
      <c r="C270" s="275">
        <f>data!BG64</f>
        <v>3666.09</v>
      </c>
      <c r="D270" s="275">
        <f>data!BH64</f>
        <v>192463.24000000002</v>
      </c>
      <c r="E270" s="275">
        <f>data!BI64</f>
        <v>70757.14</v>
      </c>
      <c r="F270" s="275">
        <f>data!BJ64</f>
        <v>170591.63999999998</v>
      </c>
      <c r="G270" s="275">
        <f>data!BK64</f>
        <v>151945.53</v>
      </c>
      <c r="H270" s="275">
        <f>data!BL64</f>
        <v>41102.58</v>
      </c>
      <c r="I270" s="275">
        <f>data!BM64</f>
        <v>0</v>
      </c>
    </row>
    <row r="271" spans="1:9" customFormat="1" ht="20.100000000000001" customHeight="1" x14ac:dyDescent="0.2">
      <c r="A271" s="274">
        <v>10</v>
      </c>
      <c r="B271" s="275" t="s">
        <v>525</v>
      </c>
      <c r="C271" s="275">
        <f>data!BG65</f>
        <v>0</v>
      </c>
      <c r="D271" s="275">
        <f>data!BH65</f>
        <v>0</v>
      </c>
      <c r="E271" s="275">
        <f>data!BI65</f>
        <v>0</v>
      </c>
      <c r="F271" s="275">
        <f>data!BJ65</f>
        <v>0</v>
      </c>
      <c r="G271" s="275">
        <f>data!BK65</f>
        <v>0</v>
      </c>
      <c r="H271" s="275">
        <f>data!BL65</f>
        <v>0</v>
      </c>
      <c r="I271" s="275">
        <f>data!BM65</f>
        <v>0</v>
      </c>
    </row>
    <row r="272" spans="1:9" customFormat="1" ht="20.100000000000001" customHeight="1" x14ac:dyDescent="0.2">
      <c r="A272" s="274">
        <v>11</v>
      </c>
      <c r="B272" s="275" t="s">
        <v>526</v>
      </c>
      <c r="C272" s="275">
        <f>data!BG66</f>
        <v>1046825.14</v>
      </c>
      <c r="D272" s="275">
        <f>data!BH66</f>
        <v>19910740.289999995</v>
      </c>
      <c r="E272" s="275">
        <f>data!BI66</f>
        <v>2325090.91</v>
      </c>
      <c r="F272" s="275">
        <f>data!BJ66</f>
        <v>2387045</v>
      </c>
      <c r="G272" s="275">
        <f>data!BK66</f>
        <v>2499242.41</v>
      </c>
      <c r="H272" s="275">
        <f>data!BL66</f>
        <v>3852.61</v>
      </c>
      <c r="I272" s="275">
        <f>data!BM66</f>
        <v>0</v>
      </c>
    </row>
    <row r="273" spans="1:9" customFormat="1" ht="20.100000000000001" customHeight="1" x14ac:dyDescent="0.2">
      <c r="A273" s="274">
        <v>12</v>
      </c>
      <c r="B273" s="275" t="s">
        <v>14</v>
      </c>
      <c r="C273" s="275">
        <f>data!BG67</f>
        <v>202547</v>
      </c>
      <c r="D273" s="275">
        <f>data!BH67</f>
        <v>1518895</v>
      </c>
      <c r="E273" s="275">
        <f>data!BI67</f>
        <v>370393</v>
      </c>
      <c r="F273" s="275">
        <f>data!BJ67</f>
        <v>0</v>
      </c>
      <c r="G273" s="275">
        <f>data!BK67</f>
        <v>0</v>
      </c>
      <c r="H273" s="275">
        <f>data!BL67</f>
        <v>526891</v>
      </c>
      <c r="I273" s="275">
        <f>data!BM67</f>
        <v>0</v>
      </c>
    </row>
    <row r="274" spans="1:9" customFormat="1" ht="20.100000000000001" customHeight="1" x14ac:dyDescent="0.2">
      <c r="A274" s="274">
        <v>13</v>
      </c>
      <c r="B274" s="275" t="s">
        <v>1006</v>
      </c>
      <c r="C274" s="275">
        <f>data!BG68</f>
        <v>0</v>
      </c>
      <c r="D274" s="275">
        <f>data!BH68</f>
        <v>907957.24000000011</v>
      </c>
      <c r="E274" s="275">
        <f>data!BI68</f>
        <v>1875984.9500000002</v>
      </c>
      <c r="F274" s="275">
        <f>data!BJ68</f>
        <v>0</v>
      </c>
      <c r="G274" s="275">
        <f>data!BK68</f>
        <v>0</v>
      </c>
      <c r="H274" s="275">
        <f>data!BL68</f>
        <v>0</v>
      </c>
      <c r="I274" s="275">
        <f>data!BM68</f>
        <v>0</v>
      </c>
    </row>
    <row r="275" spans="1:9" customFormat="1" ht="20.100000000000001" customHeight="1" x14ac:dyDescent="0.2">
      <c r="A275" s="274">
        <v>14</v>
      </c>
      <c r="B275" s="275" t="s">
        <v>1007</v>
      </c>
      <c r="C275" s="275">
        <f>data!BG69</f>
        <v>1982264.3200000001</v>
      </c>
      <c r="D275" s="275">
        <f>data!BH69</f>
        <v>32481939.289999999</v>
      </c>
      <c r="E275" s="275">
        <f>data!BI69</f>
        <v>195950.34999999992</v>
      </c>
      <c r="F275" s="275">
        <f>data!BJ69</f>
        <v>4215976.5599999996</v>
      </c>
      <c r="G275" s="275">
        <f>data!BK69</f>
        <v>1611184.5</v>
      </c>
      <c r="H275" s="275">
        <f>data!BL69</f>
        <v>379.92</v>
      </c>
      <c r="I275" s="275">
        <f>data!BM69</f>
        <v>0</v>
      </c>
    </row>
    <row r="276" spans="1:9" customFormat="1" ht="20.100000000000001" customHeight="1" x14ac:dyDescent="0.2">
      <c r="A276" s="274">
        <v>15</v>
      </c>
      <c r="B276" s="275" t="s">
        <v>282</v>
      </c>
      <c r="C276" s="275">
        <f>-data!BG84</f>
        <v>0</v>
      </c>
      <c r="D276" s="275">
        <f>-data!BH84</f>
        <v>0</v>
      </c>
      <c r="E276" s="275">
        <f>-data!BI84</f>
        <v>-1861229.7899999998</v>
      </c>
      <c r="F276" s="275">
        <f>-data!BJ84</f>
        <v>0</v>
      </c>
      <c r="G276" s="275">
        <f>-data!BK84</f>
        <v>-10563862.899999999</v>
      </c>
      <c r="H276" s="275">
        <f>-data!BL84</f>
        <v>0</v>
      </c>
      <c r="I276" s="275">
        <f>-data!BM84</f>
        <v>0</v>
      </c>
    </row>
    <row r="277" spans="1:9" customFormat="1" ht="20.100000000000001" customHeight="1" x14ac:dyDescent="0.2">
      <c r="A277" s="274">
        <v>16</v>
      </c>
      <c r="B277" s="283" t="s">
        <v>1008</v>
      </c>
      <c r="C277" s="275">
        <f>data!BG85</f>
        <v>5720711.2400000002</v>
      </c>
      <c r="D277" s="275">
        <f>data!BH85</f>
        <v>113113570.09</v>
      </c>
      <c r="E277" s="275">
        <f>data!BI85</f>
        <v>7719081.8400000008</v>
      </c>
      <c r="F277" s="275">
        <f>data!BJ85</f>
        <v>14586350.919999998</v>
      </c>
      <c r="G277" s="275">
        <f>data!BK85</f>
        <v>18366651.579999998</v>
      </c>
      <c r="H277" s="275">
        <f>data!BL85</f>
        <v>11045599.899999999</v>
      </c>
      <c r="I277" s="275">
        <f>data!BM85</f>
        <v>0</v>
      </c>
    </row>
    <row r="278" spans="1:9" customFormat="1" ht="20.100000000000001" customHeight="1" x14ac:dyDescent="0.2">
      <c r="A278" s="274">
        <v>17</v>
      </c>
      <c r="B278" s="275" t="s">
        <v>284</v>
      </c>
      <c r="C278" s="285"/>
      <c r="D278" s="285"/>
      <c r="E278" s="285"/>
      <c r="F278" s="285"/>
      <c r="G278" s="285"/>
      <c r="H278" s="285"/>
      <c r="I278" s="285"/>
    </row>
    <row r="279" spans="1:9" customFormat="1" ht="20.100000000000001" customHeight="1" x14ac:dyDescent="0.2">
      <c r="A279" s="274">
        <v>18</v>
      </c>
      <c r="B279" s="275" t="s">
        <v>1009</v>
      </c>
      <c r="C279" s="275"/>
      <c r="D279" s="275"/>
      <c r="E279" s="275"/>
      <c r="F279" s="275"/>
      <c r="G279" s="275"/>
      <c r="H279" s="275"/>
      <c r="I279" s="275"/>
    </row>
    <row r="280" spans="1:9" customFormat="1" ht="20.100000000000001" customHeight="1" x14ac:dyDescent="0.2">
      <c r="A280" s="274">
        <v>19</v>
      </c>
      <c r="B280" s="283" t="s">
        <v>1010</v>
      </c>
      <c r="C280" s="290" t="str">
        <f>IF(data!BG87&gt;0,data!BG87,"")</f>
        <v>x</v>
      </c>
      <c r="D280" s="290" t="str">
        <f>IF(data!BH87&gt;0,data!BH87,"")</f>
        <v>x</v>
      </c>
      <c r="E280" s="290" t="str">
        <f>IF(data!BI87&gt;0,data!BI87,"")</f>
        <v>x</v>
      </c>
      <c r="F280" s="290" t="str">
        <f>IF(data!BJ87&gt;0,data!BJ87,"")</f>
        <v>x</v>
      </c>
      <c r="G280" s="290" t="str">
        <f>IF(data!BK87&gt;0,data!BK87,"")</f>
        <v>x</v>
      </c>
      <c r="H280" s="290" t="str">
        <f>IF(data!BL87&gt;0,data!BL87,"")</f>
        <v>x</v>
      </c>
      <c r="I280" s="290" t="str">
        <f>IF(data!BM87&gt;0,data!BM87,"")</f>
        <v>x</v>
      </c>
    </row>
    <row r="281" spans="1:9" customFormat="1" ht="20.100000000000001" customHeight="1" x14ac:dyDescent="0.2">
      <c r="A281" s="274">
        <v>20</v>
      </c>
      <c r="B281" s="283" t="s">
        <v>1011</v>
      </c>
      <c r="C281" s="290" t="str">
        <f>IF(data!BG88&gt;0,data!BG88,"")</f>
        <v>x</v>
      </c>
      <c r="D281" s="290" t="str">
        <f>IF(data!BH88&gt;0,data!BH88,"")</f>
        <v>x</v>
      </c>
      <c r="E281" s="290" t="str">
        <f>IF(data!BI88&gt;0,data!BI88,"")</f>
        <v>x</v>
      </c>
      <c r="F281" s="290" t="str">
        <f>IF(data!BJ88&gt;0,data!BJ88,"")</f>
        <v>x</v>
      </c>
      <c r="G281" s="290" t="str">
        <f>IF(data!BK88&gt;0,data!BK88,"")</f>
        <v>x</v>
      </c>
      <c r="H281" s="290" t="str">
        <f>IF(data!BL88&gt;0,data!BL88,"")</f>
        <v>x</v>
      </c>
      <c r="I281" s="290" t="str">
        <f>IF(data!BM88&gt;0,data!BM88,"")</f>
        <v>x</v>
      </c>
    </row>
    <row r="282" spans="1:9" customFormat="1" ht="20.100000000000001" customHeight="1" x14ac:dyDescent="0.2">
      <c r="A282" s="274">
        <v>21</v>
      </c>
      <c r="B282" s="283" t="s">
        <v>1012</v>
      </c>
      <c r="C282" s="290" t="str">
        <f>IF(data!BG89&gt;0,data!BG89,"")</f>
        <v>x</v>
      </c>
      <c r="D282" s="290" t="str">
        <f>IF(data!BH89&gt;0,data!BH89,"")</f>
        <v>x</v>
      </c>
      <c r="E282" s="290" t="str">
        <f>IF(data!BI89&gt;0,data!BI89,"")</f>
        <v>x</v>
      </c>
      <c r="F282" s="290" t="str">
        <f>IF(data!BJ89&gt;0,data!BJ89,"")</f>
        <v>x</v>
      </c>
      <c r="G282" s="290" t="str">
        <f>IF(data!BK89&gt;0,data!BK89,"")</f>
        <v>x</v>
      </c>
      <c r="H282" s="290" t="str">
        <f>IF(data!BL89&gt;0,data!BL89,"")</f>
        <v>x</v>
      </c>
      <c r="I282" s="290" t="str">
        <f>IF(data!BM89&gt;0,data!BM89,"")</f>
        <v>x</v>
      </c>
    </row>
    <row r="283" spans="1:9" customFormat="1" ht="20.100000000000001" customHeight="1" x14ac:dyDescent="0.2">
      <c r="A283" s="274" t="s">
        <v>1013</v>
      </c>
      <c r="B283" s="275"/>
      <c r="C283" s="292"/>
      <c r="D283" s="292"/>
      <c r="E283" s="292"/>
      <c r="F283" s="292"/>
      <c r="G283" s="292"/>
      <c r="H283" s="292"/>
      <c r="I283" s="292"/>
    </row>
    <row r="284" spans="1:9" customFormat="1" ht="20.100000000000001" customHeight="1" x14ac:dyDescent="0.2">
      <c r="A284" s="274">
        <v>22</v>
      </c>
      <c r="B284" s="275" t="s">
        <v>1014</v>
      </c>
      <c r="C284" s="291">
        <f>data!BG90</f>
        <v>1985.9496276676723</v>
      </c>
      <c r="D284" s="291">
        <f>data!BH90</f>
        <v>14892.594423901437</v>
      </c>
      <c r="E284" s="291">
        <f>data!BI90</f>
        <v>3631.6576673795571</v>
      </c>
      <c r="F284" s="291">
        <f>data!BJ90</f>
        <v>0</v>
      </c>
      <c r="G284" s="291">
        <f>data!BK90</f>
        <v>0</v>
      </c>
      <c r="H284" s="291">
        <f>data!BL90</f>
        <v>5166.1045637300704</v>
      </c>
      <c r="I284" s="291">
        <f>data!BM90</f>
        <v>0</v>
      </c>
    </row>
    <row r="285" spans="1:9" customFormat="1" ht="20.100000000000001" customHeight="1" x14ac:dyDescent="0.2">
      <c r="A285" s="274">
        <v>23</v>
      </c>
      <c r="B285" s="275" t="s">
        <v>1015</v>
      </c>
      <c r="C285" s="290" t="str">
        <f>IF(data!BG91&gt;0,data!BG91,"")</f>
        <v>x</v>
      </c>
      <c r="D285" s="291">
        <f>data!BH91</f>
        <v>0</v>
      </c>
      <c r="E285" s="291">
        <f>data!BI91</f>
        <v>0</v>
      </c>
      <c r="F285" s="290" t="str">
        <f>IF(data!BJ91&gt;0,data!BJ91,"")</f>
        <v>x</v>
      </c>
      <c r="G285" s="291">
        <f>data!BK91</f>
        <v>0</v>
      </c>
      <c r="H285" s="291">
        <f>data!BL91</f>
        <v>0</v>
      </c>
      <c r="I285" s="291">
        <f>data!BM91</f>
        <v>0</v>
      </c>
    </row>
    <row r="286" spans="1:9" customFormat="1" ht="20.100000000000001" customHeight="1" x14ac:dyDescent="0.2">
      <c r="A286" s="274">
        <v>24</v>
      </c>
      <c r="B286" s="275" t="s">
        <v>1016</v>
      </c>
      <c r="C286" s="290" t="str">
        <f>IF(data!BG92&gt;0,data!BG92,"")</f>
        <v>x</v>
      </c>
      <c r="D286" s="291">
        <f>data!BH92</f>
        <v>0</v>
      </c>
      <c r="E286" s="291">
        <f>data!BI92</f>
        <v>0</v>
      </c>
      <c r="F286" s="290" t="str">
        <f>IF(data!BJ92&gt;0,data!BJ92,"")</f>
        <v>x</v>
      </c>
      <c r="G286" s="291">
        <f>data!BK92</f>
        <v>0</v>
      </c>
      <c r="H286" s="291">
        <f>data!BL92</f>
        <v>0</v>
      </c>
      <c r="I286" s="291">
        <f>data!BM92</f>
        <v>0</v>
      </c>
    </row>
    <row r="287" spans="1:9" customFormat="1" ht="20.100000000000001" customHeight="1" x14ac:dyDescent="0.2">
      <c r="A287" s="274">
        <v>25</v>
      </c>
      <c r="B287" s="275" t="s">
        <v>1017</v>
      </c>
      <c r="C287" s="290" t="str">
        <f>IF(data!BG93&gt;0,data!BG93,"")</f>
        <v>x</v>
      </c>
      <c r="D287" s="291">
        <f>data!BH93</f>
        <v>0</v>
      </c>
      <c r="E287" s="291">
        <f>data!BI93</f>
        <v>8415</v>
      </c>
      <c r="F287" s="290" t="str">
        <f>IF(data!BJ93&gt;0,data!BJ93,"")</f>
        <v>x</v>
      </c>
      <c r="G287" s="291">
        <f>data!BK93</f>
        <v>0</v>
      </c>
      <c r="H287" s="291">
        <f>data!BL93</f>
        <v>0</v>
      </c>
      <c r="I287" s="291">
        <f>data!BM93</f>
        <v>0</v>
      </c>
    </row>
    <row r="288" spans="1:9" customFormat="1" ht="20.100000000000001" customHeight="1" x14ac:dyDescent="0.2">
      <c r="A288" s="274">
        <v>26</v>
      </c>
      <c r="B288" s="275" t="s">
        <v>292</v>
      </c>
      <c r="C288" s="290" t="str">
        <f>IF(data!BG94&gt;0,data!BG94,"")</f>
        <v>x</v>
      </c>
      <c r="D288" s="290" t="str">
        <f>IF(data!BH94&gt;0,data!BH94,"")</f>
        <v>x</v>
      </c>
      <c r="E288" s="290" t="str">
        <f>IF(data!BI94&gt;0,data!BI94,"")</f>
        <v>x</v>
      </c>
      <c r="F288" s="290" t="str">
        <f>IF(data!BJ94&gt;0,data!BJ94,"")</f>
        <v>x</v>
      </c>
      <c r="G288" s="290" t="str">
        <f>IF(data!BK94&gt;0,data!BK94,"")</f>
        <v>x</v>
      </c>
      <c r="H288" s="290" t="str">
        <f>IF(data!BL94&gt;0,data!BL94,"")</f>
        <v>x</v>
      </c>
      <c r="I288" s="290" t="str">
        <f>IF(data!BM94&gt;0,data!BM94,"")</f>
        <v>x</v>
      </c>
    </row>
    <row r="289" spans="1:9" customFormat="1" ht="20.100000000000001" customHeight="1" x14ac:dyDescent="0.2">
      <c r="A289" s="268" t="s">
        <v>999</v>
      </c>
      <c r="B289" s="269"/>
      <c r="C289" s="269"/>
      <c r="D289" s="269"/>
      <c r="E289" s="269"/>
      <c r="F289" s="269"/>
      <c r="G289" s="269"/>
      <c r="H289" s="269"/>
      <c r="I289" s="268"/>
    </row>
    <row r="290" spans="1:9" customFormat="1" ht="20.100000000000001" customHeight="1" x14ac:dyDescent="0.2">
      <c r="D290" s="270"/>
      <c r="I290" s="271" t="s">
        <v>1049</v>
      </c>
    </row>
    <row r="291" spans="1:9" customFormat="1" ht="20.100000000000001" customHeight="1" x14ac:dyDescent="0.2">
      <c r="A291" s="270"/>
    </row>
    <row r="292" spans="1:9" customFormat="1" ht="20.100000000000001" customHeight="1" x14ac:dyDescent="0.2">
      <c r="A292" s="272" t="str">
        <f>"Hospital: "&amp;data!C98</f>
        <v>Hospital: Seattle Children's Hospital</v>
      </c>
      <c r="G292" s="273"/>
      <c r="H292" s="272" t="str">
        <f>"FYE: "&amp;data!C96</f>
        <v>FYE: 09/30/2024</v>
      </c>
    </row>
    <row r="293" spans="1:9" customFormat="1" ht="20.100000000000001" customHeight="1" x14ac:dyDescent="0.2">
      <c r="A293" s="274">
        <v>1</v>
      </c>
      <c r="B293" s="275" t="s">
        <v>234</v>
      </c>
      <c r="C293" s="277" t="s">
        <v>97</v>
      </c>
      <c r="D293" s="277" t="s">
        <v>98</v>
      </c>
      <c r="E293" s="277" t="s">
        <v>99</v>
      </c>
      <c r="F293" s="277" t="s">
        <v>100</v>
      </c>
      <c r="G293" s="277" t="s">
        <v>101</v>
      </c>
      <c r="H293" s="277" t="s">
        <v>102</v>
      </c>
      <c r="I293" s="277" t="s">
        <v>103</v>
      </c>
    </row>
    <row r="294" spans="1:9" customFormat="1" ht="20.100000000000001" customHeight="1" x14ac:dyDescent="0.2">
      <c r="A294" s="278">
        <v>2</v>
      </c>
      <c r="B294" s="279" t="s">
        <v>1001</v>
      </c>
      <c r="C294" s="281" t="s">
        <v>173</v>
      </c>
      <c r="D294" s="281" t="s">
        <v>174</v>
      </c>
      <c r="E294" s="281" t="s">
        <v>175</v>
      </c>
      <c r="F294" s="281" t="s">
        <v>176</v>
      </c>
      <c r="G294" s="281"/>
      <c r="H294" s="281" t="s">
        <v>178</v>
      </c>
      <c r="I294" s="281" t="s">
        <v>179</v>
      </c>
    </row>
    <row r="295" spans="1:9" customFormat="1" ht="20.100000000000001" customHeight="1" x14ac:dyDescent="0.2">
      <c r="A295" s="278"/>
      <c r="B295" s="279"/>
      <c r="C295" s="281" t="s">
        <v>1050</v>
      </c>
      <c r="D295" s="281" t="s">
        <v>219</v>
      </c>
      <c r="E295" s="281" t="s">
        <v>220</v>
      </c>
      <c r="F295" s="281" t="s">
        <v>221</v>
      </c>
      <c r="G295" s="281" t="s">
        <v>177</v>
      </c>
      <c r="H295" s="281" t="s">
        <v>222</v>
      </c>
      <c r="I295" s="281" t="s">
        <v>194</v>
      </c>
    </row>
    <row r="296" spans="1:9" customFormat="1" ht="20.100000000000001" customHeight="1" x14ac:dyDescent="0.2">
      <c r="A296" s="274">
        <v>3</v>
      </c>
      <c r="B296" s="275" t="s">
        <v>1005</v>
      </c>
      <c r="C296" s="287"/>
      <c r="D296" s="287"/>
      <c r="E296" s="287"/>
      <c r="F296" s="287"/>
      <c r="G296" s="287"/>
      <c r="H296" s="287"/>
      <c r="I296" s="287"/>
    </row>
    <row r="297" spans="1:9" customFormat="1" ht="20.100000000000001" customHeight="1" x14ac:dyDescent="0.2">
      <c r="A297" s="274">
        <v>4</v>
      </c>
      <c r="B297" s="275" t="s">
        <v>259</v>
      </c>
      <c r="C297" s="287"/>
      <c r="D297" s="287"/>
      <c r="E297" s="287"/>
      <c r="F297" s="287"/>
      <c r="G297" s="287"/>
      <c r="H297" s="287"/>
      <c r="I297" s="287"/>
    </row>
    <row r="298" spans="1:9" customFormat="1" ht="20.100000000000001" customHeight="1" x14ac:dyDescent="0.2">
      <c r="A298" s="274">
        <v>5</v>
      </c>
      <c r="B298" s="275" t="s">
        <v>260</v>
      </c>
      <c r="C298" s="282">
        <f>data!BN60</f>
        <v>87.316328629484886</v>
      </c>
      <c r="D298" s="282">
        <f>data!BO60</f>
        <v>14.390492927918958</v>
      </c>
      <c r="E298" s="282">
        <f>data!BP60</f>
        <v>47.299716478640114</v>
      </c>
      <c r="F298" s="282">
        <f>data!BQ60</f>
        <v>42.751969848880492</v>
      </c>
      <c r="G298" s="282">
        <f>data!BR60</f>
        <v>111.05787003710853</v>
      </c>
      <c r="H298" s="282">
        <f>data!BS60</f>
        <v>0</v>
      </c>
      <c r="I298" s="282">
        <f>data!BT60</f>
        <v>7.5583689753571424</v>
      </c>
    </row>
    <row r="299" spans="1:9" customFormat="1" ht="20.100000000000001" customHeight="1" x14ac:dyDescent="0.2">
      <c r="A299" s="274">
        <v>6</v>
      </c>
      <c r="B299" s="275" t="s">
        <v>261</v>
      </c>
      <c r="C299" s="275">
        <f>data!BN61</f>
        <v>19148322.969999999</v>
      </c>
      <c r="D299" s="275">
        <f>data!BO61</f>
        <v>1593139.7200000002</v>
      </c>
      <c r="E299" s="275">
        <f>data!BP61</f>
        <v>5375723.3099999996</v>
      </c>
      <c r="F299" s="275">
        <f>data!BQ61</f>
        <v>6422752.3499999996</v>
      </c>
      <c r="G299" s="275">
        <f>data!BR61</f>
        <v>14596414.700000001</v>
      </c>
      <c r="H299" s="275">
        <f>data!BS61</f>
        <v>0</v>
      </c>
      <c r="I299" s="275">
        <f>data!BT61</f>
        <v>868256.87</v>
      </c>
    </row>
    <row r="300" spans="1:9" customFormat="1" ht="20.100000000000001" customHeight="1" x14ac:dyDescent="0.2">
      <c r="A300" s="274">
        <v>7</v>
      </c>
      <c r="B300" s="275" t="s">
        <v>9</v>
      </c>
      <c r="C300" s="275">
        <f>data!BN62</f>
        <v>5264104</v>
      </c>
      <c r="D300" s="275">
        <f>data!BO62</f>
        <v>437973</v>
      </c>
      <c r="E300" s="275">
        <f>data!BP62</f>
        <v>1477851</v>
      </c>
      <c r="F300" s="275">
        <f>data!BQ62</f>
        <v>1765692</v>
      </c>
      <c r="G300" s="275">
        <f>data!BR62</f>
        <v>4012729</v>
      </c>
      <c r="H300" s="275">
        <f>data!BS62</f>
        <v>0</v>
      </c>
      <c r="I300" s="275">
        <f>data!BT62</f>
        <v>238694</v>
      </c>
    </row>
    <row r="301" spans="1:9" customFormat="1" ht="20.100000000000001" customHeight="1" x14ac:dyDescent="0.2">
      <c r="A301" s="274">
        <v>8</v>
      </c>
      <c r="B301" s="275" t="s">
        <v>262</v>
      </c>
      <c r="C301" s="275">
        <f>data!BN63</f>
        <v>201172.65</v>
      </c>
      <c r="D301" s="275">
        <f>data!BO63</f>
        <v>0</v>
      </c>
      <c r="E301" s="275">
        <f>data!BP63</f>
        <v>0</v>
      </c>
      <c r="F301" s="275">
        <f>data!BQ63</f>
        <v>537246.09</v>
      </c>
      <c r="G301" s="275">
        <f>data!BR63</f>
        <v>0</v>
      </c>
      <c r="H301" s="275">
        <f>data!BS63</f>
        <v>0</v>
      </c>
      <c r="I301" s="275">
        <f>data!BT63</f>
        <v>0</v>
      </c>
    </row>
    <row r="302" spans="1:9" customFormat="1" ht="20.100000000000001" customHeight="1" x14ac:dyDescent="0.2">
      <c r="A302" s="274">
        <v>9</v>
      </c>
      <c r="B302" s="275" t="s">
        <v>263</v>
      </c>
      <c r="C302" s="275">
        <f>data!BN64</f>
        <v>103986.23999999998</v>
      </c>
      <c r="D302" s="275">
        <f>data!BO64</f>
        <v>166039.05999999997</v>
      </c>
      <c r="E302" s="275">
        <f>data!BP64</f>
        <v>76345.719999999987</v>
      </c>
      <c r="F302" s="275">
        <f>data!BQ64</f>
        <v>20776.98</v>
      </c>
      <c r="G302" s="275">
        <f>data!BR64</f>
        <v>98883.86</v>
      </c>
      <c r="H302" s="275">
        <f>data!BS64</f>
        <v>0</v>
      </c>
      <c r="I302" s="275">
        <f>data!BT64</f>
        <v>9397.44</v>
      </c>
    </row>
    <row r="303" spans="1:9" customFormat="1" ht="20.100000000000001" customHeight="1" x14ac:dyDescent="0.2">
      <c r="A303" s="274">
        <v>10</v>
      </c>
      <c r="B303" s="275" t="s">
        <v>525</v>
      </c>
      <c r="C303" s="275">
        <f>data!BN65</f>
        <v>0</v>
      </c>
      <c r="D303" s="275">
        <f>data!BO65</f>
        <v>0</v>
      </c>
      <c r="E303" s="275">
        <f>data!BP65</f>
        <v>0</v>
      </c>
      <c r="F303" s="275">
        <f>data!BQ65</f>
        <v>0</v>
      </c>
      <c r="G303" s="275">
        <f>data!BR65</f>
        <v>0</v>
      </c>
      <c r="H303" s="275">
        <f>data!BS65</f>
        <v>0</v>
      </c>
      <c r="I303" s="275">
        <f>data!BT65</f>
        <v>0</v>
      </c>
    </row>
    <row r="304" spans="1:9" customFormat="1" ht="20.100000000000001" customHeight="1" x14ac:dyDescent="0.2">
      <c r="A304" s="274">
        <v>11</v>
      </c>
      <c r="B304" s="275" t="s">
        <v>526</v>
      </c>
      <c r="C304" s="275">
        <f>data!BN66</f>
        <v>9840312.209999999</v>
      </c>
      <c r="D304" s="275">
        <f>data!BO66</f>
        <v>-16041.230000000001</v>
      </c>
      <c r="E304" s="275">
        <f>data!BP66</f>
        <v>4267444.9399999995</v>
      </c>
      <c r="F304" s="275">
        <f>data!BQ66</f>
        <v>1271034.29</v>
      </c>
      <c r="G304" s="275">
        <f>data!BR66</f>
        <v>3143256.86</v>
      </c>
      <c r="H304" s="275">
        <f>data!BS66</f>
        <v>0</v>
      </c>
      <c r="I304" s="275">
        <f>data!BT66</f>
        <v>4902.32</v>
      </c>
    </row>
    <row r="305" spans="1:9" customFormat="1" ht="20.100000000000001" customHeight="1" x14ac:dyDescent="0.2">
      <c r="A305" s="274">
        <v>12</v>
      </c>
      <c r="B305" s="275" t="s">
        <v>14</v>
      </c>
      <c r="C305" s="275">
        <f>data!BN67</f>
        <v>2278147</v>
      </c>
      <c r="D305" s="275">
        <f>data!BO67</f>
        <v>66283</v>
      </c>
      <c r="E305" s="275">
        <f>data!BP67</f>
        <v>367970</v>
      </c>
      <c r="F305" s="275">
        <f>data!BQ67</f>
        <v>947758</v>
      </c>
      <c r="G305" s="275">
        <f>data!BR67</f>
        <v>5830</v>
      </c>
      <c r="H305" s="275">
        <f>data!BS67</f>
        <v>69634</v>
      </c>
      <c r="I305" s="275">
        <f>data!BT67</f>
        <v>543692</v>
      </c>
    </row>
    <row r="306" spans="1:9" customFormat="1" ht="20.100000000000001" customHeight="1" x14ac:dyDescent="0.2">
      <c r="A306" s="274">
        <v>13</v>
      </c>
      <c r="B306" s="275" t="s">
        <v>1006</v>
      </c>
      <c r="C306" s="275">
        <f>data!BN68</f>
        <v>0</v>
      </c>
      <c r="D306" s="275">
        <f>data!BO68</f>
        <v>0</v>
      </c>
      <c r="E306" s="275">
        <f>data!BP68</f>
        <v>0</v>
      </c>
      <c r="F306" s="275">
        <f>data!BQ68</f>
        <v>0</v>
      </c>
      <c r="G306" s="275">
        <f>data!BR68</f>
        <v>0</v>
      </c>
      <c r="H306" s="275">
        <f>data!BS68</f>
        <v>0</v>
      </c>
      <c r="I306" s="275">
        <f>data!BT68</f>
        <v>0</v>
      </c>
    </row>
    <row r="307" spans="1:9" customFormat="1" ht="20.100000000000001" customHeight="1" x14ac:dyDescent="0.2">
      <c r="A307" s="274">
        <v>14</v>
      </c>
      <c r="B307" s="275" t="s">
        <v>1007</v>
      </c>
      <c r="C307" s="275">
        <f>data!BN69</f>
        <v>11788767.07</v>
      </c>
      <c r="D307" s="275">
        <f>data!BO69</f>
        <v>11371.970000000001</v>
      </c>
      <c r="E307" s="275">
        <f>data!BP69</f>
        <v>8502.469999999932</v>
      </c>
      <c r="F307" s="275">
        <f>data!BQ69</f>
        <v>124501.23999999999</v>
      </c>
      <c r="G307" s="275">
        <f>data!BR69</f>
        <v>1496519.29</v>
      </c>
      <c r="H307" s="275">
        <f>data!BS69</f>
        <v>0</v>
      </c>
      <c r="I307" s="275">
        <f>data!BT69</f>
        <v>7491.53</v>
      </c>
    </row>
    <row r="308" spans="1:9" customFormat="1" ht="20.100000000000001" customHeight="1" x14ac:dyDescent="0.2">
      <c r="A308" s="274">
        <v>15</v>
      </c>
      <c r="B308" s="275" t="s">
        <v>282</v>
      </c>
      <c r="C308" s="275">
        <f>-data!BN84</f>
        <v>-2285462.83</v>
      </c>
      <c r="D308" s="275">
        <f>-data!BO84</f>
        <v>0</v>
      </c>
      <c r="E308" s="275">
        <f>-data!BP84</f>
        <v>0</v>
      </c>
      <c r="F308" s="275">
        <f>-data!BQ84</f>
        <v>1333.76</v>
      </c>
      <c r="G308" s="275">
        <f>-data!BR84</f>
        <v>0</v>
      </c>
      <c r="H308" s="275">
        <f>-data!BS84</f>
        <v>0</v>
      </c>
      <c r="I308" s="275">
        <f>-data!BT84</f>
        <v>0</v>
      </c>
    </row>
    <row r="309" spans="1:9" customFormat="1" ht="20.100000000000001" customHeight="1" x14ac:dyDescent="0.2">
      <c r="A309" s="274">
        <v>16</v>
      </c>
      <c r="B309" s="283" t="s">
        <v>1008</v>
      </c>
      <c r="C309" s="275">
        <f>data!BN85</f>
        <v>46339349.309999995</v>
      </c>
      <c r="D309" s="275">
        <f>data!BO85</f>
        <v>2258765.5200000005</v>
      </c>
      <c r="E309" s="275">
        <f>data!BP85</f>
        <v>11573837.439999999</v>
      </c>
      <c r="F309" s="275">
        <f>data!BQ85</f>
        <v>11091094.710000001</v>
      </c>
      <c r="G309" s="275">
        <f>data!BR85</f>
        <v>23353633.710000001</v>
      </c>
      <c r="H309" s="275">
        <f>data!BS85</f>
        <v>69634</v>
      </c>
      <c r="I309" s="275">
        <f>data!BT85</f>
        <v>1672434.1600000001</v>
      </c>
    </row>
    <row r="310" spans="1:9" customFormat="1" ht="20.100000000000001" customHeight="1" x14ac:dyDescent="0.2">
      <c r="A310" s="274">
        <v>17</v>
      </c>
      <c r="B310" s="275" t="s">
        <v>284</v>
      </c>
      <c r="C310" s="285"/>
      <c r="D310" s="285"/>
      <c r="E310" s="285"/>
      <c r="F310" s="285"/>
      <c r="G310" s="285"/>
      <c r="H310" s="285"/>
      <c r="I310" s="285"/>
    </row>
    <row r="311" spans="1:9" customFormat="1" ht="20.100000000000001" customHeight="1" x14ac:dyDescent="0.2">
      <c r="A311" s="274">
        <v>18</v>
      </c>
      <c r="B311" s="275" t="s">
        <v>1009</v>
      </c>
      <c r="C311" s="275"/>
      <c r="D311" s="275"/>
      <c r="E311" s="275"/>
      <c r="F311" s="275"/>
      <c r="G311" s="275"/>
      <c r="H311" s="275"/>
      <c r="I311" s="275"/>
    </row>
    <row r="312" spans="1:9" customFormat="1" ht="20.100000000000001" customHeight="1" x14ac:dyDescent="0.2">
      <c r="A312" s="274">
        <v>19</v>
      </c>
      <c r="B312" s="283" t="s">
        <v>1010</v>
      </c>
      <c r="C312" s="290" t="str">
        <f>IF(data!BN87&gt;0,data!BN87,"")</f>
        <v>x</v>
      </c>
      <c r="D312" s="290" t="str">
        <f>IF(data!BO87&gt;0,data!BO87,"")</f>
        <v>x</v>
      </c>
      <c r="E312" s="290" t="str">
        <f>IF(data!BP87&gt;0,data!BP87,"")</f>
        <v>x</v>
      </c>
      <c r="F312" s="290" t="str">
        <f>IF(data!BQ87&gt;0,data!BQ87,"")</f>
        <v>x</v>
      </c>
      <c r="G312" s="290" t="str">
        <f>IF(data!BR87&gt;0,data!BR87,"")</f>
        <v>x</v>
      </c>
      <c r="H312" s="290" t="str">
        <f>IF(data!BS87&gt;0,data!BS87,"")</f>
        <v>x</v>
      </c>
      <c r="I312" s="290" t="str">
        <f>IF(data!BT87&gt;0,data!BT87,"")</f>
        <v>x</v>
      </c>
    </row>
    <row r="313" spans="1:9" customFormat="1" ht="20.100000000000001" customHeight="1" x14ac:dyDescent="0.2">
      <c r="A313" s="274">
        <v>20</v>
      </c>
      <c r="B313" s="283" t="s">
        <v>1011</v>
      </c>
      <c r="C313" s="290" t="str">
        <f>IF(data!BN88&gt;0,data!BN88,"")</f>
        <v>x</v>
      </c>
      <c r="D313" s="290" t="str">
        <f>IF(data!BO88&gt;0,data!BO88,"")</f>
        <v>x</v>
      </c>
      <c r="E313" s="290" t="str">
        <f>IF(data!BP88&gt;0,data!BP88,"")</f>
        <v>x</v>
      </c>
      <c r="F313" s="290" t="str">
        <f>IF(data!BQ88&gt;0,data!BQ88,"")</f>
        <v>x</v>
      </c>
      <c r="G313" s="290" t="str">
        <f>IF(data!BR88&gt;0,data!BR88,"")</f>
        <v>x</v>
      </c>
      <c r="H313" s="290" t="str">
        <f>IF(data!BS88&gt;0,data!BS88,"")</f>
        <v>x</v>
      </c>
      <c r="I313" s="290" t="str">
        <f>IF(data!BT88&gt;0,data!BT88,"")</f>
        <v>x</v>
      </c>
    </row>
    <row r="314" spans="1:9" customFormat="1" ht="20.100000000000001" customHeight="1" x14ac:dyDescent="0.2">
      <c r="A314" s="274">
        <v>21</v>
      </c>
      <c r="B314" s="283" t="s">
        <v>1012</v>
      </c>
      <c r="C314" s="290" t="str">
        <f>IF(data!BN89&gt;0,data!BN89,"")</f>
        <v>x</v>
      </c>
      <c r="D314" s="290" t="str">
        <f>IF(data!BO89&gt;0,data!BO89,"")</f>
        <v>x</v>
      </c>
      <c r="E314" s="290" t="str">
        <f>IF(data!BP89&gt;0,data!BP89,"")</f>
        <v>x</v>
      </c>
      <c r="F314" s="290" t="str">
        <f>IF(data!BQ89&gt;0,data!BQ89,"")</f>
        <v>x</v>
      </c>
      <c r="G314" s="290" t="str">
        <f>IF(data!BR89&gt;0,data!BR89,"")</f>
        <v>x</v>
      </c>
      <c r="H314" s="290" t="str">
        <f>IF(data!BS89&gt;0,data!BS89,"")</f>
        <v>x</v>
      </c>
      <c r="I314" s="290" t="str">
        <f>IF(data!BT89&gt;0,data!BT89,"")</f>
        <v>x</v>
      </c>
    </row>
    <row r="315" spans="1:9" customFormat="1" ht="20.100000000000001" customHeight="1" x14ac:dyDescent="0.2">
      <c r="A315" s="274" t="s">
        <v>1013</v>
      </c>
      <c r="B315" s="275"/>
      <c r="C315" s="285"/>
      <c r="D315" s="285"/>
      <c r="E315" s="285"/>
      <c r="F315" s="285"/>
      <c r="G315" s="285"/>
      <c r="H315" s="285"/>
      <c r="I315" s="285"/>
    </row>
    <row r="316" spans="1:9" customFormat="1" ht="20.100000000000001" customHeight="1" x14ac:dyDescent="0.2">
      <c r="A316" s="274">
        <v>22</v>
      </c>
      <c r="B316" s="275" t="s">
        <v>1014</v>
      </c>
      <c r="C316" s="291">
        <f>data!BN90</f>
        <v>22336.973107588969</v>
      </c>
      <c r="D316" s="291">
        <f>data!BO90</f>
        <v>649.89520535525503</v>
      </c>
      <c r="E316" s="291">
        <f>data!BP90</f>
        <v>3607.90356057492</v>
      </c>
      <c r="F316" s="291">
        <f>data!BQ90</f>
        <v>9292.6629392800041</v>
      </c>
      <c r="G316" s="291">
        <f>data!BR90</f>
        <v>57.166689509589858</v>
      </c>
      <c r="H316" s="291">
        <f>data!BS90</f>
        <v>682.75738955881559</v>
      </c>
      <c r="I316" s="291">
        <f>data!BT90</f>
        <v>5330.8362822569543</v>
      </c>
    </row>
    <row r="317" spans="1:9" customFormat="1" ht="20.100000000000001" customHeight="1" x14ac:dyDescent="0.2">
      <c r="A317" s="274">
        <v>23</v>
      </c>
      <c r="B317" s="275" t="s">
        <v>1015</v>
      </c>
      <c r="C317" s="290" t="str">
        <f>IF(data!BN91&gt;0,data!BN91,"")</f>
        <v>x</v>
      </c>
      <c r="D317" s="290" t="str">
        <f>IF(data!BO91&gt;0,data!BO91,"")</f>
        <v>x</v>
      </c>
      <c r="E317" s="290" t="str">
        <f>IF(data!BP91&gt;0,data!BP91,"")</f>
        <v>x</v>
      </c>
      <c r="F317" s="290" t="str">
        <f>IF(data!BQ91&gt;0,data!BQ91,"")</f>
        <v>x</v>
      </c>
      <c r="G317" s="291">
        <f>data!BR91</f>
        <v>0</v>
      </c>
      <c r="H317" s="291">
        <f>data!BS91</f>
        <v>0</v>
      </c>
      <c r="I317" s="291">
        <f>data!BT91</f>
        <v>0</v>
      </c>
    </row>
    <row r="318" spans="1:9" customFormat="1" ht="20.100000000000001" customHeight="1" x14ac:dyDescent="0.2">
      <c r="A318" s="274">
        <v>24</v>
      </c>
      <c r="B318" s="275" t="s">
        <v>1016</v>
      </c>
      <c r="C318" s="290" t="str">
        <f>IF(data!BN92&gt;0,data!BN92,"")</f>
        <v>x</v>
      </c>
      <c r="D318" s="290" t="str">
        <f>IF(data!BO92&gt;0,data!BO92,"")</f>
        <v>x</v>
      </c>
      <c r="E318" s="290" t="str">
        <f>IF(data!BP92&gt;0,data!BP92,"")</f>
        <v>x</v>
      </c>
      <c r="F318" s="290" t="str">
        <f>IF(data!BQ92&gt;0,data!BQ92,"")</f>
        <v>x</v>
      </c>
      <c r="G318" s="290" t="str">
        <f>IF(data!BR92&gt;0,data!BR92,"")</f>
        <v>x</v>
      </c>
      <c r="H318" s="291">
        <f>data!BS92</f>
        <v>0</v>
      </c>
      <c r="I318" s="291">
        <f>data!BT92</f>
        <v>0</v>
      </c>
    </row>
    <row r="319" spans="1:9" customFormat="1" ht="20.100000000000001" customHeight="1" x14ac:dyDescent="0.2">
      <c r="A319" s="274">
        <v>25</v>
      </c>
      <c r="B319" s="275" t="s">
        <v>1017</v>
      </c>
      <c r="C319" s="290" t="str">
        <f>IF(data!BN93&gt;0,data!BN93,"")</f>
        <v>x</v>
      </c>
      <c r="D319" s="290" t="str">
        <f>IF(data!BO93&gt;0,data!BO93,"")</f>
        <v>x</v>
      </c>
      <c r="E319" s="290" t="str">
        <f>IF(data!BP93&gt;0,data!BP93,"")</f>
        <v>x</v>
      </c>
      <c r="F319" s="290" t="str">
        <f>IF(data!BQ93&gt;0,data!BQ93,"")</f>
        <v>x</v>
      </c>
      <c r="G319" s="290" t="str">
        <f>IF(data!BR93&gt;0,data!BR93,"")</f>
        <v>x</v>
      </c>
      <c r="H319" s="291">
        <f>data!BS93</f>
        <v>0</v>
      </c>
      <c r="I319" s="291">
        <f>data!BT93</f>
        <v>0</v>
      </c>
    </row>
    <row r="320" spans="1:9" customFormat="1" ht="20.100000000000001" customHeight="1" x14ac:dyDescent="0.2">
      <c r="A320" s="274">
        <v>26</v>
      </c>
      <c r="B320" s="275" t="s">
        <v>292</v>
      </c>
      <c r="C320" s="293" t="str">
        <f>IF(data!BN94&gt;0,data!BN94,"")</f>
        <v>x</v>
      </c>
      <c r="D320" s="293" t="str">
        <f>IF(data!BO94&gt;0,data!BO94,"")</f>
        <v>x</v>
      </c>
      <c r="E320" s="293" t="str">
        <f>IF(data!BP94&gt;0,data!BP94,"")</f>
        <v>x</v>
      </c>
      <c r="F320" s="293" t="str">
        <f>IF(data!BQ94&gt;0,data!BQ94,"")</f>
        <v>x</v>
      </c>
      <c r="G320" s="293" t="str">
        <f>IF(data!BR94&gt;0,data!BR94,"")</f>
        <v>x</v>
      </c>
      <c r="H320" s="293" t="str">
        <f>IF(data!BS94&gt;0,data!BS94,"")</f>
        <v>x</v>
      </c>
      <c r="I320" s="293" t="str">
        <f>IF(data!BT94&gt;0,data!BT94,"")</f>
        <v>x</v>
      </c>
    </row>
    <row r="321" spans="1:9" customFormat="1" ht="20.100000000000001" customHeight="1" x14ac:dyDescent="0.2">
      <c r="A321" s="268" t="s">
        <v>999</v>
      </c>
      <c r="B321" s="269"/>
      <c r="C321" s="269"/>
      <c r="D321" s="269"/>
      <c r="E321" s="269"/>
      <c r="F321" s="269"/>
      <c r="G321" s="269"/>
      <c r="H321" s="269"/>
      <c r="I321" s="268"/>
    </row>
    <row r="322" spans="1:9" customFormat="1" ht="20.100000000000001" customHeight="1" x14ac:dyDescent="0.2">
      <c r="D322" s="270"/>
      <c r="I322" s="271" t="s">
        <v>1051</v>
      </c>
    </row>
    <row r="323" spans="1:9" customFormat="1" ht="20.100000000000001" customHeight="1" x14ac:dyDescent="0.2">
      <c r="A323" s="270"/>
    </row>
    <row r="324" spans="1:9" customFormat="1" ht="20.100000000000001" customHeight="1" x14ac:dyDescent="0.2">
      <c r="A324" s="272" t="str">
        <f>"Hospital: "&amp;data!C98</f>
        <v>Hospital: Seattle Children's Hospital</v>
      </c>
      <c r="G324" s="273"/>
      <c r="H324" s="272" t="str">
        <f>"FYE: "&amp;data!C96</f>
        <v>FYE: 09/30/2024</v>
      </c>
    </row>
    <row r="325" spans="1:9" customFormat="1" ht="20.100000000000001" customHeight="1" x14ac:dyDescent="0.2">
      <c r="A325" s="274">
        <v>1</v>
      </c>
      <c r="B325" s="275" t="s">
        <v>234</v>
      </c>
      <c r="C325" s="277" t="s">
        <v>104</v>
      </c>
      <c r="D325" s="277" t="s">
        <v>105</v>
      </c>
      <c r="E325" s="277" t="s">
        <v>106</v>
      </c>
      <c r="F325" s="277" t="s">
        <v>107</v>
      </c>
      <c r="G325" s="277" t="s">
        <v>108</v>
      </c>
      <c r="H325" s="277" t="s">
        <v>109</v>
      </c>
      <c r="I325" s="277" t="s">
        <v>110</v>
      </c>
    </row>
    <row r="326" spans="1:9" customFormat="1" ht="20.100000000000001" customHeight="1" x14ac:dyDescent="0.2">
      <c r="A326" s="278">
        <v>2</v>
      </c>
      <c r="B326" s="279" t="s">
        <v>1001</v>
      </c>
      <c r="C326" s="281" t="s">
        <v>180</v>
      </c>
      <c r="D326" s="281" t="s">
        <v>180</v>
      </c>
      <c r="E326" s="281" t="s">
        <v>180</v>
      </c>
      <c r="F326" s="281" t="s">
        <v>181</v>
      </c>
      <c r="G326" s="281" t="s">
        <v>182</v>
      </c>
      <c r="H326" s="281" t="s">
        <v>183</v>
      </c>
      <c r="I326" s="281" t="s">
        <v>184</v>
      </c>
    </row>
    <row r="327" spans="1:9" customFormat="1" ht="20.100000000000001" customHeight="1" x14ac:dyDescent="0.2">
      <c r="A327" s="278"/>
      <c r="B327" s="279"/>
      <c r="C327" s="281" t="s">
        <v>223</v>
      </c>
      <c r="D327" s="281" t="s">
        <v>224</v>
      </c>
      <c r="E327" s="281" t="s">
        <v>225</v>
      </c>
      <c r="F327" s="281" t="s">
        <v>176</v>
      </c>
      <c r="G327" s="281" t="s">
        <v>1050</v>
      </c>
      <c r="H327" s="281" t="s">
        <v>177</v>
      </c>
      <c r="I327" s="281" t="s">
        <v>226</v>
      </c>
    </row>
    <row r="328" spans="1:9" customFormat="1" ht="20.100000000000001" customHeight="1" x14ac:dyDescent="0.2">
      <c r="A328" s="274">
        <v>3</v>
      </c>
      <c r="B328" s="275" t="s">
        <v>1005</v>
      </c>
      <c r="C328" s="287"/>
      <c r="D328" s="287"/>
      <c r="E328" s="287"/>
      <c r="F328" s="287"/>
      <c r="G328" s="287"/>
      <c r="H328" s="287"/>
      <c r="I328" s="287"/>
    </row>
    <row r="329" spans="1:9" customFormat="1" ht="20.100000000000001" customHeight="1" x14ac:dyDescent="0.2">
      <c r="A329" s="274">
        <v>4</v>
      </c>
      <c r="B329" s="275" t="s">
        <v>259</v>
      </c>
      <c r="C329" s="287"/>
      <c r="D329" s="287"/>
      <c r="E329" s="287"/>
      <c r="F329" s="287"/>
      <c r="G329" s="287"/>
      <c r="H329" s="287"/>
      <c r="I329" s="287"/>
    </row>
    <row r="330" spans="1:9" customFormat="1" ht="20.100000000000001" customHeight="1" x14ac:dyDescent="0.2">
      <c r="A330" s="274">
        <v>5</v>
      </c>
      <c r="B330" s="275" t="s">
        <v>260</v>
      </c>
      <c r="C330" s="282">
        <f>data!BU60</f>
        <v>2.860717472527472</v>
      </c>
      <c r="D330" s="282">
        <f>data!BV60</f>
        <v>30.995198860858515</v>
      </c>
      <c r="E330" s="282">
        <f>data!BW60</f>
        <v>38.908412613207418</v>
      </c>
      <c r="F330" s="282">
        <f>data!BX60</f>
        <v>107.03151792845468</v>
      </c>
      <c r="G330" s="282">
        <f>data!BY60</f>
        <v>105.34763710559066</v>
      </c>
      <c r="H330" s="282">
        <f>data!BZ60</f>
        <v>81.304184239100266</v>
      </c>
      <c r="I330" s="282">
        <f>data!CA60</f>
        <v>0</v>
      </c>
    </row>
    <row r="331" spans="1:9" customFormat="1" ht="20.100000000000001" customHeight="1" x14ac:dyDescent="0.2">
      <c r="A331" s="274">
        <v>6</v>
      </c>
      <c r="B331" s="275" t="s">
        <v>261</v>
      </c>
      <c r="C331" s="294">
        <f>data!BU61</f>
        <v>308518.62</v>
      </c>
      <c r="D331" s="294">
        <f>data!BV61</f>
        <v>2395444.29</v>
      </c>
      <c r="E331" s="294">
        <f>data!BW61</f>
        <v>4171998.1799999997</v>
      </c>
      <c r="F331" s="294">
        <f>data!BX61</f>
        <v>14469358.199999999</v>
      </c>
      <c r="G331" s="294">
        <f>data!BY61</f>
        <v>15252197.199999997</v>
      </c>
      <c r="H331" s="294">
        <f>data!BZ61</f>
        <v>7631351.1099999994</v>
      </c>
      <c r="I331" s="294">
        <f>data!CA61</f>
        <v>0</v>
      </c>
    </row>
    <row r="332" spans="1:9" customFormat="1" ht="20.100000000000001" customHeight="1" x14ac:dyDescent="0.2">
      <c r="A332" s="274">
        <v>7</v>
      </c>
      <c r="B332" s="275" t="s">
        <v>9</v>
      </c>
      <c r="C332" s="294">
        <f>data!BU62</f>
        <v>84815</v>
      </c>
      <c r="D332" s="294">
        <f>data!BV62</f>
        <v>658536</v>
      </c>
      <c r="E332" s="294">
        <f>data!BW62</f>
        <v>1146932</v>
      </c>
      <c r="F332" s="294">
        <f>data!BX62</f>
        <v>3977800</v>
      </c>
      <c r="G332" s="294">
        <f>data!BY62</f>
        <v>4193012</v>
      </c>
      <c r="H332" s="294">
        <f>data!BZ62</f>
        <v>2097950</v>
      </c>
      <c r="I332" s="294">
        <f>data!CA62</f>
        <v>0</v>
      </c>
    </row>
    <row r="333" spans="1:9" customFormat="1" ht="20.100000000000001" customHeight="1" x14ac:dyDescent="0.2">
      <c r="A333" s="274">
        <v>8</v>
      </c>
      <c r="B333" s="275" t="s">
        <v>262</v>
      </c>
      <c r="C333" s="294">
        <f>data!BU63</f>
        <v>0</v>
      </c>
      <c r="D333" s="294">
        <f>data!BV63</f>
        <v>0</v>
      </c>
      <c r="E333" s="294">
        <f>data!BW63</f>
        <v>36822784.120000005</v>
      </c>
      <c r="F333" s="294">
        <f>data!BX63</f>
        <v>616756.39</v>
      </c>
      <c r="G333" s="294">
        <f>data!BY63</f>
        <v>288454.34999999998</v>
      </c>
      <c r="H333" s="294">
        <f>data!BZ63</f>
        <v>0</v>
      </c>
      <c r="I333" s="294">
        <f>data!CA63</f>
        <v>0</v>
      </c>
    </row>
    <row r="334" spans="1:9" customFormat="1" ht="20.100000000000001" customHeight="1" x14ac:dyDescent="0.2">
      <c r="A334" s="274">
        <v>9</v>
      </c>
      <c r="B334" s="275" t="s">
        <v>263</v>
      </c>
      <c r="C334" s="294">
        <f>data!BU64</f>
        <v>638.18999999999994</v>
      </c>
      <c r="D334" s="294">
        <f>data!BV64</f>
        <v>15869.509999999998</v>
      </c>
      <c r="E334" s="294">
        <f>data!BW64</f>
        <v>742895.67999999982</v>
      </c>
      <c r="F334" s="294">
        <f>data!BX64</f>
        <v>288054.92</v>
      </c>
      <c r="G334" s="294">
        <f>data!BY64</f>
        <v>58858.189999999995</v>
      </c>
      <c r="H334" s="294">
        <f>data!BZ64</f>
        <v>3085.2700000000009</v>
      </c>
      <c r="I334" s="294">
        <f>data!CA64</f>
        <v>0</v>
      </c>
    </row>
    <row r="335" spans="1:9" customFormat="1" ht="20.100000000000001" customHeight="1" x14ac:dyDescent="0.2">
      <c r="A335" s="274">
        <v>10</v>
      </c>
      <c r="B335" s="275" t="s">
        <v>525</v>
      </c>
      <c r="C335" s="294">
        <f>data!BU65</f>
        <v>0</v>
      </c>
      <c r="D335" s="294">
        <f>data!BV65</f>
        <v>0</v>
      </c>
      <c r="E335" s="294">
        <f>data!BW65</f>
        <v>0</v>
      </c>
      <c r="F335" s="294">
        <f>data!BX65</f>
        <v>0</v>
      </c>
      <c r="G335" s="294">
        <f>data!BY65</f>
        <v>0</v>
      </c>
      <c r="H335" s="294">
        <f>data!BZ65</f>
        <v>0</v>
      </c>
      <c r="I335" s="294">
        <f>data!CA65</f>
        <v>0</v>
      </c>
    </row>
    <row r="336" spans="1:9" customFormat="1" ht="20.100000000000001" customHeight="1" x14ac:dyDescent="0.2">
      <c r="A336" s="274">
        <v>11</v>
      </c>
      <c r="B336" s="275" t="s">
        <v>526</v>
      </c>
      <c r="C336" s="294">
        <f>data!BU66</f>
        <v>5174.9799999999996</v>
      </c>
      <c r="D336" s="294">
        <f>data!BV66</f>
        <v>112979.77999999998</v>
      </c>
      <c r="E336" s="294">
        <f>data!BW66</f>
        <v>279598.55000000005</v>
      </c>
      <c r="F336" s="294">
        <f>data!BX66</f>
        <v>1163679.3800000001</v>
      </c>
      <c r="G336" s="294">
        <f>data!BY66</f>
        <v>179783.39</v>
      </c>
      <c r="H336" s="294">
        <f>data!BZ66</f>
        <v>3494.26</v>
      </c>
      <c r="I336" s="294">
        <f>data!CA66</f>
        <v>0</v>
      </c>
    </row>
    <row r="337" spans="1:9" customFormat="1" ht="20.100000000000001" customHeight="1" x14ac:dyDescent="0.2">
      <c r="A337" s="274">
        <v>12</v>
      </c>
      <c r="B337" s="275" t="s">
        <v>14</v>
      </c>
      <c r="C337" s="294">
        <f>data!BU67</f>
        <v>387153</v>
      </c>
      <c r="D337" s="294">
        <f>data!BV67</f>
        <v>31421</v>
      </c>
      <c r="E337" s="294">
        <f>data!BW67</f>
        <v>2637217</v>
      </c>
      <c r="F337" s="294">
        <f>data!BX67</f>
        <v>658030</v>
      </c>
      <c r="G337" s="294">
        <f>data!BY67</f>
        <v>545501</v>
      </c>
      <c r="H337" s="294">
        <f>data!BZ67</f>
        <v>13581</v>
      </c>
      <c r="I337" s="294">
        <f>data!CA67</f>
        <v>0</v>
      </c>
    </row>
    <row r="338" spans="1:9" customFormat="1" ht="20.100000000000001" customHeight="1" x14ac:dyDescent="0.2">
      <c r="A338" s="274">
        <v>13</v>
      </c>
      <c r="B338" s="275" t="s">
        <v>1006</v>
      </c>
      <c r="C338" s="294">
        <f>data!BU68</f>
        <v>0</v>
      </c>
      <c r="D338" s="294">
        <f>data!BV68</f>
        <v>0</v>
      </c>
      <c r="E338" s="294">
        <f>data!BW68</f>
        <v>0</v>
      </c>
      <c r="F338" s="294">
        <f>data!BX68</f>
        <v>0</v>
      </c>
      <c r="G338" s="294">
        <f>data!BY68</f>
        <v>0</v>
      </c>
      <c r="H338" s="294">
        <f>data!BZ68</f>
        <v>0</v>
      </c>
      <c r="I338" s="294">
        <f>data!CA68</f>
        <v>0</v>
      </c>
    </row>
    <row r="339" spans="1:9" customFormat="1" ht="20.100000000000001" customHeight="1" x14ac:dyDescent="0.2">
      <c r="A339" s="274">
        <v>14</v>
      </c>
      <c r="B339" s="275" t="s">
        <v>1007</v>
      </c>
      <c r="C339" s="294">
        <f>data!BU69</f>
        <v>1062332.29</v>
      </c>
      <c r="D339" s="294">
        <f>data!BV69</f>
        <v>179949.07000000004</v>
      </c>
      <c r="E339" s="294">
        <f>data!BW69</f>
        <v>409603.06000000006</v>
      </c>
      <c r="F339" s="294">
        <f>data!BX69</f>
        <v>811096.37</v>
      </c>
      <c r="G339" s="294">
        <f>data!BY69</f>
        <v>246142.2</v>
      </c>
      <c r="H339" s="294">
        <f>data!BZ69</f>
        <v>47774.840000000004</v>
      </c>
      <c r="I339" s="294">
        <f>data!CA69</f>
        <v>0</v>
      </c>
    </row>
    <row r="340" spans="1:9" customFormat="1" ht="20.100000000000001" customHeight="1" x14ac:dyDescent="0.2">
      <c r="A340" s="274">
        <v>15</v>
      </c>
      <c r="B340" s="275" t="s">
        <v>282</v>
      </c>
      <c r="C340" s="275">
        <f>-data!BU84</f>
        <v>0</v>
      </c>
      <c r="D340" s="275">
        <f>-data!BV84</f>
        <v>-46491.86</v>
      </c>
      <c r="E340" s="275">
        <f>-data!BW84</f>
        <v>194255.40999999997</v>
      </c>
      <c r="F340" s="275">
        <f>-data!BX84</f>
        <v>-158103</v>
      </c>
      <c r="G340" s="275">
        <f>-data!BY84</f>
        <v>-143941.37</v>
      </c>
      <c r="H340" s="275">
        <f>-data!BZ84</f>
        <v>0</v>
      </c>
      <c r="I340" s="275">
        <f>-data!CA84</f>
        <v>0</v>
      </c>
    </row>
    <row r="341" spans="1:9" customFormat="1" ht="20.100000000000001" customHeight="1" x14ac:dyDescent="0.2">
      <c r="A341" s="274">
        <v>16</v>
      </c>
      <c r="B341" s="283" t="s">
        <v>1008</v>
      </c>
      <c r="C341" s="275">
        <f>data!BU85</f>
        <v>1848632.08</v>
      </c>
      <c r="D341" s="275">
        <f>data!BV85</f>
        <v>3347707.7899999996</v>
      </c>
      <c r="E341" s="275">
        <f>data!BW85</f>
        <v>46405284</v>
      </c>
      <c r="F341" s="275">
        <f>data!BX85</f>
        <v>21826672.260000002</v>
      </c>
      <c r="G341" s="275">
        <f>data!BY85</f>
        <v>20620006.959999997</v>
      </c>
      <c r="H341" s="275">
        <f>data!BZ85</f>
        <v>9797236.4799999986</v>
      </c>
      <c r="I341" s="275">
        <f>data!CA85</f>
        <v>0</v>
      </c>
    </row>
    <row r="342" spans="1:9" customFormat="1" ht="20.100000000000001" customHeight="1" x14ac:dyDescent="0.2">
      <c r="A342" s="274">
        <v>17</v>
      </c>
      <c r="B342" s="275" t="s">
        <v>284</v>
      </c>
      <c r="C342" s="285"/>
      <c r="D342" s="285"/>
      <c r="E342" s="285"/>
      <c r="F342" s="285"/>
      <c r="G342" s="285"/>
      <c r="H342" s="285"/>
      <c r="I342" s="285"/>
    </row>
    <row r="343" spans="1:9" customFormat="1" ht="20.100000000000001" customHeight="1" x14ac:dyDescent="0.2">
      <c r="A343" s="274">
        <v>18</v>
      </c>
      <c r="B343" s="275" t="s">
        <v>1009</v>
      </c>
      <c r="C343" s="275"/>
      <c r="D343" s="275"/>
      <c r="E343" s="275"/>
      <c r="F343" s="275"/>
      <c r="G343" s="275"/>
      <c r="H343" s="275"/>
      <c r="I343" s="275"/>
    </row>
    <row r="344" spans="1:9" customFormat="1" ht="20.100000000000001" customHeight="1" x14ac:dyDescent="0.2">
      <c r="A344" s="274">
        <v>19</v>
      </c>
      <c r="B344" s="283" t="s">
        <v>1010</v>
      </c>
      <c r="C344" s="290" t="str">
        <f>IF(data!BU87&gt;0,data!BU87,"")</f>
        <v>x</v>
      </c>
      <c r="D344" s="290" t="str">
        <f>IF(data!BV87&gt;0,data!BV87,"")</f>
        <v>x</v>
      </c>
      <c r="E344" s="290" t="str">
        <f>IF(data!BW87&gt;0,data!BW87,"")</f>
        <v>x</v>
      </c>
      <c r="F344" s="290" t="str">
        <f>IF(data!BX87&gt;0,data!BX87,"")</f>
        <v>x</v>
      </c>
      <c r="G344" s="290" t="str">
        <f>IF(data!BY87&gt;0,data!BY87,"")</f>
        <v>x</v>
      </c>
      <c r="H344" s="290" t="str">
        <f>IF(data!BZ87&gt;0,data!BZ87,"")</f>
        <v>x</v>
      </c>
      <c r="I344" s="290" t="str">
        <f>IF(data!CA87&gt;0,data!CA87,"")</f>
        <v>x</v>
      </c>
    </row>
    <row r="345" spans="1:9" customFormat="1" ht="20.100000000000001" customHeight="1" x14ac:dyDescent="0.2">
      <c r="A345" s="274">
        <v>20</v>
      </c>
      <c r="B345" s="283" t="s">
        <v>1011</v>
      </c>
      <c r="C345" s="290" t="str">
        <f>IF(data!BU88&gt;0,data!BU88,"")</f>
        <v>x</v>
      </c>
      <c r="D345" s="290" t="str">
        <f>IF(data!BV88&gt;0,data!BV88,"")</f>
        <v>x</v>
      </c>
      <c r="E345" s="290" t="str">
        <f>IF(data!BW88&gt;0,data!BW88,"")</f>
        <v>x</v>
      </c>
      <c r="F345" s="290" t="str">
        <f>IF(data!BX88&gt;0,data!BX88,"")</f>
        <v>x</v>
      </c>
      <c r="G345" s="290" t="str">
        <f>IF(data!BY88&gt;0,data!BY88,"")</f>
        <v>x</v>
      </c>
      <c r="H345" s="290" t="str">
        <f>IF(data!BZ88&gt;0,data!BZ88,"")</f>
        <v>x</v>
      </c>
      <c r="I345" s="290" t="str">
        <f>IF(data!CA88&gt;0,data!CA88,"")</f>
        <v>x</v>
      </c>
    </row>
    <row r="346" spans="1:9" customFormat="1" ht="20.100000000000001" customHeight="1" x14ac:dyDescent="0.2">
      <c r="A346" s="274">
        <v>21</v>
      </c>
      <c r="B346" s="283" t="s">
        <v>1012</v>
      </c>
      <c r="C346" s="290" t="str">
        <f>IF(data!BU89&gt;0,data!BU89,"")</f>
        <v>x</v>
      </c>
      <c r="D346" s="290" t="str">
        <f>IF(data!BV89&gt;0,data!BV89,"")</f>
        <v>x</v>
      </c>
      <c r="E346" s="290" t="str">
        <f>IF(data!BW89&gt;0,data!BW89,"")</f>
        <v>x</v>
      </c>
      <c r="F346" s="290" t="str">
        <f>IF(data!BX89&gt;0,data!BX89,"")</f>
        <v>x</v>
      </c>
      <c r="G346" s="290" t="str">
        <f>IF(data!BY89&gt;0,data!BY89,"")</f>
        <v>x</v>
      </c>
      <c r="H346" s="290" t="str">
        <f>IF(data!BZ89&gt;0,data!BZ89,"")</f>
        <v>x</v>
      </c>
      <c r="I346" s="290" t="str">
        <f>IF(data!CA89&gt;0,data!CA89,"")</f>
        <v>x</v>
      </c>
    </row>
    <row r="347" spans="1:9" customFormat="1" ht="20.100000000000001" customHeight="1" x14ac:dyDescent="0.2">
      <c r="A347" s="274" t="s">
        <v>1013</v>
      </c>
      <c r="B347" s="275"/>
      <c r="C347" s="285"/>
      <c r="D347" s="285"/>
      <c r="E347" s="285"/>
      <c r="F347" s="285"/>
      <c r="G347" s="285"/>
      <c r="H347" s="285"/>
      <c r="I347" s="285"/>
    </row>
    <row r="348" spans="1:9" customFormat="1" ht="20.100000000000001" customHeight="1" x14ac:dyDescent="0.2">
      <c r="A348" s="274">
        <v>22</v>
      </c>
      <c r="B348" s="275" t="s">
        <v>1014</v>
      </c>
      <c r="C348" s="291">
        <f>data!BU90</f>
        <v>3795.9875713536476</v>
      </c>
      <c r="D348" s="291">
        <f>data!BV90</f>
        <v>308.07531675983216</v>
      </c>
      <c r="E348" s="291">
        <f>data!BW90</f>
        <v>25857.610603929759</v>
      </c>
      <c r="F348" s="291">
        <f>data!BX90</f>
        <v>6451.9130501034078</v>
      </c>
      <c r="G348" s="291">
        <f>data!BY90</f>
        <v>5348.57197886005</v>
      </c>
      <c r="H348" s="291">
        <f>data!BZ90</f>
        <v>133.16293890169115</v>
      </c>
      <c r="I348" s="291">
        <f>data!CA90</f>
        <v>0</v>
      </c>
    </row>
    <row r="349" spans="1:9" customFormat="1" ht="20.100000000000001" customHeight="1" x14ac:dyDescent="0.2">
      <c r="A349" s="274">
        <v>23</v>
      </c>
      <c r="B349" s="275" t="s">
        <v>1015</v>
      </c>
      <c r="C349" s="291">
        <f>data!BU91</f>
        <v>0</v>
      </c>
      <c r="D349" s="291">
        <f>data!BV91</f>
        <v>0</v>
      </c>
      <c r="E349" s="291">
        <f>data!BW91</f>
        <v>0</v>
      </c>
      <c r="F349" s="291">
        <f>data!BX91</f>
        <v>0</v>
      </c>
      <c r="G349" s="291">
        <f>data!BY91</f>
        <v>0</v>
      </c>
      <c r="H349" s="291">
        <f>data!BZ91</f>
        <v>0</v>
      </c>
      <c r="I349" s="291">
        <f>data!CA91</f>
        <v>0</v>
      </c>
    </row>
    <row r="350" spans="1:9" customFormat="1" ht="20.100000000000001" customHeight="1" x14ac:dyDescent="0.2">
      <c r="A350" s="274">
        <v>24</v>
      </c>
      <c r="B350" s="275" t="s">
        <v>1016</v>
      </c>
      <c r="C350" s="291">
        <f>data!BU92</f>
        <v>0</v>
      </c>
      <c r="D350" s="291">
        <f>data!BV92</f>
        <v>0</v>
      </c>
      <c r="E350" s="291">
        <f>data!BW92</f>
        <v>0</v>
      </c>
      <c r="F350" s="291">
        <f>data!BX92</f>
        <v>0</v>
      </c>
      <c r="G350" s="291">
        <f>data!BY92</f>
        <v>0</v>
      </c>
      <c r="H350" s="291">
        <f>data!BZ92</f>
        <v>0</v>
      </c>
      <c r="I350" s="291">
        <f>data!CA92</f>
        <v>0</v>
      </c>
    </row>
    <row r="351" spans="1:9" customFormat="1" ht="20.100000000000001" customHeight="1" x14ac:dyDescent="0.2">
      <c r="A351" s="274">
        <v>25</v>
      </c>
      <c r="B351" s="275" t="s">
        <v>1017</v>
      </c>
      <c r="C351" s="291">
        <f>data!BU93</f>
        <v>0</v>
      </c>
      <c r="D351" s="291">
        <f>data!BV93</f>
        <v>0</v>
      </c>
      <c r="E351" s="291">
        <f>data!BW93</f>
        <v>22139</v>
      </c>
      <c r="F351" s="291">
        <f>data!BX93</f>
        <v>0</v>
      </c>
      <c r="G351" s="291">
        <f>data!BY93</f>
        <v>0</v>
      </c>
      <c r="H351" s="291">
        <f>data!BZ93</f>
        <v>0</v>
      </c>
      <c r="I351" s="291">
        <f>data!CA93</f>
        <v>0</v>
      </c>
    </row>
    <row r="352" spans="1:9" customFormat="1" ht="20.100000000000001" customHeight="1" x14ac:dyDescent="0.2">
      <c r="A352" s="274">
        <v>26</v>
      </c>
      <c r="B352" s="275" t="s">
        <v>292</v>
      </c>
      <c r="C352" s="293" t="str">
        <f>IF(data!BU94&gt;0,data!BU94,"")</f>
        <v/>
      </c>
      <c r="D352" s="293" t="str">
        <f>IF(data!BV94&gt;0,data!BV94,"")</f>
        <v/>
      </c>
      <c r="E352" s="293" t="str">
        <f>IF(data!BW94&gt;0,data!BW94,"")</f>
        <v/>
      </c>
      <c r="F352" s="293" t="str">
        <f>IF(data!BX94&gt;0,data!BX94,"")</f>
        <v/>
      </c>
      <c r="G352" s="293" t="str">
        <f>IF(data!BY94&gt;0,data!BY94,"")</f>
        <v/>
      </c>
      <c r="H352" s="293" t="str">
        <f>IF(data!BZ94&gt;0,data!BZ94,"")</f>
        <v/>
      </c>
      <c r="I352" s="293" t="str">
        <f>IF(data!CA94&gt;0,data!CA94,"")</f>
        <v/>
      </c>
    </row>
    <row r="353" spans="1:9" customFormat="1" ht="20.100000000000001" customHeight="1" x14ac:dyDescent="0.2">
      <c r="A353" s="268" t="s">
        <v>999</v>
      </c>
      <c r="B353" s="269"/>
      <c r="C353" s="269"/>
      <c r="D353" s="269"/>
      <c r="E353" s="269"/>
      <c r="F353" s="269"/>
      <c r="G353" s="269"/>
      <c r="H353" s="269"/>
      <c r="I353" s="268"/>
    </row>
    <row r="354" spans="1:9" customFormat="1" ht="20.100000000000001" customHeight="1" x14ac:dyDescent="0.2">
      <c r="D354" s="270"/>
      <c r="I354" s="271" t="s">
        <v>1052</v>
      </c>
    </row>
    <row r="355" spans="1:9" customFormat="1" ht="20.100000000000001" customHeight="1" x14ac:dyDescent="0.2">
      <c r="A355" s="270"/>
    </row>
    <row r="356" spans="1:9" customFormat="1" ht="20.100000000000001" customHeight="1" x14ac:dyDescent="0.2">
      <c r="A356" s="272" t="str">
        <f>"Hospital: "&amp;data!C98</f>
        <v>Hospital: Seattle Children's Hospital</v>
      </c>
      <c r="G356" s="273"/>
      <c r="H356" s="272" t="str">
        <f>"FYE: "&amp;data!C96</f>
        <v>FYE: 09/30/2024</v>
      </c>
    </row>
    <row r="357" spans="1:9" customFormat="1" ht="20.100000000000001" customHeight="1" x14ac:dyDescent="0.2">
      <c r="A357" s="274">
        <v>1</v>
      </c>
      <c r="B357" s="275" t="s">
        <v>234</v>
      </c>
      <c r="C357" s="277">
        <v>8910</v>
      </c>
      <c r="D357" s="277">
        <v>8930</v>
      </c>
      <c r="E357" s="277" t="s">
        <v>113</v>
      </c>
      <c r="F357" s="295"/>
      <c r="G357" s="295"/>
      <c r="H357" s="295"/>
      <c r="I357" s="277"/>
    </row>
    <row r="358" spans="1:9" customFormat="1" ht="20.100000000000001" customHeight="1" x14ac:dyDescent="0.2">
      <c r="A358" s="278">
        <v>2</v>
      </c>
      <c r="B358" s="279" t="s">
        <v>1001</v>
      </c>
      <c r="C358" s="281" t="s">
        <v>185</v>
      </c>
      <c r="D358" s="281" t="s">
        <v>157</v>
      </c>
      <c r="E358" s="281" t="s">
        <v>236</v>
      </c>
      <c r="F358" s="296"/>
      <c r="G358" s="296"/>
      <c r="H358" s="296"/>
      <c r="I358" s="281" t="s">
        <v>186</v>
      </c>
    </row>
    <row r="359" spans="1:9" customFormat="1" ht="20.100000000000001" customHeight="1" x14ac:dyDescent="0.2">
      <c r="A359" s="278"/>
      <c r="B359" s="279"/>
      <c r="C359" s="281" t="s">
        <v>226</v>
      </c>
      <c r="D359" s="281" t="s">
        <v>1053</v>
      </c>
      <c r="E359" s="281" t="s">
        <v>238</v>
      </c>
      <c r="F359" s="296"/>
      <c r="G359" s="296"/>
      <c r="H359" s="296"/>
      <c r="I359" s="281" t="s">
        <v>228</v>
      </c>
    </row>
    <row r="360" spans="1:9" customFormat="1" ht="20.100000000000001" customHeight="1" x14ac:dyDescent="0.2">
      <c r="A360" s="274">
        <v>3</v>
      </c>
      <c r="B360" s="275" t="s">
        <v>1005</v>
      </c>
      <c r="C360" s="287"/>
      <c r="D360" s="287"/>
      <c r="E360" s="287"/>
      <c r="F360" s="287"/>
      <c r="G360" s="287"/>
      <c r="H360" s="287"/>
      <c r="I360" s="287"/>
    </row>
    <row r="361" spans="1:9" customFormat="1" ht="20.100000000000001" customHeight="1" x14ac:dyDescent="0.2">
      <c r="A361" s="274">
        <v>4</v>
      </c>
      <c r="B361" s="275" t="s">
        <v>259</v>
      </c>
      <c r="C361" s="287"/>
      <c r="D361" s="287"/>
      <c r="E361" s="287"/>
      <c r="F361" s="287"/>
      <c r="G361" s="287"/>
      <c r="H361" s="287"/>
      <c r="I361" s="287"/>
    </row>
    <row r="362" spans="1:9" customFormat="1" ht="20.100000000000001" customHeight="1" x14ac:dyDescent="0.2">
      <c r="A362" s="274">
        <v>5</v>
      </c>
      <c r="B362" s="275" t="s">
        <v>260</v>
      </c>
      <c r="C362" s="282">
        <f>data!CB60</f>
        <v>0</v>
      </c>
      <c r="D362" s="282">
        <f>data!CC60</f>
        <v>369.60286071200545</v>
      </c>
      <c r="E362" s="297"/>
      <c r="F362" s="285"/>
      <c r="G362" s="285"/>
      <c r="H362" s="285"/>
      <c r="I362" s="298">
        <f>data!CE60</f>
        <v>8648.206789405247</v>
      </c>
    </row>
    <row r="363" spans="1:9" customFormat="1" ht="20.100000000000001" customHeight="1" x14ac:dyDescent="0.2">
      <c r="A363" s="274">
        <v>6</v>
      </c>
      <c r="B363" s="275" t="s">
        <v>261</v>
      </c>
      <c r="C363" s="294">
        <f>data!CB61</f>
        <v>0</v>
      </c>
      <c r="D363" s="294">
        <f>data!CC61</f>
        <v>68920141.060000002</v>
      </c>
      <c r="E363" s="299"/>
      <c r="F363" s="299"/>
      <c r="G363" s="299"/>
      <c r="H363" s="299"/>
      <c r="I363" s="294">
        <f>data!CE61</f>
        <v>994527197.16000009</v>
      </c>
    </row>
    <row r="364" spans="1:9" customFormat="1" ht="20.100000000000001" customHeight="1" x14ac:dyDescent="0.2">
      <c r="A364" s="274">
        <v>7</v>
      </c>
      <c r="B364" s="275" t="s">
        <v>9</v>
      </c>
      <c r="C364" s="294">
        <f>data!CB62</f>
        <v>0</v>
      </c>
      <c r="D364" s="294">
        <f>data!CC62</f>
        <v>18946973</v>
      </c>
      <c r="E364" s="299"/>
      <c r="F364" s="299"/>
      <c r="G364" s="299"/>
      <c r="H364" s="299"/>
      <c r="I364" s="294">
        <f>data!CE62</f>
        <v>273407448</v>
      </c>
    </row>
    <row r="365" spans="1:9" customFormat="1" ht="20.100000000000001" customHeight="1" x14ac:dyDescent="0.2">
      <c r="A365" s="274">
        <v>8</v>
      </c>
      <c r="B365" s="275" t="s">
        <v>262</v>
      </c>
      <c r="C365" s="294">
        <f>data!CB63</f>
        <v>0</v>
      </c>
      <c r="D365" s="294">
        <f>data!CC63</f>
        <v>17055029.060000002</v>
      </c>
      <c r="E365" s="299"/>
      <c r="F365" s="299"/>
      <c r="G365" s="299"/>
      <c r="H365" s="299"/>
      <c r="I365" s="294">
        <f>data!CE63</f>
        <v>227921548.55000001</v>
      </c>
    </row>
    <row r="366" spans="1:9" customFormat="1" ht="20.100000000000001" customHeight="1" x14ac:dyDescent="0.2">
      <c r="A366" s="274">
        <v>9</v>
      </c>
      <c r="B366" s="275" t="s">
        <v>263</v>
      </c>
      <c r="C366" s="294">
        <f>data!CB64</f>
        <v>0</v>
      </c>
      <c r="D366" s="294">
        <f>data!CC64</f>
        <v>-2739961.2400000007</v>
      </c>
      <c r="E366" s="299"/>
      <c r="F366" s="299"/>
      <c r="G366" s="299"/>
      <c r="H366" s="299"/>
      <c r="I366" s="294">
        <f>data!CE64</f>
        <v>242899662.53999996</v>
      </c>
    </row>
    <row r="367" spans="1:9" customFormat="1" ht="20.100000000000001" customHeight="1" x14ac:dyDescent="0.2">
      <c r="A367" s="274">
        <v>10</v>
      </c>
      <c r="B367" s="275" t="s">
        <v>525</v>
      </c>
      <c r="C367" s="294">
        <f>data!CB65</f>
        <v>0</v>
      </c>
      <c r="D367" s="294">
        <f>data!CC65</f>
        <v>0</v>
      </c>
      <c r="E367" s="299"/>
      <c r="F367" s="299"/>
      <c r="G367" s="299"/>
      <c r="H367" s="299"/>
      <c r="I367" s="294">
        <f>data!CE65</f>
        <v>0</v>
      </c>
    </row>
    <row r="368" spans="1:9" customFormat="1" ht="20.100000000000001" customHeight="1" x14ac:dyDescent="0.2">
      <c r="A368" s="274">
        <v>11</v>
      </c>
      <c r="B368" s="275" t="s">
        <v>526</v>
      </c>
      <c r="C368" s="294">
        <f>data!CB66</f>
        <v>0</v>
      </c>
      <c r="D368" s="294">
        <f>data!CC66</f>
        <v>10213349.390000001</v>
      </c>
      <c r="E368" s="299"/>
      <c r="F368" s="299"/>
      <c r="G368" s="299"/>
      <c r="H368" s="299"/>
      <c r="I368" s="294">
        <f>data!CE66</f>
        <v>176791545.38</v>
      </c>
    </row>
    <row r="369" spans="1:9" customFormat="1" ht="20.100000000000001" customHeight="1" x14ac:dyDescent="0.2">
      <c r="A369" s="274">
        <v>12</v>
      </c>
      <c r="B369" s="275" t="s">
        <v>14</v>
      </c>
      <c r="C369" s="294">
        <f>data!CB67</f>
        <v>0</v>
      </c>
      <c r="D369" s="294">
        <f>data!CC67</f>
        <v>7111513</v>
      </c>
      <c r="E369" s="299"/>
      <c r="F369" s="299"/>
      <c r="G369" s="299"/>
      <c r="H369" s="299"/>
      <c r="I369" s="294">
        <f>data!CE67</f>
        <v>237821444</v>
      </c>
    </row>
    <row r="370" spans="1:9" customFormat="1" ht="20.100000000000001" customHeight="1" x14ac:dyDescent="0.2">
      <c r="A370" s="274">
        <v>13</v>
      </c>
      <c r="B370" s="275" t="s">
        <v>1006</v>
      </c>
      <c r="C370" s="294">
        <f>data!CB68</f>
        <v>0</v>
      </c>
      <c r="D370" s="294">
        <f>data!CC68</f>
        <v>15373361.76</v>
      </c>
      <c r="E370" s="299"/>
      <c r="F370" s="299"/>
      <c r="G370" s="299"/>
      <c r="H370" s="299"/>
      <c r="I370" s="294">
        <f>data!CE68</f>
        <v>31628237.880000003</v>
      </c>
    </row>
    <row r="371" spans="1:9" customFormat="1" ht="20.100000000000001" customHeight="1" x14ac:dyDescent="0.2">
      <c r="A371" s="274">
        <v>14</v>
      </c>
      <c r="B371" s="275" t="s">
        <v>1007</v>
      </c>
      <c r="C371" s="294">
        <f>data!CB69</f>
        <v>0</v>
      </c>
      <c r="D371" s="294">
        <f>data!CC69</f>
        <v>58084302.160000004</v>
      </c>
      <c r="E371" s="294">
        <f>data!CD69</f>
        <v>0</v>
      </c>
      <c r="F371" s="299"/>
      <c r="G371" s="299"/>
      <c r="H371" s="299"/>
      <c r="I371" s="294">
        <f>data!CE69</f>
        <v>263767804.24000001</v>
      </c>
    </row>
    <row r="372" spans="1:9" customFormat="1" ht="20.100000000000001" customHeight="1" x14ac:dyDescent="0.2">
      <c r="A372" s="274">
        <v>15</v>
      </c>
      <c r="B372" s="275" t="s">
        <v>282</v>
      </c>
      <c r="C372" s="275">
        <f>-data!CB84</f>
        <v>0</v>
      </c>
      <c r="D372" s="275">
        <f>-data!CC84</f>
        <v>-64028390.479999997</v>
      </c>
      <c r="E372" s="275">
        <f>-data!CD84</f>
        <v>0</v>
      </c>
      <c r="F372" s="285"/>
      <c r="G372" s="285"/>
      <c r="H372" s="285"/>
      <c r="I372" s="275">
        <f>-data!CE84</f>
        <v>-413833261.64999998</v>
      </c>
    </row>
    <row r="373" spans="1:9" customFormat="1" ht="20.100000000000001" customHeight="1" x14ac:dyDescent="0.2">
      <c r="A373" s="274">
        <v>16</v>
      </c>
      <c r="B373" s="283" t="s">
        <v>1008</v>
      </c>
      <c r="C373" s="294">
        <f>data!CB85</f>
        <v>0</v>
      </c>
      <c r="D373" s="294">
        <f>data!CC85</f>
        <v>128936317.71000001</v>
      </c>
      <c r="E373" s="294">
        <f>data!CD85</f>
        <v>0</v>
      </c>
      <c r="F373" s="299"/>
      <c r="G373" s="299"/>
      <c r="H373" s="299"/>
      <c r="I373" s="275">
        <f>data!CE85</f>
        <v>2034931626.0999997</v>
      </c>
    </row>
    <row r="374" spans="1:9" customFormat="1" ht="20.100000000000001" customHeight="1" x14ac:dyDescent="0.2">
      <c r="A374" s="274">
        <v>17</v>
      </c>
      <c r="B374" s="275" t="s">
        <v>284</v>
      </c>
      <c r="C374" s="299"/>
      <c r="D374" s="299"/>
      <c r="E374" s="299"/>
      <c r="F374" s="299"/>
      <c r="G374" s="299"/>
      <c r="H374" s="299"/>
      <c r="I374" s="275">
        <f>data!CE86</f>
        <v>0</v>
      </c>
    </row>
    <row r="375" spans="1:9" customFormat="1" ht="20.100000000000001" customHeight="1" x14ac:dyDescent="0.2">
      <c r="A375" s="274">
        <v>18</v>
      </c>
      <c r="B375" s="275" t="s">
        <v>1009</v>
      </c>
      <c r="C375" s="275"/>
      <c r="D375" s="275"/>
      <c r="E375" s="275"/>
      <c r="F375" s="275"/>
      <c r="G375" s="275"/>
      <c r="H375" s="275"/>
      <c r="I375" s="275"/>
    </row>
    <row r="376" spans="1:9" customFormat="1" ht="20.100000000000001" customHeight="1" x14ac:dyDescent="0.2">
      <c r="A376" s="274">
        <v>19</v>
      </c>
      <c r="B376" s="283" t="s">
        <v>1010</v>
      </c>
      <c r="C376" s="290" t="str">
        <f>IF(data!CB87&gt;0,data!CB87,"")</f>
        <v>x</v>
      </c>
      <c r="D376" s="290" t="str">
        <f>IF(data!CC87&gt;0,data!CC87,"")</f>
        <v>x</v>
      </c>
      <c r="E376" s="285"/>
      <c r="F376" s="285"/>
      <c r="G376" s="285"/>
      <c r="H376" s="285"/>
      <c r="I376" s="291">
        <f>data!CE87</f>
        <v>2484792685.3799996</v>
      </c>
    </row>
    <row r="377" spans="1:9" customFormat="1" ht="20.100000000000001" customHeight="1" x14ac:dyDescent="0.2">
      <c r="A377" s="274">
        <v>20</v>
      </c>
      <c r="B377" s="283" t="s">
        <v>1011</v>
      </c>
      <c r="C377" s="290" t="str">
        <f>IF(data!CB88&gt;0,data!CB88,"")</f>
        <v>x</v>
      </c>
      <c r="D377" s="290" t="str">
        <f>IF(data!CC88&gt;0,data!CC88,"")</f>
        <v>x</v>
      </c>
      <c r="E377" s="285"/>
      <c r="F377" s="285"/>
      <c r="G377" s="285"/>
      <c r="H377" s="285"/>
      <c r="I377" s="291">
        <f>data!CE88</f>
        <v>1700622214.28</v>
      </c>
    </row>
    <row r="378" spans="1:9" customFormat="1" ht="20.100000000000001" customHeight="1" x14ac:dyDescent="0.2">
      <c r="A378" s="274">
        <v>21</v>
      </c>
      <c r="B378" s="283" t="s">
        <v>1012</v>
      </c>
      <c r="C378" s="290" t="str">
        <f>IF(data!CB89&gt;0,data!CB89,"")</f>
        <v>x</v>
      </c>
      <c r="D378" s="290" t="str">
        <f>IF(data!CC89&gt;0,data!CC89,"")</f>
        <v>x</v>
      </c>
      <c r="E378" s="285"/>
      <c r="F378" s="285"/>
      <c r="G378" s="285"/>
      <c r="H378" s="285"/>
      <c r="I378" s="291">
        <f>data!CE89</f>
        <v>4185414899.6600003</v>
      </c>
    </row>
    <row r="379" spans="1:9" customFormat="1" ht="20.100000000000001" customHeight="1" x14ac:dyDescent="0.2">
      <c r="A379" s="274" t="s">
        <v>1013</v>
      </c>
      <c r="B379" s="275"/>
      <c r="C379" s="285"/>
      <c r="D379" s="285"/>
      <c r="E379" s="285"/>
      <c r="F379" s="285"/>
      <c r="G379" s="285"/>
      <c r="H379" s="285"/>
      <c r="I379" s="285"/>
    </row>
    <row r="380" spans="1:9" customFormat="1" ht="20.100000000000001" customHeight="1" x14ac:dyDescent="0.2">
      <c r="A380" s="274">
        <v>22</v>
      </c>
      <c r="B380" s="275" t="s">
        <v>1014</v>
      </c>
      <c r="C380" s="291">
        <f>data!CB90</f>
        <v>0</v>
      </c>
      <c r="D380" s="291">
        <f>data!CC90</f>
        <v>69727.572305594702</v>
      </c>
      <c r="E380" s="285"/>
      <c r="F380" s="285"/>
      <c r="G380" s="285"/>
      <c r="H380" s="285"/>
      <c r="I380" s="275">
        <f>data!CE90</f>
        <v>2331812.1364971558</v>
      </c>
    </row>
    <row r="381" spans="1:9" customFormat="1" ht="20.100000000000001" customHeight="1" x14ac:dyDescent="0.2">
      <c r="A381" s="274">
        <v>23</v>
      </c>
      <c r="B381" s="275" t="s">
        <v>1015</v>
      </c>
      <c r="C381" s="291">
        <f>data!CB91</f>
        <v>0</v>
      </c>
      <c r="D381" s="290" t="str">
        <f>IF(data!CC91&gt;0,data!CC91,"")</f>
        <v>x</v>
      </c>
      <c r="E381" s="285"/>
      <c r="F381" s="285"/>
      <c r="G381" s="285"/>
      <c r="H381" s="285"/>
      <c r="I381" s="275">
        <f>data!CE91</f>
        <v>0</v>
      </c>
    </row>
    <row r="382" spans="1:9" customFormat="1" ht="20.100000000000001" customHeight="1" x14ac:dyDescent="0.2">
      <c r="A382" s="274">
        <v>24</v>
      </c>
      <c r="B382" s="275" t="s">
        <v>1016</v>
      </c>
      <c r="C382" s="291">
        <f>data!CB92</f>
        <v>0</v>
      </c>
      <c r="D382" s="290" t="str">
        <f>IF(data!CC92&gt;0,data!CC92,"")</f>
        <v>x</v>
      </c>
      <c r="E382" s="285"/>
      <c r="F382" s="285"/>
      <c r="G382" s="285"/>
      <c r="H382" s="285"/>
      <c r="I382" s="275">
        <f>data!CE92</f>
        <v>256525.85832081406</v>
      </c>
    </row>
    <row r="383" spans="1:9" customFormat="1" ht="20.100000000000001" customHeight="1" x14ac:dyDescent="0.2">
      <c r="A383" s="274">
        <v>25</v>
      </c>
      <c r="B383" s="275" t="s">
        <v>1017</v>
      </c>
      <c r="C383" s="291">
        <f>data!CB93</f>
        <v>0</v>
      </c>
      <c r="D383" s="290" t="str">
        <f>IF(data!CC93&gt;0,data!CC93,"")</f>
        <v>x</v>
      </c>
      <c r="E383" s="285"/>
      <c r="F383" s="285"/>
      <c r="G383" s="285"/>
      <c r="H383" s="285"/>
      <c r="I383" s="275">
        <f>data!CE93</f>
        <v>3971693</v>
      </c>
    </row>
    <row r="384" spans="1:9" customFormat="1" ht="20.100000000000001" customHeight="1" x14ac:dyDescent="0.2">
      <c r="A384" s="274">
        <v>26</v>
      </c>
      <c r="B384" s="275" t="s">
        <v>292</v>
      </c>
      <c r="C384" s="290" t="str">
        <f>IF(data!CB94&gt;0,data!CB94,"")</f>
        <v/>
      </c>
      <c r="D384" s="290" t="str">
        <f>IF(data!CC94&gt;0,data!CC94,"")</f>
        <v>x</v>
      </c>
      <c r="E384" s="297"/>
      <c r="F384" s="285"/>
      <c r="G384" s="285"/>
      <c r="H384" s="285"/>
      <c r="I384" s="282">
        <f>data!CE94</f>
        <v>1404.4642981135714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32FD-13E5-44A9-B320-649770993D40}">
  <sheetPr syncVertical="1" syncRef="A1" transitionEvaluation="1" transitionEntry="1" codeName="Sheet12">
    <tabColor rgb="FF92D050"/>
    <pageSetUpPr autoPageBreaks="0" fitToPage="1"/>
  </sheetPr>
  <dimension ref="A1:CF717"/>
  <sheetViews>
    <sheetView tabSelected="1" zoomScale="78" zoomScaleNormal="78" workbookViewId="0">
      <selection activeCell="H26" sqref="H2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2.75" customHeight="1" x14ac:dyDescent="0.25">
      <c r="C1" s="13"/>
    </row>
    <row r="2" spans="1:5" x14ac:dyDescent="0.25">
      <c r="C2" s="13"/>
      <c r="E2" s="306" t="s">
        <v>1363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327" t="s">
        <v>1390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65" customHeight="1" x14ac:dyDescent="0.25">
      <c r="A18" s="14" t="s">
        <v>12</v>
      </c>
    </row>
    <row r="19" spans="1:10" ht="14.65" customHeight="1" x14ac:dyDescent="0.25">
      <c r="A19" s="14" t="s">
        <v>13</v>
      </c>
    </row>
    <row r="20" spans="1:10" ht="14.65" customHeight="1" x14ac:dyDescent="0.25">
      <c r="A20" s="12"/>
      <c r="E20" s="58"/>
      <c r="F20" s="58"/>
      <c r="G20" s="58"/>
    </row>
    <row r="21" spans="1:10" ht="14.6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29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3" x14ac:dyDescent="0.25">
      <c r="A33" s="14" t="s">
        <v>24</v>
      </c>
      <c r="B33" s="58"/>
      <c r="C33" s="58"/>
      <c r="D33" s="58"/>
    </row>
    <row r="34" spans="1:83" ht="16.5" x14ac:dyDescent="0.25">
      <c r="A34" s="14" t="s">
        <v>25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29" t="s">
        <v>26</v>
      </c>
      <c r="B36" s="330"/>
      <c r="C36" s="331"/>
      <c r="D36" s="330"/>
      <c r="E36" s="330"/>
      <c r="F36" s="330"/>
      <c r="G36" s="332"/>
    </row>
    <row r="37" spans="1:83" x14ac:dyDescent="0.25">
      <c r="A37" s="333" t="s">
        <v>27</v>
      </c>
      <c r="B37" s="334"/>
      <c r="C37" s="335"/>
      <c r="D37" s="336"/>
      <c r="E37" s="336"/>
      <c r="F37" s="336"/>
      <c r="G37" s="337"/>
    </row>
    <row r="38" spans="1:83" x14ac:dyDescent="0.25">
      <c r="A38" s="338" t="s">
        <v>28</v>
      </c>
      <c r="B38" s="334"/>
      <c r="C38" s="335"/>
      <c r="D38" s="336"/>
      <c r="E38" s="336"/>
      <c r="F38" s="336"/>
      <c r="G38" s="337"/>
    </row>
    <row r="39" spans="1:83" x14ac:dyDescent="0.25">
      <c r="A39" s="339" t="s">
        <v>29</v>
      </c>
      <c r="B39" s="336"/>
      <c r="C39" s="335"/>
      <c r="D39" s="336"/>
      <c r="E39" s="336"/>
      <c r="F39" s="336"/>
      <c r="G39" s="337"/>
    </row>
    <row r="40" spans="1:83" x14ac:dyDescent="0.25">
      <c r="A40" s="340" t="s">
        <v>30</v>
      </c>
      <c r="B40" s="341"/>
      <c r="C40" s="342"/>
      <c r="D40" s="341"/>
      <c r="E40" s="341"/>
      <c r="F40" s="341"/>
      <c r="G40" s="343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v>0</v>
      </c>
    </row>
    <row r="48" spans="1:83" x14ac:dyDescent="0.25">
      <c r="A48" s="25" t="s">
        <v>230</v>
      </c>
      <c r="B48" s="234">
        <v>252948007.5</v>
      </c>
      <c r="C48" s="25">
        <v>13418583</v>
      </c>
      <c r="D48" s="25">
        <v>0</v>
      </c>
      <c r="E48" s="25">
        <v>16737888</v>
      </c>
      <c r="F48" s="25">
        <v>0</v>
      </c>
      <c r="G48" s="25">
        <v>1095160</v>
      </c>
      <c r="H48" s="25">
        <v>3397047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7427576</v>
      </c>
      <c r="Q48" s="25">
        <v>3324629</v>
      </c>
      <c r="R48" s="25">
        <v>963960</v>
      </c>
      <c r="S48" s="25">
        <v>2673611</v>
      </c>
      <c r="T48" s="25">
        <v>459203</v>
      </c>
      <c r="U48" s="25">
        <v>7063979</v>
      </c>
      <c r="V48" s="25">
        <v>1914411</v>
      </c>
      <c r="W48" s="25">
        <v>471393</v>
      </c>
      <c r="X48" s="25">
        <v>456496</v>
      </c>
      <c r="Y48" s="25">
        <v>3694629</v>
      </c>
      <c r="Z48" s="25">
        <v>303072</v>
      </c>
      <c r="AA48" s="25">
        <v>148411</v>
      </c>
      <c r="AB48" s="25">
        <v>7572451</v>
      </c>
      <c r="AC48" s="25">
        <v>3381622</v>
      </c>
      <c r="AD48" s="25">
        <v>1093822</v>
      </c>
      <c r="AE48" s="25">
        <v>3066474</v>
      </c>
      <c r="AF48" s="25">
        <v>4909828</v>
      </c>
      <c r="AG48" s="25">
        <v>4740857</v>
      </c>
      <c r="AH48" s="25">
        <v>1374803</v>
      </c>
      <c r="AI48" s="25">
        <v>0</v>
      </c>
      <c r="AJ48" s="25">
        <v>37653156</v>
      </c>
      <c r="AK48" s="25">
        <v>903389</v>
      </c>
      <c r="AL48" s="25">
        <v>664500</v>
      </c>
      <c r="AM48" s="25">
        <v>686840</v>
      </c>
      <c r="AN48" s="25">
        <v>0</v>
      </c>
      <c r="AO48" s="25">
        <v>0</v>
      </c>
      <c r="AP48" s="25">
        <v>0</v>
      </c>
      <c r="AQ48" s="25">
        <v>0</v>
      </c>
      <c r="AR48" s="25">
        <v>1894450</v>
      </c>
      <c r="AS48" s="25">
        <v>0</v>
      </c>
      <c r="AT48" s="25">
        <v>106951</v>
      </c>
      <c r="AU48" s="25">
        <v>0</v>
      </c>
      <c r="AV48" s="25">
        <v>1759436</v>
      </c>
      <c r="AW48" s="25">
        <v>34401222</v>
      </c>
      <c r="AX48" s="25">
        <v>0</v>
      </c>
      <c r="AY48" s="25">
        <v>3533179</v>
      </c>
      <c r="AZ48" s="25">
        <v>25009</v>
      </c>
      <c r="BA48" s="25">
        <v>98055</v>
      </c>
      <c r="BB48" s="25">
        <v>4515518</v>
      </c>
      <c r="BC48" s="25">
        <v>81376</v>
      </c>
      <c r="BD48" s="25">
        <v>903314</v>
      </c>
      <c r="BE48" s="25">
        <v>6806131</v>
      </c>
      <c r="BF48" s="25">
        <v>3330146</v>
      </c>
      <c r="BG48" s="25">
        <v>476802</v>
      </c>
      <c r="BH48" s="25">
        <v>11259500</v>
      </c>
      <c r="BI48" s="25">
        <v>1088958</v>
      </c>
      <c r="BJ48" s="25">
        <v>1676536</v>
      </c>
      <c r="BK48" s="25">
        <v>4956988</v>
      </c>
      <c r="BL48" s="25">
        <v>2289441</v>
      </c>
      <c r="BM48" s="25">
        <v>0</v>
      </c>
      <c r="BN48" s="25">
        <v>4975653</v>
      </c>
      <c r="BO48" s="25">
        <v>412603</v>
      </c>
      <c r="BP48" s="25">
        <v>1430674</v>
      </c>
      <c r="BQ48" s="25">
        <v>1892730</v>
      </c>
      <c r="BR48" s="25">
        <v>4446111</v>
      </c>
      <c r="BS48" s="25">
        <v>0</v>
      </c>
      <c r="BT48" s="25">
        <v>176492</v>
      </c>
      <c r="BU48" s="25">
        <v>82344</v>
      </c>
      <c r="BV48" s="25">
        <v>719603</v>
      </c>
      <c r="BW48" s="25">
        <v>794147</v>
      </c>
      <c r="BX48" s="25">
        <v>3811325</v>
      </c>
      <c r="BY48" s="25">
        <v>3472527</v>
      </c>
      <c r="BZ48" s="25">
        <v>1844630</v>
      </c>
      <c r="CA48" s="25">
        <v>0</v>
      </c>
      <c r="CB48" s="25">
        <v>0</v>
      </c>
      <c r="CC48" s="25">
        <v>20088364</v>
      </c>
      <c r="CD48" s="25" t="s">
        <v>1054</v>
      </c>
      <c r="CE48" s="25" t="s">
        <v>1054</v>
      </c>
    </row>
    <row r="49" spans="1:83" x14ac:dyDescent="0.25">
      <c r="A49" s="16" t="s">
        <v>231</v>
      </c>
      <c r="B49" s="25">
        <v>252948007.5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232</v>
      </c>
      <c r="B51" s="234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0</v>
      </c>
    </row>
    <row r="52" spans="1:83" x14ac:dyDescent="0.25">
      <c r="A52" s="31" t="s">
        <v>233</v>
      </c>
      <c r="B52" s="236">
        <v>129507185</v>
      </c>
      <c r="C52" s="25">
        <v>7986414</v>
      </c>
      <c r="D52" s="25">
        <v>0</v>
      </c>
      <c r="E52" s="25">
        <v>17990820</v>
      </c>
      <c r="F52" s="25">
        <v>0</v>
      </c>
      <c r="G52" s="25">
        <v>1154723</v>
      </c>
      <c r="H52" s="25">
        <v>3283947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10168013</v>
      </c>
      <c r="Q52" s="25">
        <v>1110585</v>
      </c>
      <c r="R52" s="25">
        <v>656809</v>
      </c>
      <c r="S52" s="25">
        <v>3516648</v>
      </c>
      <c r="T52" s="25">
        <v>40310</v>
      </c>
      <c r="U52" s="25">
        <v>4267774</v>
      </c>
      <c r="V52" s="25">
        <v>871248</v>
      </c>
      <c r="W52" s="25">
        <v>1021687</v>
      </c>
      <c r="X52" s="25">
        <v>279224</v>
      </c>
      <c r="Y52" s="25">
        <v>3962424</v>
      </c>
      <c r="Z52" s="25">
        <v>33078</v>
      </c>
      <c r="AA52" s="25">
        <v>127529</v>
      </c>
      <c r="AB52" s="25">
        <v>2550158</v>
      </c>
      <c r="AC52" s="25">
        <v>362392</v>
      </c>
      <c r="AD52" s="25">
        <v>282639</v>
      </c>
      <c r="AE52" s="25">
        <v>2344210</v>
      </c>
      <c r="AF52" s="25">
        <v>3341294</v>
      </c>
      <c r="AG52" s="25">
        <v>4161842</v>
      </c>
      <c r="AH52" s="25">
        <v>95181</v>
      </c>
      <c r="AI52" s="25">
        <v>0</v>
      </c>
      <c r="AJ52" s="25">
        <v>15814756</v>
      </c>
      <c r="AK52" s="25">
        <v>628558</v>
      </c>
      <c r="AL52" s="25">
        <v>136436</v>
      </c>
      <c r="AM52" s="25">
        <v>476936</v>
      </c>
      <c r="AN52" s="25">
        <v>0</v>
      </c>
      <c r="AO52" s="25">
        <v>0</v>
      </c>
      <c r="AP52" s="25">
        <v>0</v>
      </c>
      <c r="AQ52" s="25">
        <v>0</v>
      </c>
      <c r="AR52" s="25">
        <v>48235</v>
      </c>
      <c r="AS52" s="25">
        <v>0</v>
      </c>
      <c r="AT52" s="25">
        <v>60432</v>
      </c>
      <c r="AU52" s="25">
        <v>0</v>
      </c>
      <c r="AV52" s="25">
        <v>77165</v>
      </c>
      <c r="AW52" s="25">
        <v>941736</v>
      </c>
      <c r="AX52" s="25">
        <v>0</v>
      </c>
      <c r="AY52" s="25">
        <v>3060652</v>
      </c>
      <c r="AZ52" s="25">
        <v>87533</v>
      </c>
      <c r="BA52" s="25">
        <v>71501</v>
      </c>
      <c r="BB52" s="25">
        <v>1068362</v>
      </c>
      <c r="BC52" s="25">
        <v>54517</v>
      </c>
      <c r="BD52" s="25">
        <v>0</v>
      </c>
      <c r="BE52" s="25">
        <v>26899470</v>
      </c>
      <c r="BF52" s="25">
        <v>507197</v>
      </c>
      <c r="BG52" s="25">
        <v>116238</v>
      </c>
      <c r="BH52" s="25">
        <v>841689</v>
      </c>
      <c r="BI52" s="25">
        <v>127676</v>
      </c>
      <c r="BJ52" s="25">
        <v>0</v>
      </c>
      <c r="BK52" s="25">
        <v>0</v>
      </c>
      <c r="BL52" s="25">
        <v>300108</v>
      </c>
      <c r="BM52" s="25">
        <v>0</v>
      </c>
      <c r="BN52" s="25">
        <v>1299673</v>
      </c>
      <c r="BO52" s="25">
        <v>38039</v>
      </c>
      <c r="BP52" s="25">
        <v>162577</v>
      </c>
      <c r="BQ52" s="25">
        <v>0</v>
      </c>
      <c r="BR52" s="25">
        <v>3097</v>
      </c>
      <c r="BS52" s="25">
        <v>39962</v>
      </c>
      <c r="BT52" s="25">
        <v>312006</v>
      </c>
      <c r="BU52" s="25">
        <v>348532</v>
      </c>
      <c r="BV52" s="25">
        <v>23853</v>
      </c>
      <c r="BW52" s="25">
        <v>1769897</v>
      </c>
      <c r="BX52" s="25">
        <v>360502</v>
      </c>
      <c r="BY52" s="25">
        <v>307068</v>
      </c>
      <c r="BZ52" s="25">
        <v>7794</v>
      </c>
      <c r="CA52" s="25">
        <v>0</v>
      </c>
      <c r="CB52" s="25">
        <v>0</v>
      </c>
      <c r="CC52" s="25">
        <v>3906086</v>
      </c>
      <c r="CD52" s="25" t="s">
        <v>1054</v>
      </c>
      <c r="CE52" s="25" t="s">
        <v>1054</v>
      </c>
    </row>
    <row r="53" spans="1:83" x14ac:dyDescent="0.25">
      <c r="A53" s="16" t="s">
        <v>231</v>
      </c>
      <c r="B53" s="25">
        <v>129507185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</row>
    <row r="59" spans="1:83" x14ac:dyDescent="0.25">
      <c r="A59" s="31" t="s">
        <v>259</v>
      </c>
      <c r="B59" s="25"/>
      <c r="C59" s="256">
        <v>29024.015700000004</v>
      </c>
      <c r="D59" s="256">
        <v>0</v>
      </c>
      <c r="E59" s="256">
        <v>71529.330449999994</v>
      </c>
      <c r="F59" s="256">
        <v>0</v>
      </c>
      <c r="G59" s="256">
        <v>3769.2913000000003</v>
      </c>
      <c r="H59" s="256">
        <v>8441.81</v>
      </c>
      <c r="I59" s="256">
        <v>0</v>
      </c>
      <c r="J59" s="256">
        <v>0</v>
      </c>
      <c r="K59" s="256">
        <v>0</v>
      </c>
      <c r="L59" s="256">
        <v>0</v>
      </c>
      <c r="M59" s="256">
        <v>0</v>
      </c>
      <c r="N59" s="256">
        <v>0</v>
      </c>
      <c r="O59" s="256">
        <v>0</v>
      </c>
      <c r="P59" s="256">
        <v>1865173</v>
      </c>
      <c r="Q59" s="256">
        <v>1344140</v>
      </c>
      <c r="R59" s="256">
        <v>2354920</v>
      </c>
      <c r="S59" s="230"/>
      <c r="T59" s="230"/>
      <c r="U59" s="256">
        <v>1415242</v>
      </c>
      <c r="V59" s="256">
        <v>43160</v>
      </c>
      <c r="W59" s="256">
        <v>14528</v>
      </c>
      <c r="X59" s="256">
        <v>10304</v>
      </c>
      <c r="Y59" s="256">
        <v>130442</v>
      </c>
      <c r="Z59" s="256">
        <v>1616</v>
      </c>
      <c r="AA59" s="256">
        <v>1486</v>
      </c>
      <c r="AB59" s="230"/>
      <c r="AC59" s="256">
        <v>0</v>
      </c>
      <c r="AD59" s="256">
        <v>10997</v>
      </c>
      <c r="AE59" s="256">
        <v>198988</v>
      </c>
      <c r="AF59" s="256">
        <v>0</v>
      </c>
      <c r="AG59" s="256">
        <v>120710</v>
      </c>
      <c r="AH59" s="256">
        <v>0</v>
      </c>
      <c r="AI59" s="256">
        <v>0</v>
      </c>
      <c r="AJ59" s="256">
        <v>509</v>
      </c>
      <c r="AK59" s="256">
        <v>80477</v>
      </c>
      <c r="AL59" s="256">
        <v>60167</v>
      </c>
      <c r="AM59" s="256">
        <v>0</v>
      </c>
      <c r="AN59" s="256">
        <v>0</v>
      </c>
      <c r="AO59" s="256">
        <v>0</v>
      </c>
      <c r="AP59" s="256">
        <v>0</v>
      </c>
      <c r="AQ59" s="256">
        <v>0</v>
      </c>
      <c r="AR59" s="256">
        <v>0</v>
      </c>
      <c r="AS59" s="256">
        <v>0</v>
      </c>
      <c r="AT59" s="256">
        <v>49</v>
      </c>
      <c r="AU59" s="256">
        <v>0</v>
      </c>
      <c r="AV59" s="230"/>
      <c r="AW59" s="230"/>
      <c r="AX59" s="230"/>
      <c r="AY59" s="237">
        <v>1067133</v>
      </c>
      <c r="AZ59" s="237">
        <v>0</v>
      </c>
      <c r="BA59" s="230"/>
      <c r="BB59" s="230"/>
      <c r="BC59" s="230"/>
      <c r="BD59" s="230"/>
      <c r="BE59" s="237">
        <v>2388194.2999999998</v>
      </c>
      <c r="BF59" s="230"/>
      <c r="BG59" s="230"/>
      <c r="BH59" s="230"/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0"/>
      <c r="CA59" s="230"/>
      <c r="CB59" s="230"/>
      <c r="CC59" s="230"/>
      <c r="CD59" s="223">
        <v>0</v>
      </c>
      <c r="CE59" s="25">
        <v>0</v>
      </c>
    </row>
    <row r="60" spans="1:83" x14ac:dyDescent="0.25">
      <c r="A60" s="206" t="s">
        <v>260</v>
      </c>
      <c r="B60" s="207"/>
      <c r="C60" s="257">
        <v>459.31618522816598</v>
      </c>
      <c r="D60" s="257">
        <v>0</v>
      </c>
      <c r="E60" s="257">
        <v>636.17708785615378</v>
      </c>
      <c r="F60" s="257">
        <v>0</v>
      </c>
      <c r="G60" s="257">
        <v>37.629134784464284</v>
      </c>
      <c r="H60" s="257">
        <v>158.86171500402475</v>
      </c>
      <c r="I60" s="257">
        <v>0</v>
      </c>
      <c r="J60" s="257">
        <v>0</v>
      </c>
      <c r="K60" s="257">
        <v>0</v>
      </c>
      <c r="L60" s="257">
        <v>0</v>
      </c>
      <c r="M60" s="257">
        <v>0</v>
      </c>
      <c r="N60" s="257">
        <v>0</v>
      </c>
      <c r="O60" s="257">
        <v>0</v>
      </c>
      <c r="P60" s="257">
        <v>255.58939083147669</v>
      </c>
      <c r="Q60" s="257">
        <v>97.991198388612631</v>
      </c>
      <c r="R60" s="257">
        <v>40.841376577726656</v>
      </c>
      <c r="S60" s="257">
        <v>137.39235354173076</v>
      </c>
      <c r="T60" s="257">
        <v>12.300686533969776</v>
      </c>
      <c r="U60" s="257">
        <v>239.05266342784341</v>
      </c>
      <c r="V60" s="257">
        <v>63.736039374594775</v>
      </c>
      <c r="W60" s="257">
        <v>13.308294254869503</v>
      </c>
      <c r="X60" s="257">
        <v>12.982511736490384</v>
      </c>
      <c r="Y60" s="257">
        <v>126.38179267995881</v>
      </c>
      <c r="Z60" s="257">
        <v>8.983007532465658</v>
      </c>
      <c r="AA60" s="257">
        <v>3.83706077018544</v>
      </c>
      <c r="AB60" s="257">
        <v>228.7357720897617</v>
      </c>
      <c r="AC60" s="257">
        <v>137.17385495858517</v>
      </c>
      <c r="AD60" s="257">
        <v>32.414747169855765</v>
      </c>
      <c r="AE60" s="257">
        <v>94.7663295845948</v>
      </c>
      <c r="AF60" s="257">
        <v>162.74359562038461</v>
      </c>
      <c r="AG60" s="257">
        <v>240.48741026105773</v>
      </c>
      <c r="AH60" s="257">
        <v>35.03846272962911</v>
      </c>
      <c r="AI60" s="257">
        <v>0</v>
      </c>
      <c r="AJ60" s="257">
        <v>1182.8285386767789</v>
      </c>
      <c r="AK60" s="257">
        <v>29.040002570679942</v>
      </c>
      <c r="AL60" s="257">
        <v>20.390000492712911</v>
      </c>
      <c r="AM60" s="257">
        <v>31.901508227527472</v>
      </c>
      <c r="AN60" s="257">
        <v>0</v>
      </c>
      <c r="AO60" s="257">
        <v>0</v>
      </c>
      <c r="AP60" s="257">
        <v>0</v>
      </c>
      <c r="AQ60" s="257">
        <v>0</v>
      </c>
      <c r="AR60" s="257">
        <v>67.642649245894901</v>
      </c>
      <c r="AS60" s="257">
        <v>0</v>
      </c>
      <c r="AT60" s="257">
        <v>2.1571319545054943</v>
      </c>
      <c r="AU60" s="257">
        <v>0</v>
      </c>
      <c r="AV60" s="257">
        <v>52.225097339093402</v>
      </c>
      <c r="AW60" s="257">
        <v>1386.05824816318</v>
      </c>
      <c r="AX60" s="257">
        <v>0</v>
      </c>
      <c r="AY60" s="257">
        <v>177.74039622582416</v>
      </c>
      <c r="AZ60" s="257">
        <v>1.6033145206043955</v>
      </c>
      <c r="BA60" s="257">
        <v>6.0042946300068687</v>
      </c>
      <c r="BB60" s="257">
        <v>171.21022384414152</v>
      </c>
      <c r="BC60" s="257">
        <v>5.4860277557417607</v>
      </c>
      <c r="BD60" s="257">
        <v>34.497396195405216</v>
      </c>
      <c r="BE60" s="257">
        <v>272.34471127666342</v>
      </c>
      <c r="BF60" s="257">
        <v>197.28760802870192</v>
      </c>
      <c r="BG60" s="257">
        <v>19.111710281813181</v>
      </c>
      <c r="BH60" s="257">
        <v>300.9557826866328</v>
      </c>
      <c r="BI60" s="257">
        <v>41.885654990432698</v>
      </c>
      <c r="BJ60" s="257">
        <v>48.348287136675829</v>
      </c>
      <c r="BK60" s="257">
        <v>208.18808172073486</v>
      </c>
      <c r="BL60" s="257">
        <v>129.74023132773348</v>
      </c>
      <c r="BM60" s="257">
        <v>0</v>
      </c>
      <c r="BN60" s="257">
        <v>89.021988983488995</v>
      </c>
      <c r="BO60" s="257">
        <v>15.016346824134615</v>
      </c>
      <c r="BP60" s="257">
        <v>47.547032847850268</v>
      </c>
      <c r="BQ60" s="257">
        <v>51.057879056799443</v>
      </c>
      <c r="BR60" s="257">
        <v>118.53363293588599</v>
      </c>
      <c r="BS60" s="257">
        <v>0</v>
      </c>
      <c r="BT60" s="257">
        <v>6.3118670372184074</v>
      </c>
      <c r="BU60" s="257">
        <v>2.9200042465659339</v>
      </c>
      <c r="BV60" s="257">
        <v>33.223773943385986</v>
      </c>
      <c r="BW60" s="257">
        <v>30.598832616188183</v>
      </c>
      <c r="BX60" s="257">
        <v>109.93324709934066</v>
      </c>
      <c r="BY60" s="257">
        <v>99.14219231210167</v>
      </c>
      <c r="BZ60" s="257">
        <v>75.322427839031576</v>
      </c>
      <c r="CA60" s="257">
        <v>0</v>
      </c>
      <c r="CB60" s="257">
        <v>0</v>
      </c>
      <c r="CC60" s="257">
        <v>402.73653971236286</v>
      </c>
      <c r="CD60" s="208" t="s">
        <v>246</v>
      </c>
      <c r="CE60" s="226">
        <v>8703.7533336824436</v>
      </c>
    </row>
    <row r="61" spans="1:83" s="201" customFormat="1" x14ac:dyDescent="0.25">
      <c r="A61" s="31" t="s">
        <v>261</v>
      </c>
      <c r="B61" s="16"/>
      <c r="C61" s="256">
        <v>49655918.999999993</v>
      </c>
      <c r="D61" s="256">
        <v>0</v>
      </c>
      <c r="E61" s="256">
        <v>61939118.620000005</v>
      </c>
      <c r="F61" s="256">
        <v>0</v>
      </c>
      <c r="G61" s="256">
        <v>4052675.8</v>
      </c>
      <c r="H61" s="256">
        <v>12570885.690000001</v>
      </c>
      <c r="I61" s="256">
        <v>0</v>
      </c>
      <c r="J61" s="256">
        <v>0</v>
      </c>
      <c r="K61" s="256">
        <v>0</v>
      </c>
      <c r="L61" s="256">
        <v>0</v>
      </c>
      <c r="M61" s="256">
        <v>0</v>
      </c>
      <c r="N61" s="256">
        <v>0</v>
      </c>
      <c r="O61" s="256">
        <v>0</v>
      </c>
      <c r="P61" s="256">
        <v>27485995.880000003</v>
      </c>
      <c r="Q61" s="256">
        <v>12302901.840000002</v>
      </c>
      <c r="R61" s="256">
        <v>3567166.3600000003</v>
      </c>
      <c r="S61" s="256">
        <v>9893787.9000000004</v>
      </c>
      <c r="T61" s="256">
        <v>1699297.0099999998</v>
      </c>
      <c r="U61" s="256">
        <v>26140492.280000001</v>
      </c>
      <c r="V61" s="256">
        <v>7084343.6500000004</v>
      </c>
      <c r="W61" s="256">
        <v>1744407.3300000003</v>
      </c>
      <c r="X61" s="256">
        <v>1689280.47</v>
      </c>
      <c r="Y61" s="256">
        <v>13672097.619999999</v>
      </c>
      <c r="Z61" s="256">
        <v>1121528.7200000002</v>
      </c>
      <c r="AA61" s="256">
        <v>549198.49</v>
      </c>
      <c r="AB61" s="256">
        <v>28022109.440000001</v>
      </c>
      <c r="AC61" s="256">
        <v>12513807.58</v>
      </c>
      <c r="AD61" s="256">
        <v>4047725.1100000003</v>
      </c>
      <c r="AE61" s="256">
        <v>11347591.759999998</v>
      </c>
      <c r="AF61" s="256">
        <v>18168985.73</v>
      </c>
      <c r="AG61" s="256">
        <v>17543700.18</v>
      </c>
      <c r="AH61" s="256">
        <v>5087505.7</v>
      </c>
      <c r="AI61" s="256">
        <v>0</v>
      </c>
      <c r="AJ61" s="256">
        <v>139336774.75</v>
      </c>
      <c r="AK61" s="256">
        <v>3343021.2099999995</v>
      </c>
      <c r="AL61" s="256">
        <v>2459004.27</v>
      </c>
      <c r="AM61" s="256">
        <v>2541675.3000000003</v>
      </c>
      <c r="AN61" s="256">
        <v>0</v>
      </c>
      <c r="AO61" s="256">
        <v>0</v>
      </c>
      <c r="AP61" s="256">
        <v>0</v>
      </c>
      <c r="AQ61" s="256">
        <v>0</v>
      </c>
      <c r="AR61" s="256">
        <v>7010477.4400000004</v>
      </c>
      <c r="AS61" s="256">
        <v>0</v>
      </c>
      <c r="AT61" s="256">
        <v>395777.54</v>
      </c>
      <c r="AU61" s="256">
        <v>0</v>
      </c>
      <c r="AV61" s="256">
        <v>6510851.3999999994</v>
      </c>
      <c r="AW61" s="256">
        <v>127302882.88000001</v>
      </c>
      <c r="AX61" s="256">
        <v>0</v>
      </c>
      <c r="AY61" s="256">
        <v>13074649.080000002</v>
      </c>
      <c r="AZ61" s="256">
        <v>92546.59</v>
      </c>
      <c r="BA61" s="256">
        <v>362855.61</v>
      </c>
      <c r="BB61" s="256">
        <v>16709825.67</v>
      </c>
      <c r="BC61" s="256">
        <v>301135.64</v>
      </c>
      <c r="BD61" s="256">
        <v>3342743.98</v>
      </c>
      <c r="BE61" s="256">
        <v>25186317.539999999</v>
      </c>
      <c r="BF61" s="256">
        <v>12323317.500000004</v>
      </c>
      <c r="BG61" s="256">
        <v>1764421.7699999998</v>
      </c>
      <c r="BH61" s="256">
        <v>41666160.70000001</v>
      </c>
      <c r="BI61" s="256">
        <v>4029725.3099999996</v>
      </c>
      <c r="BJ61" s="256">
        <v>6204077.9500000002</v>
      </c>
      <c r="BK61" s="256">
        <v>18343501.07</v>
      </c>
      <c r="BL61" s="256">
        <v>8472151.8400000017</v>
      </c>
      <c r="BM61" s="256">
        <v>0</v>
      </c>
      <c r="BN61" s="256">
        <v>18412571.530000001</v>
      </c>
      <c r="BO61" s="256">
        <v>1526851.17</v>
      </c>
      <c r="BP61" s="256">
        <v>5294257.290000001</v>
      </c>
      <c r="BQ61" s="256">
        <v>7004110.5499999998</v>
      </c>
      <c r="BR61" s="256">
        <v>16452983.389999999</v>
      </c>
      <c r="BS61" s="256">
        <v>0</v>
      </c>
      <c r="BT61" s="256">
        <v>653114.7699999999</v>
      </c>
      <c r="BU61" s="256">
        <v>304715.01</v>
      </c>
      <c r="BV61" s="256">
        <v>2662915.77</v>
      </c>
      <c r="BW61" s="256">
        <v>2938768.79</v>
      </c>
      <c r="BX61" s="256">
        <v>14103937.689999998</v>
      </c>
      <c r="BY61" s="256">
        <v>12850205.120000001</v>
      </c>
      <c r="BZ61" s="256">
        <v>6826115.21</v>
      </c>
      <c r="CA61" s="256">
        <v>0</v>
      </c>
      <c r="CB61" s="256">
        <v>0</v>
      </c>
      <c r="CC61" s="256">
        <v>74337668.959999993</v>
      </c>
      <c r="CD61" s="24" t="s">
        <v>246</v>
      </c>
      <c r="CE61" s="25">
        <v>936042632.44999993</v>
      </c>
    </row>
    <row r="62" spans="1:83" x14ac:dyDescent="0.25">
      <c r="A62" s="31" t="s">
        <v>9</v>
      </c>
      <c r="B62" s="16"/>
      <c r="C62" s="25">
        <v>13418583</v>
      </c>
      <c r="D62" s="25">
        <v>0</v>
      </c>
      <c r="E62" s="25">
        <v>16737888</v>
      </c>
      <c r="F62" s="25">
        <v>0</v>
      </c>
      <c r="G62" s="25">
        <v>1095160</v>
      </c>
      <c r="H62" s="25">
        <v>3397047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7427576</v>
      </c>
      <c r="Q62" s="25">
        <v>3324629</v>
      </c>
      <c r="R62" s="25">
        <v>963960</v>
      </c>
      <c r="S62" s="25">
        <v>2673611</v>
      </c>
      <c r="T62" s="25">
        <v>459203</v>
      </c>
      <c r="U62" s="25">
        <v>7063979</v>
      </c>
      <c r="V62" s="25">
        <v>1914411</v>
      </c>
      <c r="W62" s="25">
        <v>471393</v>
      </c>
      <c r="X62" s="25">
        <v>456496</v>
      </c>
      <c r="Y62" s="25">
        <v>3694629</v>
      </c>
      <c r="Z62" s="25">
        <v>303072</v>
      </c>
      <c r="AA62" s="25">
        <v>148411</v>
      </c>
      <c r="AB62" s="25">
        <v>7572451</v>
      </c>
      <c r="AC62" s="25">
        <v>3381622</v>
      </c>
      <c r="AD62" s="25">
        <v>1093822</v>
      </c>
      <c r="AE62" s="25">
        <v>3066474</v>
      </c>
      <c r="AF62" s="25">
        <v>4909828</v>
      </c>
      <c r="AG62" s="25">
        <v>4740857</v>
      </c>
      <c r="AH62" s="25">
        <v>1374803</v>
      </c>
      <c r="AI62" s="25">
        <v>0</v>
      </c>
      <c r="AJ62" s="25">
        <v>37653156</v>
      </c>
      <c r="AK62" s="25">
        <v>903389</v>
      </c>
      <c r="AL62" s="25">
        <v>664500</v>
      </c>
      <c r="AM62" s="25">
        <v>686840</v>
      </c>
      <c r="AN62" s="25">
        <v>0</v>
      </c>
      <c r="AO62" s="25">
        <v>0</v>
      </c>
      <c r="AP62" s="25">
        <v>0</v>
      </c>
      <c r="AQ62" s="25">
        <v>0</v>
      </c>
      <c r="AR62" s="25">
        <v>1894450</v>
      </c>
      <c r="AS62" s="25">
        <v>0</v>
      </c>
      <c r="AT62" s="25">
        <v>106951</v>
      </c>
      <c r="AU62" s="25">
        <v>0</v>
      </c>
      <c r="AV62" s="25">
        <v>1759436</v>
      </c>
      <c r="AW62" s="25">
        <v>34401222</v>
      </c>
      <c r="AX62" s="25">
        <v>0</v>
      </c>
      <c r="AY62" s="25">
        <v>3533179</v>
      </c>
      <c r="AZ62" s="25">
        <v>25009</v>
      </c>
      <c r="BA62" s="25">
        <v>98055</v>
      </c>
      <c r="BB62" s="25">
        <v>4515518</v>
      </c>
      <c r="BC62" s="25">
        <v>81376</v>
      </c>
      <c r="BD62" s="25">
        <v>903314</v>
      </c>
      <c r="BE62" s="25">
        <v>6806131</v>
      </c>
      <c r="BF62" s="25">
        <v>3330146</v>
      </c>
      <c r="BG62" s="25">
        <v>476802</v>
      </c>
      <c r="BH62" s="25">
        <v>11259500</v>
      </c>
      <c r="BI62" s="25">
        <v>1088958</v>
      </c>
      <c r="BJ62" s="25">
        <v>1676536</v>
      </c>
      <c r="BK62" s="25">
        <v>4956988</v>
      </c>
      <c r="BL62" s="25">
        <v>2289441</v>
      </c>
      <c r="BM62" s="25">
        <v>0</v>
      </c>
      <c r="BN62" s="25">
        <v>4975653</v>
      </c>
      <c r="BO62" s="25">
        <v>412603</v>
      </c>
      <c r="BP62" s="25">
        <v>1430674</v>
      </c>
      <c r="BQ62" s="25">
        <v>1892730</v>
      </c>
      <c r="BR62" s="25">
        <v>4446111</v>
      </c>
      <c r="BS62" s="25">
        <v>0</v>
      </c>
      <c r="BT62" s="25">
        <v>176492</v>
      </c>
      <c r="BU62" s="25">
        <v>82344</v>
      </c>
      <c r="BV62" s="25">
        <v>719603</v>
      </c>
      <c r="BW62" s="25">
        <v>794147</v>
      </c>
      <c r="BX62" s="25">
        <v>3811325</v>
      </c>
      <c r="BY62" s="25">
        <v>3472527</v>
      </c>
      <c r="BZ62" s="25">
        <v>1844630</v>
      </c>
      <c r="CA62" s="25">
        <v>0</v>
      </c>
      <c r="CB62" s="25">
        <v>0</v>
      </c>
      <c r="CC62" s="25">
        <v>20088364</v>
      </c>
      <c r="CD62" s="24" t="s">
        <v>246</v>
      </c>
      <c r="CE62" s="25">
        <v>252948005</v>
      </c>
    </row>
    <row r="63" spans="1:83" x14ac:dyDescent="0.25">
      <c r="A63" s="31" t="s">
        <v>262</v>
      </c>
      <c r="B63" s="16"/>
      <c r="C63" s="260">
        <v>1774564.46</v>
      </c>
      <c r="D63" s="260">
        <v>0</v>
      </c>
      <c r="E63" s="260">
        <v>0</v>
      </c>
      <c r="F63" s="260">
        <v>0</v>
      </c>
      <c r="G63" s="260">
        <v>0</v>
      </c>
      <c r="H63" s="260">
        <v>376473.04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60">
        <v>0</v>
      </c>
      <c r="O63" s="260">
        <v>0</v>
      </c>
      <c r="P63" s="260">
        <v>156117.76999999999</v>
      </c>
      <c r="Q63" s="260">
        <v>0</v>
      </c>
      <c r="R63" s="260">
        <v>1306797.54</v>
      </c>
      <c r="S63" s="260">
        <v>2641.6</v>
      </c>
      <c r="T63" s="260">
        <v>22993.59</v>
      </c>
      <c r="U63" s="260">
        <v>562615.86</v>
      </c>
      <c r="V63" s="260">
        <v>0</v>
      </c>
      <c r="W63" s="260">
        <v>0</v>
      </c>
      <c r="X63" s="260">
        <v>0</v>
      </c>
      <c r="Y63" s="260">
        <v>1015571.2399999999</v>
      </c>
      <c r="Z63" s="260">
        <v>112657.92</v>
      </c>
      <c r="AA63" s="260">
        <v>0</v>
      </c>
      <c r="AB63" s="260">
        <v>0</v>
      </c>
      <c r="AC63" s="260">
        <v>66653.390000000014</v>
      </c>
      <c r="AD63" s="260">
        <v>190107.01</v>
      </c>
      <c r="AE63" s="260">
        <v>84549.119999999995</v>
      </c>
      <c r="AF63" s="260">
        <v>1811066.3800000004</v>
      </c>
      <c r="AG63" s="260">
        <v>716507.90999999992</v>
      </c>
      <c r="AH63" s="260">
        <v>0</v>
      </c>
      <c r="AI63" s="260">
        <v>0</v>
      </c>
      <c r="AJ63" s="260">
        <v>4307179.46</v>
      </c>
      <c r="AK63" s="260">
        <v>0</v>
      </c>
      <c r="AL63" s="260">
        <v>62019.75</v>
      </c>
      <c r="AM63" s="260">
        <v>0</v>
      </c>
      <c r="AN63" s="260">
        <v>0</v>
      </c>
      <c r="AO63" s="260">
        <v>0</v>
      </c>
      <c r="AP63" s="260">
        <v>0</v>
      </c>
      <c r="AQ63" s="260">
        <v>0</v>
      </c>
      <c r="AR63" s="260">
        <v>0</v>
      </c>
      <c r="AS63" s="260">
        <v>0</v>
      </c>
      <c r="AT63" s="260">
        <v>306416.08</v>
      </c>
      <c r="AU63" s="260">
        <v>0</v>
      </c>
      <c r="AV63" s="260">
        <v>808982.78999999992</v>
      </c>
      <c r="AW63" s="260">
        <v>167685052.52000004</v>
      </c>
      <c r="AX63" s="260">
        <v>0</v>
      </c>
      <c r="AY63" s="260">
        <v>33537.259999999995</v>
      </c>
      <c r="AZ63" s="260">
        <v>0</v>
      </c>
      <c r="BA63" s="260">
        <v>0</v>
      </c>
      <c r="BB63" s="260">
        <v>607671.67000000016</v>
      </c>
      <c r="BC63" s="260">
        <v>0</v>
      </c>
      <c r="BD63" s="260">
        <v>0</v>
      </c>
      <c r="BE63" s="260">
        <v>1665283.7199999997</v>
      </c>
      <c r="BF63" s="260">
        <v>0</v>
      </c>
      <c r="BG63" s="260">
        <v>154130</v>
      </c>
      <c r="BH63" s="260">
        <v>2420104.7200000002</v>
      </c>
      <c r="BI63" s="260">
        <v>9990</v>
      </c>
      <c r="BJ63" s="260">
        <v>69253.5</v>
      </c>
      <c r="BK63" s="260">
        <v>1480</v>
      </c>
      <c r="BL63" s="260">
        <v>0</v>
      </c>
      <c r="BM63" s="261">
        <v>0</v>
      </c>
      <c r="BN63" s="260">
        <v>4531153.95</v>
      </c>
      <c r="BO63" s="260">
        <v>4214.5</v>
      </c>
      <c r="BP63" s="260">
        <v>690697.24</v>
      </c>
      <c r="BQ63" s="260">
        <v>893505.92999999993</v>
      </c>
      <c r="BR63" s="260">
        <v>280772.11000000004</v>
      </c>
      <c r="BS63" s="260">
        <v>0</v>
      </c>
      <c r="BT63" s="260">
        <v>0</v>
      </c>
      <c r="BU63" s="260">
        <v>0</v>
      </c>
      <c r="BV63" s="260">
        <v>116088.16</v>
      </c>
      <c r="BW63" s="260">
        <v>33474314.159999996</v>
      </c>
      <c r="BX63" s="260">
        <v>1091326.1600000001</v>
      </c>
      <c r="BY63" s="260">
        <v>165130.29000000004</v>
      </c>
      <c r="BZ63" s="260">
        <v>0</v>
      </c>
      <c r="CA63" s="260">
        <v>0</v>
      </c>
      <c r="CB63" s="260">
        <v>0</v>
      </c>
      <c r="CC63" s="260">
        <v>16891419.359999999</v>
      </c>
      <c r="CD63" s="24" t="s">
        <v>246</v>
      </c>
      <c r="CE63" s="25">
        <v>244469040.16000003</v>
      </c>
    </row>
    <row r="64" spans="1:83" x14ac:dyDescent="0.25">
      <c r="A64" s="31" t="s">
        <v>263</v>
      </c>
      <c r="B64" s="16"/>
      <c r="C64" s="260">
        <v>5232263</v>
      </c>
      <c r="D64" s="260">
        <v>0</v>
      </c>
      <c r="E64" s="260">
        <v>4752756.4399999995</v>
      </c>
      <c r="F64" s="260">
        <v>0</v>
      </c>
      <c r="G64" s="260">
        <v>189170.52</v>
      </c>
      <c r="H64" s="260">
        <v>130051.38000000003</v>
      </c>
      <c r="I64" s="260">
        <v>0</v>
      </c>
      <c r="J64" s="260">
        <v>0</v>
      </c>
      <c r="K64" s="260">
        <v>0</v>
      </c>
      <c r="L64" s="260">
        <v>0</v>
      </c>
      <c r="M64" s="260">
        <v>0</v>
      </c>
      <c r="N64" s="260">
        <v>0</v>
      </c>
      <c r="O64" s="260">
        <v>0</v>
      </c>
      <c r="P64" s="260">
        <v>33622475.350000009</v>
      </c>
      <c r="Q64" s="260">
        <v>471029.66000000009</v>
      </c>
      <c r="R64" s="260">
        <v>2346672.7400000002</v>
      </c>
      <c r="S64" s="260">
        <v>-369011.85</v>
      </c>
      <c r="T64" s="260">
        <v>166761.98000000001</v>
      </c>
      <c r="U64" s="260">
        <v>12020373.540000007</v>
      </c>
      <c r="V64" s="260">
        <v>520387.57000000007</v>
      </c>
      <c r="W64" s="260">
        <v>84790.34</v>
      </c>
      <c r="X64" s="260">
        <v>97775.119999999981</v>
      </c>
      <c r="Y64" s="260">
        <v>6748994.040000001</v>
      </c>
      <c r="Z64" s="260">
        <v>189670.52000000002</v>
      </c>
      <c r="AA64" s="260">
        <v>676350.99</v>
      </c>
      <c r="AB64" s="260">
        <v>98017235.590000004</v>
      </c>
      <c r="AC64" s="260">
        <v>3352713.2800000003</v>
      </c>
      <c r="AD64" s="260">
        <v>1263747.7200000004</v>
      </c>
      <c r="AE64" s="260">
        <v>74623.739999999991</v>
      </c>
      <c r="AF64" s="260">
        <v>200722.33</v>
      </c>
      <c r="AG64" s="260">
        <v>2333455.6900000004</v>
      </c>
      <c r="AH64" s="260">
        <v>117165.47</v>
      </c>
      <c r="AI64" s="260">
        <v>0</v>
      </c>
      <c r="AJ64" s="260">
        <v>4443171.9699999979</v>
      </c>
      <c r="AK64" s="260">
        <v>105709.44</v>
      </c>
      <c r="AL64" s="260">
        <v>43310.559999999998</v>
      </c>
      <c r="AM64" s="260">
        <v>11145.36</v>
      </c>
      <c r="AN64" s="260">
        <v>0</v>
      </c>
      <c r="AO64" s="260">
        <v>0</v>
      </c>
      <c r="AP64" s="260">
        <v>0</v>
      </c>
      <c r="AQ64" s="260">
        <v>0</v>
      </c>
      <c r="AR64" s="260">
        <v>11313696.58</v>
      </c>
      <c r="AS64" s="260">
        <v>0</v>
      </c>
      <c r="AT64" s="260">
        <v>7777.5</v>
      </c>
      <c r="AU64" s="260">
        <v>0</v>
      </c>
      <c r="AV64" s="260">
        <v>896215.35</v>
      </c>
      <c r="AW64" s="260">
        <v>24095134.010000002</v>
      </c>
      <c r="AX64" s="260">
        <v>942478.90000000014</v>
      </c>
      <c r="AY64" s="260">
        <v>3918782.8299999996</v>
      </c>
      <c r="AZ64" s="260">
        <v>115551.30999999998</v>
      </c>
      <c r="BA64" s="260">
        <v>152168.92000000001</v>
      </c>
      <c r="BB64" s="260">
        <v>294470.17999999993</v>
      </c>
      <c r="BC64" s="260">
        <v>0</v>
      </c>
      <c r="BD64" s="260">
        <v>468804.16000000003</v>
      </c>
      <c r="BE64" s="260">
        <v>1304891.0200000003</v>
      </c>
      <c r="BF64" s="260">
        <v>1191598.4200000002</v>
      </c>
      <c r="BG64" s="260">
        <v>5453.11</v>
      </c>
      <c r="BH64" s="260">
        <v>324810.52999999997</v>
      </c>
      <c r="BI64" s="260">
        <v>233677.41</v>
      </c>
      <c r="BJ64" s="260">
        <v>32166.659999999996</v>
      </c>
      <c r="BK64" s="260">
        <v>133748.56000000003</v>
      </c>
      <c r="BL64" s="260">
        <v>32504.079999999994</v>
      </c>
      <c r="BM64" s="260">
        <v>0</v>
      </c>
      <c r="BN64" s="260">
        <v>209373.83000000005</v>
      </c>
      <c r="BO64" s="260">
        <v>270293.93</v>
      </c>
      <c r="BP64" s="260">
        <v>76852.320000000007</v>
      </c>
      <c r="BQ64" s="260">
        <v>23038.500000000004</v>
      </c>
      <c r="BR64" s="260">
        <v>233740.27</v>
      </c>
      <c r="BS64" s="260">
        <v>0</v>
      </c>
      <c r="BT64" s="260">
        <v>11615.49</v>
      </c>
      <c r="BU64" s="260">
        <v>213.5</v>
      </c>
      <c r="BV64" s="260">
        <v>49217.68</v>
      </c>
      <c r="BW64" s="260">
        <v>732311.82</v>
      </c>
      <c r="BX64" s="260">
        <v>210317.22999999998</v>
      </c>
      <c r="BY64" s="260">
        <v>64433.030000000006</v>
      </c>
      <c r="BZ64" s="260">
        <v>4126.8499999999995</v>
      </c>
      <c r="CA64" s="260">
        <v>0</v>
      </c>
      <c r="CB64" s="260">
        <v>0</v>
      </c>
      <c r="CC64" s="260">
        <v>-1879072.9000000006</v>
      </c>
      <c r="CD64" s="24" t="s">
        <v>246</v>
      </c>
      <c r="CE64" s="25">
        <v>222313903.57000008</v>
      </c>
    </row>
    <row r="65" spans="1:83" x14ac:dyDescent="0.25">
      <c r="A65" s="31" t="s">
        <v>264</v>
      </c>
      <c r="B65" s="16"/>
      <c r="C65" s="260">
        <v>0</v>
      </c>
      <c r="D65" s="260">
        <v>0</v>
      </c>
      <c r="E65" s="260">
        <v>0</v>
      </c>
      <c r="F65" s="260">
        <v>0</v>
      </c>
      <c r="G65" s="260">
        <v>0</v>
      </c>
      <c r="H65" s="260">
        <v>0</v>
      </c>
      <c r="I65" s="260">
        <v>0</v>
      </c>
      <c r="J65" s="260">
        <v>0</v>
      </c>
      <c r="K65" s="260">
        <v>0</v>
      </c>
      <c r="L65" s="260">
        <v>0</v>
      </c>
      <c r="M65" s="260">
        <v>0</v>
      </c>
      <c r="N65" s="260">
        <v>0</v>
      </c>
      <c r="O65" s="260">
        <v>0</v>
      </c>
      <c r="P65" s="260">
        <v>0</v>
      </c>
      <c r="Q65" s="260">
        <v>0</v>
      </c>
      <c r="R65" s="260">
        <v>0</v>
      </c>
      <c r="S65" s="260">
        <v>0</v>
      </c>
      <c r="T65" s="260">
        <v>0</v>
      </c>
      <c r="U65" s="260">
        <v>0</v>
      </c>
      <c r="V65" s="260">
        <v>0</v>
      </c>
      <c r="W65" s="260">
        <v>0</v>
      </c>
      <c r="X65" s="260">
        <v>0</v>
      </c>
      <c r="Y65" s="260">
        <v>0</v>
      </c>
      <c r="Z65" s="260">
        <v>0</v>
      </c>
      <c r="AA65" s="260">
        <v>0</v>
      </c>
      <c r="AB65" s="260">
        <v>0</v>
      </c>
      <c r="AC65" s="260">
        <v>0</v>
      </c>
      <c r="AD65" s="260">
        <v>0</v>
      </c>
      <c r="AE65" s="260">
        <v>0</v>
      </c>
      <c r="AF65" s="260">
        <v>0</v>
      </c>
      <c r="AG65" s="260">
        <v>0</v>
      </c>
      <c r="AH65" s="260">
        <v>0</v>
      </c>
      <c r="AI65" s="260">
        <v>0</v>
      </c>
      <c r="AJ65" s="260">
        <v>0</v>
      </c>
      <c r="AK65" s="260">
        <v>0</v>
      </c>
      <c r="AL65" s="260">
        <v>0</v>
      </c>
      <c r="AM65" s="260">
        <v>0</v>
      </c>
      <c r="AN65" s="260">
        <v>0</v>
      </c>
      <c r="AO65" s="260">
        <v>0</v>
      </c>
      <c r="AP65" s="260">
        <v>0</v>
      </c>
      <c r="AQ65" s="260">
        <v>0</v>
      </c>
      <c r="AR65" s="260">
        <v>0</v>
      </c>
      <c r="AS65" s="260">
        <v>0</v>
      </c>
      <c r="AT65" s="260">
        <v>0</v>
      </c>
      <c r="AU65" s="260">
        <v>0</v>
      </c>
      <c r="AV65" s="260">
        <v>0</v>
      </c>
      <c r="AW65" s="260">
        <v>0</v>
      </c>
      <c r="AX65" s="260">
        <v>0</v>
      </c>
      <c r="AY65" s="260">
        <v>0</v>
      </c>
      <c r="AZ65" s="260">
        <v>0</v>
      </c>
      <c r="BA65" s="260">
        <v>0</v>
      </c>
      <c r="BB65" s="260">
        <v>0</v>
      </c>
      <c r="BC65" s="260">
        <v>0</v>
      </c>
      <c r="BD65" s="260">
        <v>0</v>
      </c>
      <c r="BE65" s="260">
        <v>0</v>
      </c>
      <c r="BF65" s="260">
        <v>0</v>
      </c>
      <c r="BG65" s="260">
        <v>0</v>
      </c>
      <c r="BH65" s="260">
        <v>0</v>
      </c>
      <c r="BI65" s="260">
        <v>0</v>
      </c>
      <c r="BJ65" s="260">
        <v>0</v>
      </c>
      <c r="BK65" s="260">
        <v>0</v>
      </c>
      <c r="BL65" s="260">
        <v>0</v>
      </c>
      <c r="BM65" s="260">
        <v>0</v>
      </c>
      <c r="BN65" s="260">
        <v>0</v>
      </c>
      <c r="BO65" s="260">
        <v>0</v>
      </c>
      <c r="BP65" s="260">
        <v>0</v>
      </c>
      <c r="BQ65" s="260">
        <v>0</v>
      </c>
      <c r="BR65" s="260">
        <v>0</v>
      </c>
      <c r="BS65" s="260">
        <v>0</v>
      </c>
      <c r="BT65" s="260">
        <v>0</v>
      </c>
      <c r="BU65" s="260">
        <v>0</v>
      </c>
      <c r="BV65" s="260">
        <v>0</v>
      </c>
      <c r="BW65" s="260">
        <v>0</v>
      </c>
      <c r="BX65" s="260">
        <v>0</v>
      </c>
      <c r="BY65" s="260">
        <v>0</v>
      </c>
      <c r="BZ65" s="260">
        <v>0</v>
      </c>
      <c r="CA65" s="260">
        <v>0</v>
      </c>
      <c r="CB65" s="260">
        <v>0</v>
      </c>
      <c r="CC65" s="260">
        <v>0</v>
      </c>
      <c r="CD65" s="24" t="s">
        <v>246</v>
      </c>
      <c r="CE65" s="25">
        <v>0</v>
      </c>
    </row>
    <row r="66" spans="1:83" x14ac:dyDescent="0.25">
      <c r="A66" s="31" t="s">
        <v>265</v>
      </c>
      <c r="B66" s="16"/>
      <c r="C66" s="260">
        <v>215842.33</v>
      </c>
      <c r="D66" s="260">
        <v>0</v>
      </c>
      <c r="E66" s="260">
        <v>181543.88999999998</v>
      </c>
      <c r="F66" s="260">
        <v>0</v>
      </c>
      <c r="G66" s="260">
        <v>1637.33</v>
      </c>
      <c r="H66" s="260">
        <v>66033.83</v>
      </c>
      <c r="I66" s="260">
        <v>0</v>
      </c>
      <c r="J66" s="260">
        <v>0</v>
      </c>
      <c r="K66" s="260">
        <v>0</v>
      </c>
      <c r="L66" s="260">
        <v>0</v>
      </c>
      <c r="M66" s="260">
        <v>0</v>
      </c>
      <c r="N66" s="260">
        <v>0</v>
      </c>
      <c r="O66" s="260">
        <v>0</v>
      </c>
      <c r="P66" s="260">
        <v>1192455.1600000001</v>
      </c>
      <c r="Q66" s="260">
        <v>998</v>
      </c>
      <c r="R66" s="260">
        <v>9508.3799999999992</v>
      </c>
      <c r="S66" s="260">
        <v>2631470.0799999996</v>
      </c>
      <c r="T66" s="260">
        <v>499</v>
      </c>
      <c r="U66" s="260">
        <v>532969.25</v>
      </c>
      <c r="V66" s="260">
        <v>252462.88</v>
      </c>
      <c r="W66" s="260">
        <v>194.85</v>
      </c>
      <c r="X66" s="260">
        <v>2144.41</v>
      </c>
      <c r="Y66" s="260">
        <v>434982.61</v>
      </c>
      <c r="Z66" s="260">
        <v>1494497.2599999998</v>
      </c>
      <c r="AA66" s="260">
        <v>5155.91</v>
      </c>
      <c r="AB66" s="260">
        <v>149072.12000000002</v>
      </c>
      <c r="AC66" s="260">
        <v>5480.4000000000005</v>
      </c>
      <c r="AD66" s="260">
        <v>38946.69</v>
      </c>
      <c r="AE66" s="260">
        <v>936952.97</v>
      </c>
      <c r="AF66" s="260">
        <v>95756.79</v>
      </c>
      <c r="AG66" s="260">
        <v>69167.929999999993</v>
      </c>
      <c r="AH66" s="260">
        <v>658847.09999999986</v>
      </c>
      <c r="AI66" s="260">
        <v>0</v>
      </c>
      <c r="AJ66" s="260">
        <v>5115197.8</v>
      </c>
      <c r="AK66" s="260">
        <v>1202.6599999999999</v>
      </c>
      <c r="AL66" s="260">
        <v>38064.01</v>
      </c>
      <c r="AM66" s="260">
        <v>60.59</v>
      </c>
      <c r="AN66" s="260">
        <v>0</v>
      </c>
      <c r="AO66" s="260">
        <v>0</v>
      </c>
      <c r="AP66" s="260">
        <v>0</v>
      </c>
      <c r="AQ66" s="260">
        <v>0</v>
      </c>
      <c r="AR66" s="260">
        <v>69864.069999999992</v>
      </c>
      <c r="AS66" s="260">
        <v>0</v>
      </c>
      <c r="AT66" s="260">
        <v>2696575.9000000004</v>
      </c>
      <c r="AU66" s="260">
        <v>0</v>
      </c>
      <c r="AV66" s="260">
        <v>9246.39</v>
      </c>
      <c r="AW66" s="260">
        <v>68589902.999999985</v>
      </c>
      <c r="AX66" s="260">
        <v>435382.42000000004</v>
      </c>
      <c r="AY66" s="260">
        <v>96222.1</v>
      </c>
      <c r="AZ66" s="260">
        <v>0</v>
      </c>
      <c r="BA66" s="260">
        <v>0</v>
      </c>
      <c r="BB66" s="260">
        <v>5070780.8599999994</v>
      </c>
      <c r="BC66" s="260">
        <v>0</v>
      </c>
      <c r="BD66" s="260">
        <v>253152.44</v>
      </c>
      <c r="BE66" s="260">
        <v>5148898.5399999991</v>
      </c>
      <c r="BF66" s="260">
        <v>1741346.86</v>
      </c>
      <c r="BG66" s="260">
        <v>821654.04</v>
      </c>
      <c r="BH66" s="260">
        <v>18371730.289999999</v>
      </c>
      <c r="BI66" s="260">
        <v>2674364.1700000004</v>
      </c>
      <c r="BJ66" s="260">
        <v>1327879.1500000004</v>
      </c>
      <c r="BK66" s="260">
        <v>2088217</v>
      </c>
      <c r="BL66" s="260">
        <v>0</v>
      </c>
      <c r="BM66" s="260">
        <v>0</v>
      </c>
      <c r="BN66" s="260">
        <v>1311480.6799999997</v>
      </c>
      <c r="BO66" s="260">
        <v>51562.880000000005</v>
      </c>
      <c r="BP66" s="260">
        <v>3840331.02</v>
      </c>
      <c r="BQ66" s="260">
        <v>2250090.7800000003</v>
      </c>
      <c r="BR66" s="260">
        <v>2960579.75</v>
      </c>
      <c r="BS66" s="260">
        <v>0</v>
      </c>
      <c r="BT66" s="260">
        <v>-10795</v>
      </c>
      <c r="BU66" s="260">
        <v>5013.92</v>
      </c>
      <c r="BV66" s="260">
        <v>248490.14</v>
      </c>
      <c r="BW66" s="260">
        <v>413140.62</v>
      </c>
      <c r="BX66" s="260">
        <v>528239.06999999995</v>
      </c>
      <c r="BY66" s="260">
        <v>497158.53000000009</v>
      </c>
      <c r="BZ66" s="260">
        <v>4091</v>
      </c>
      <c r="CA66" s="260">
        <v>0</v>
      </c>
      <c r="CB66" s="260">
        <v>0</v>
      </c>
      <c r="CC66" s="260">
        <v>8193890.5999999978</v>
      </c>
      <c r="CD66" s="24" t="s">
        <v>246</v>
      </c>
      <c r="CE66" s="25">
        <v>143819635.44999996</v>
      </c>
    </row>
    <row r="67" spans="1:83" x14ac:dyDescent="0.25">
      <c r="A67" s="31" t="s">
        <v>14</v>
      </c>
      <c r="B67" s="16"/>
      <c r="C67" s="25">
        <v>7986414</v>
      </c>
      <c r="D67" s="25">
        <v>0</v>
      </c>
      <c r="E67" s="25">
        <v>17990820</v>
      </c>
      <c r="F67" s="25">
        <v>0</v>
      </c>
      <c r="G67" s="25">
        <v>1154723</v>
      </c>
      <c r="H67" s="25">
        <v>3283947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10168013</v>
      </c>
      <c r="Q67" s="25">
        <v>1110585</v>
      </c>
      <c r="R67" s="25">
        <v>656809</v>
      </c>
      <c r="S67" s="25">
        <v>3516648</v>
      </c>
      <c r="T67" s="25">
        <v>40310</v>
      </c>
      <c r="U67" s="25">
        <v>4267774</v>
      </c>
      <c r="V67" s="25">
        <v>871248</v>
      </c>
      <c r="W67" s="25">
        <v>1021687</v>
      </c>
      <c r="X67" s="25">
        <v>279224</v>
      </c>
      <c r="Y67" s="25">
        <v>3962424</v>
      </c>
      <c r="Z67" s="25">
        <v>33078</v>
      </c>
      <c r="AA67" s="25">
        <v>127529</v>
      </c>
      <c r="AB67" s="25">
        <v>2550158</v>
      </c>
      <c r="AC67" s="25">
        <v>362392</v>
      </c>
      <c r="AD67" s="25">
        <v>282639</v>
      </c>
      <c r="AE67" s="25">
        <v>2344210</v>
      </c>
      <c r="AF67" s="25">
        <v>3341294</v>
      </c>
      <c r="AG67" s="25">
        <v>4161842</v>
      </c>
      <c r="AH67" s="25">
        <v>95181</v>
      </c>
      <c r="AI67" s="25">
        <v>0</v>
      </c>
      <c r="AJ67" s="25">
        <v>15814756</v>
      </c>
      <c r="AK67" s="25">
        <v>628558</v>
      </c>
      <c r="AL67" s="25">
        <v>136436</v>
      </c>
      <c r="AM67" s="25">
        <v>476936</v>
      </c>
      <c r="AN67" s="25">
        <v>0</v>
      </c>
      <c r="AO67" s="25">
        <v>0</v>
      </c>
      <c r="AP67" s="25">
        <v>0</v>
      </c>
      <c r="AQ67" s="25">
        <v>0</v>
      </c>
      <c r="AR67" s="25">
        <v>48235</v>
      </c>
      <c r="AS67" s="25">
        <v>0</v>
      </c>
      <c r="AT67" s="25">
        <v>60432</v>
      </c>
      <c r="AU67" s="25">
        <v>0</v>
      </c>
      <c r="AV67" s="25">
        <v>77165</v>
      </c>
      <c r="AW67" s="25">
        <v>941736</v>
      </c>
      <c r="AX67" s="25">
        <v>0</v>
      </c>
      <c r="AY67" s="25">
        <v>3060652</v>
      </c>
      <c r="AZ67" s="25">
        <v>87533</v>
      </c>
      <c r="BA67" s="25">
        <v>71501</v>
      </c>
      <c r="BB67" s="25">
        <v>1068362</v>
      </c>
      <c r="BC67" s="25">
        <v>54517</v>
      </c>
      <c r="BD67" s="25">
        <v>0</v>
      </c>
      <c r="BE67" s="25">
        <v>26899470</v>
      </c>
      <c r="BF67" s="25">
        <v>507197</v>
      </c>
      <c r="BG67" s="25">
        <v>116238</v>
      </c>
      <c r="BH67" s="25">
        <v>841689</v>
      </c>
      <c r="BI67" s="25">
        <v>127676</v>
      </c>
      <c r="BJ67" s="25">
        <v>0</v>
      </c>
      <c r="BK67" s="25">
        <v>0</v>
      </c>
      <c r="BL67" s="25">
        <v>300108</v>
      </c>
      <c r="BM67" s="25">
        <v>0</v>
      </c>
      <c r="BN67" s="25">
        <v>1299673</v>
      </c>
      <c r="BO67" s="25">
        <v>38039</v>
      </c>
      <c r="BP67" s="25">
        <v>162577</v>
      </c>
      <c r="BQ67" s="25">
        <v>0</v>
      </c>
      <c r="BR67" s="25">
        <v>3097</v>
      </c>
      <c r="BS67" s="25">
        <v>39962</v>
      </c>
      <c r="BT67" s="25">
        <v>312006</v>
      </c>
      <c r="BU67" s="25">
        <v>348532</v>
      </c>
      <c r="BV67" s="25">
        <v>23853</v>
      </c>
      <c r="BW67" s="25">
        <v>1769897</v>
      </c>
      <c r="BX67" s="25">
        <v>360502</v>
      </c>
      <c r="BY67" s="25">
        <v>307068</v>
      </c>
      <c r="BZ67" s="25">
        <v>7794</v>
      </c>
      <c r="CA67" s="25">
        <v>0</v>
      </c>
      <c r="CB67" s="25">
        <v>0</v>
      </c>
      <c r="CC67" s="25">
        <v>3906086</v>
      </c>
      <c r="CD67" s="24" t="s">
        <v>246</v>
      </c>
      <c r="CE67" s="25">
        <v>129507232</v>
      </c>
    </row>
    <row r="68" spans="1:83" x14ac:dyDescent="0.25">
      <c r="A68" s="31" t="s">
        <v>266</v>
      </c>
      <c r="B68" s="25"/>
      <c r="C68" s="260">
        <v>109679.92000000001</v>
      </c>
      <c r="D68" s="260">
        <v>0</v>
      </c>
      <c r="E68" s="260">
        <v>416755.13</v>
      </c>
      <c r="F68" s="260">
        <v>0</v>
      </c>
      <c r="G68" s="260">
        <v>21400.68</v>
      </c>
      <c r="H68" s="260">
        <v>0</v>
      </c>
      <c r="I68" s="260">
        <v>0</v>
      </c>
      <c r="J68" s="260">
        <v>0</v>
      </c>
      <c r="K68" s="260">
        <v>0</v>
      </c>
      <c r="L68" s="260">
        <v>0</v>
      </c>
      <c r="M68" s="260">
        <v>0</v>
      </c>
      <c r="N68" s="260">
        <v>0</v>
      </c>
      <c r="O68" s="260">
        <v>0</v>
      </c>
      <c r="P68" s="260">
        <v>170702.87</v>
      </c>
      <c r="Q68" s="260">
        <v>0</v>
      </c>
      <c r="R68" s="260">
        <v>0</v>
      </c>
      <c r="S68" s="260">
        <v>226642.60000000003</v>
      </c>
      <c r="T68" s="260">
        <v>0</v>
      </c>
      <c r="U68" s="260">
        <v>0</v>
      </c>
      <c r="V68" s="260">
        <v>450381.23</v>
      </c>
      <c r="W68" s="260">
        <v>0</v>
      </c>
      <c r="X68" s="260">
        <v>0</v>
      </c>
      <c r="Y68" s="260">
        <v>0</v>
      </c>
      <c r="Z68" s="260">
        <v>0</v>
      </c>
      <c r="AA68" s="260">
        <v>0</v>
      </c>
      <c r="AB68" s="260">
        <v>0</v>
      </c>
      <c r="AC68" s="260">
        <v>138164.04</v>
      </c>
      <c r="AD68" s="260">
        <v>0</v>
      </c>
      <c r="AE68" s="260">
        <v>0</v>
      </c>
      <c r="AF68" s="260">
        <v>262970.07</v>
      </c>
      <c r="AG68" s="260">
        <v>876.49</v>
      </c>
      <c r="AH68" s="260">
        <v>0</v>
      </c>
      <c r="AI68" s="260">
        <v>0</v>
      </c>
      <c r="AJ68" s="260">
        <v>1533885.5800000003</v>
      </c>
      <c r="AK68" s="260">
        <v>0</v>
      </c>
      <c r="AL68" s="260">
        <v>0</v>
      </c>
      <c r="AM68" s="260">
        <v>0</v>
      </c>
      <c r="AN68" s="260">
        <v>0</v>
      </c>
      <c r="AO68" s="260">
        <v>0</v>
      </c>
      <c r="AP68" s="260">
        <v>0</v>
      </c>
      <c r="AQ68" s="260">
        <v>0</v>
      </c>
      <c r="AR68" s="260">
        <v>729702.36999999988</v>
      </c>
      <c r="AS68" s="260">
        <v>0</v>
      </c>
      <c r="AT68" s="260">
        <v>0</v>
      </c>
      <c r="AU68" s="260">
        <v>0</v>
      </c>
      <c r="AV68" s="260">
        <v>0</v>
      </c>
      <c r="AW68" s="260">
        <v>7493499.0499999998</v>
      </c>
      <c r="AX68" s="260">
        <v>166717.01</v>
      </c>
      <c r="AY68" s="260">
        <v>0</v>
      </c>
      <c r="AZ68" s="260">
        <v>480478.26</v>
      </c>
      <c r="BA68" s="260">
        <v>0</v>
      </c>
      <c r="BB68" s="260">
        <v>0</v>
      </c>
      <c r="BC68" s="260">
        <v>0</v>
      </c>
      <c r="BD68" s="260">
        <v>0</v>
      </c>
      <c r="BE68" s="260">
        <v>0</v>
      </c>
      <c r="BF68" s="260">
        <v>0</v>
      </c>
      <c r="BG68" s="260">
        <v>0</v>
      </c>
      <c r="BH68" s="260">
        <v>864151.60000000009</v>
      </c>
      <c r="BI68" s="260">
        <v>1949917.63</v>
      </c>
      <c r="BJ68" s="260">
        <v>0</v>
      </c>
      <c r="BK68" s="260">
        <v>0</v>
      </c>
      <c r="BL68" s="260">
        <v>0</v>
      </c>
      <c r="BM68" s="260">
        <v>0</v>
      </c>
      <c r="BN68" s="260">
        <v>12189.69</v>
      </c>
      <c r="BO68" s="260">
        <v>0</v>
      </c>
      <c r="BP68" s="260">
        <v>0</v>
      </c>
      <c r="BQ68" s="260">
        <v>0</v>
      </c>
      <c r="BR68" s="260">
        <v>0</v>
      </c>
      <c r="BS68" s="260">
        <v>0</v>
      </c>
      <c r="BT68" s="260">
        <v>0</v>
      </c>
      <c r="BU68" s="260">
        <v>0</v>
      </c>
      <c r="BV68" s="260">
        <v>0</v>
      </c>
      <c r="BW68" s="260">
        <v>0</v>
      </c>
      <c r="BX68" s="260">
        <v>0</v>
      </c>
      <c r="BY68" s="260">
        <v>2310.63</v>
      </c>
      <c r="BZ68" s="260">
        <v>0</v>
      </c>
      <c r="CA68" s="260">
        <v>0</v>
      </c>
      <c r="CB68" s="260">
        <v>0</v>
      </c>
      <c r="CC68" s="260">
        <v>15783835.790000001</v>
      </c>
      <c r="CD68" s="24" t="s">
        <v>246</v>
      </c>
      <c r="CE68" s="25">
        <v>30814260.640000001</v>
      </c>
    </row>
    <row r="69" spans="1:83" x14ac:dyDescent="0.25">
      <c r="A69" s="31" t="s">
        <v>267</v>
      </c>
      <c r="B69" s="16"/>
      <c r="C69" s="25">
        <v>27560964.49000001</v>
      </c>
      <c r="D69" s="25">
        <v>0</v>
      </c>
      <c r="E69" s="25">
        <v>18095868.940000001</v>
      </c>
      <c r="F69" s="25">
        <v>0</v>
      </c>
      <c r="G69" s="25">
        <v>726528.75000000012</v>
      </c>
      <c r="H69" s="25">
        <v>5064985.6900000004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5678925.4400000004</v>
      </c>
      <c r="Q69" s="25">
        <v>1311523.99</v>
      </c>
      <c r="R69" s="25">
        <v>902583.54000000015</v>
      </c>
      <c r="S69" s="25">
        <v>1206267.94</v>
      </c>
      <c r="T69" s="25">
        <v>188491.49000000002</v>
      </c>
      <c r="U69" s="25">
        <v>18888058.349999998</v>
      </c>
      <c r="V69" s="25">
        <v>739776.10000000009</v>
      </c>
      <c r="W69" s="25">
        <v>591793.69999999995</v>
      </c>
      <c r="X69" s="25">
        <v>720510.82</v>
      </c>
      <c r="Y69" s="25">
        <v>4312005.6900000004</v>
      </c>
      <c r="Z69" s="25">
        <v>59595.189999999995</v>
      </c>
      <c r="AA69" s="25">
        <v>229511.64</v>
      </c>
      <c r="AB69" s="25">
        <v>877046.19000000006</v>
      </c>
      <c r="AC69" s="25">
        <v>8139164.96</v>
      </c>
      <c r="AD69" s="25">
        <v>639228.97</v>
      </c>
      <c r="AE69" s="25">
        <v>89654.09</v>
      </c>
      <c r="AF69" s="25">
        <v>417289.6</v>
      </c>
      <c r="AG69" s="25">
        <v>16016394.239999998</v>
      </c>
      <c r="AH69" s="25">
        <v>429359.79999999993</v>
      </c>
      <c r="AI69" s="25">
        <v>0</v>
      </c>
      <c r="AJ69" s="25">
        <v>5022441.4399999995</v>
      </c>
      <c r="AK69" s="25">
        <v>8463.630000000001</v>
      </c>
      <c r="AL69" s="25">
        <v>5617.14</v>
      </c>
      <c r="AM69" s="25">
        <v>3276.89</v>
      </c>
      <c r="AN69" s="25">
        <v>0</v>
      </c>
      <c r="AO69" s="25">
        <v>0</v>
      </c>
      <c r="AP69" s="25">
        <v>0</v>
      </c>
      <c r="AQ69" s="25">
        <v>0</v>
      </c>
      <c r="AR69" s="25">
        <v>1020784.9600000001</v>
      </c>
      <c r="AS69" s="25">
        <v>0</v>
      </c>
      <c r="AT69" s="25">
        <v>9298.9700000000012</v>
      </c>
      <c r="AU69" s="25">
        <v>0</v>
      </c>
      <c r="AV69" s="25">
        <v>171848.26999999996</v>
      </c>
      <c r="AW69" s="25">
        <v>55825949.250000045</v>
      </c>
      <c r="AX69" s="25">
        <v>0</v>
      </c>
      <c r="AY69" s="25">
        <v>200022.88</v>
      </c>
      <c r="AZ69" s="25">
        <v>-17.450000000000003</v>
      </c>
      <c r="BA69" s="25">
        <v>4041050.21</v>
      </c>
      <c r="BB69" s="25">
        <v>649145.6399999999</v>
      </c>
      <c r="BC69" s="25">
        <v>0</v>
      </c>
      <c r="BD69" s="25">
        <v>190258.33999999997</v>
      </c>
      <c r="BE69" s="25">
        <v>21744206.239999998</v>
      </c>
      <c r="BF69" s="25">
        <v>1020682.0799999998</v>
      </c>
      <c r="BG69" s="25">
        <v>2352974.62</v>
      </c>
      <c r="BH69" s="25">
        <v>34939960.859999999</v>
      </c>
      <c r="BI69" s="25">
        <v>96265.189999999944</v>
      </c>
      <c r="BJ69" s="25">
        <v>3455799.2500000009</v>
      </c>
      <c r="BK69" s="25">
        <v>1644085.61</v>
      </c>
      <c r="BL69" s="25">
        <v>79430.090000000011</v>
      </c>
      <c r="BM69" s="25">
        <v>0</v>
      </c>
      <c r="BN69" s="25">
        <v>8948366.7800000012</v>
      </c>
      <c r="BO69" s="25">
        <v>12468.28</v>
      </c>
      <c r="BP69" s="25">
        <v>318843.01000000007</v>
      </c>
      <c r="BQ69" s="25">
        <v>291924.36</v>
      </c>
      <c r="BR69" s="25">
        <v>1710481.1800000002</v>
      </c>
      <c r="BS69" s="25">
        <v>0</v>
      </c>
      <c r="BT69" s="25">
        <v>4816.68</v>
      </c>
      <c r="BU69" s="25">
        <v>842489.67000000016</v>
      </c>
      <c r="BV69" s="25">
        <v>153842.07999999999</v>
      </c>
      <c r="BW69" s="25">
        <v>439755.93999999994</v>
      </c>
      <c r="BX69" s="25">
        <v>1457248.85</v>
      </c>
      <c r="BY69" s="25">
        <v>317991.33999999997</v>
      </c>
      <c r="BZ69" s="25">
        <v>87592.840000000011</v>
      </c>
      <c r="CA69" s="25">
        <v>0</v>
      </c>
      <c r="CB69" s="25">
        <v>0</v>
      </c>
      <c r="CC69" s="25">
        <v>2389961.7300000074</v>
      </c>
      <c r="CD69" s="25">
        <v>82327939.219999999</v>
      </c>
      <c r="CE69" s="25">
        <v>344670795.68000001</v>
      </c>
    </row>
    <row r="70" spans="1:83" x14ac:dyDescent="0.25">
      <c r="A70" s="26" t="s">
        <v>268</v>
      </c>
      <c r="B70" s="27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5083140.04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5">
        <v>5083140.04</v>
      </c>
    </row>
    <row r="71" spans="1:83" x14ac:dyDescent="0.25">
      <c r="A71" s="26" t="s">
        <v>269</v>
      </c>
      <c r="B71" s="27"/>
      <c r="C71" s="238">
        <v>27104793.040000007</v>
      </c>
      <c r="D71" s="238">
        <v>0</v>
      </c>
      <c r="E71" s="238">
        <v>17841016.02</v>
      </c>
      <c r="F71" s="238">
        <v>0</v>
      </c>
      <c r="G71" s="238">
        <v>711623.78</v>
      </c>
      <c r="H71" s="238">
        <v>4937845.1000000015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0</v>
      </c>
      <c r="P71" s="238">
        <v>4042136.05</v>
      </c>
      <c r="Q71" s="238">
        <v>1250155.24</v>
      </c>
      <c r="R71" s="238">
        <v>784459.32000000007</v>
      </c>
      <c r="S71" s="238">
        <v>499521.55000000005</v>
      </c>
      <c r="T71" s="238">
        <v>176856.19</v>
      </c>
      <c r="U71" s="238">
        <v>834803.89</v>
      </c>
      <c r="V71" s="238">
        <v>363038.57999999996</v>
      </c>
      <c r="W71" s="238">
        <v>131032.02</v>
      </c>
      <c r="X71" s="238">
        <v>0</v>
      </c>
      <c r="Y71" s="238">
        <v>2882801.44</v>
      </c>
      <c r="Z71" s="238">
        <v>3786.87</v>
      </c>
      <c r="AA71" s="238">
        <v>0</v>
      </c>
      <c r="AB71" s="238">
        <v>7277.09</v>
      </c>
      <c r="AC71" s="238">
        <v>7970922.3400000008</v>
      </c>
      <c r="AD71" s="238">
        <v>555533.85</v>
      </c>
      <c r="AE71" s="238">
        <v>0</v>
      </c>
      <c r="AF71" s="238">
        <v>180340.78999999998</v>
      </c>
      <c r="AG71" s="238">
        <v>15864767.91</v>
      </c>
      <c r="AH71" s="238">
        <v>390822.29999999993</v>
      </c>
      <c r="AI71" s="238">
        <v>0</v>
      </c>
      <c r="AJ71" s="238">
        <v>2187900.9099999997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620829.13</v>
      </c>
      <c r="AS71" s="238">
        <v>0</v>
      </c>
      <c r="AT71" s="238">
        <v>0</v>
      </c>
      <c r="AU71" s="238">
        <v>0</v>
      </c>
      <c r="AV71" s="238">
        <v>0</v>
      </c>
      <c r="AW71" s="238">
        <v>5673823.75</v>
      </c>
      <c r="AX71" s="238">
        <v>0</v>
      </c>
      <c r="AY71" s="238">
        <v>0</v>
      </c>
      <c r="AZ71" s="238">
        <v>0</v>
      </c>
      <c r="BA71" s="238">
        <v>0</v>
      </c>
      <c r="BB71" s="238">
        <v>165018.49000000002</v>
      </c>
      <c r="BC71" s="238">
        <v>0</v>
      </c>
      <c r="BD71" s="238">
        <v>105605.4</v>
      </c>
      <c r="BE71" s="238">
        <v>362894.88</v>
      </c>
      <c r="BF71" s="238">
        <v>0</v>
      </c>
      <c r="BG71" s="238">
        <v>58337.5</v>
      </c>
      <c r="BH71" s="238">
        <v>951263.49</v>
      </c>
      <c r="BI71" s="238">
        <v>0</v>
      </c>
      <c r="BJ71" s="238">
        <v>0</v>
      </c>
      <c r="BK71" s="238">
        <v>286344.32000000001</v>
      </c>
      <c r="BL71" s="238">
        <v>67783.17</v>
      </c>
      <c r="BM71" s="238">
        <v>0</v>
      </c>
      <c r="BN71" s="238">
        <v>91056</v>
      </c>
      <c r="BO71" s="238">
        <v>1699.75</v>
      </c>
      <c r="BP71" s="238">
        <v>0</v>
      </c>
      <c r="BQ71" s="238">
        <v>176400</v>
      </c>
      <c r="BR71" s="238">
        <v>104874.52</v>
      </c>
      <c r="BS71" s="238">
        <v>0</v>
      </c>
      <c r="BT71" s="238">
        <v>0</v>
      </c>
      <c r="BU71" s="238">
        <v>0</v>
      </c>
      <c r="BV71" s="238">
        <v>46408.56</v>
      </c>
      <c r="BW71" s="238">
        <v>33575</v>
      </c>
      <c r="BX71" s="238">
        <v>306460.31</v>
      </c>
      <c r="BY71" s="238">
        <v>8970</v>
      </c>
      <c r="BZ71" s="238">
        <v>48272.770000000004</v>
      </c>
      <c r="CA71" s="238">
        <v>0</v>
      </c>
      <c r="CB71" s="238">
        <v>0</v>
      </c>
      <c r="CC71" s="238">
        <v>1629396.8099999994</v>
      </c>
      <c r="CD71" s="238">
        <v>0</v>
      </c>
      <c r="CE71" s="25">
        <v>99460448.129999965</v>
      </c>
    </row>
    <row r="72" spans="1:83" x14ac:dyDescent="0.25">
      <c r="A72" s="26" t="s">
        <v>270</v>
      </c>
      <c r="B72" s="27"/>
      <c r="C72" s="238">
        <v>13134.009999999998</v>
      </c>
      <c r="D72" s="238">
        <v>0</v>
      </c>
      <c r="E72" s="238">
        <v>417.8</v>
      </c>
      <c r="F72" s="238">
        <v>0</v>
      </c>
      <c r="G72" s="238">
        <v>611.89</v>
      </c>
      <c r="H72" s="238">
        <v>1338.7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18317.25</v>
      </c>
      <c r="Q72" s="238">
        <v>380</v>
      </c>
      <c r="R72" s="238">
        <v>7944.3099999999995</v>
      </c>
      <c r="S72" s="238">
        <v>76385.259999999995</v>
      </c>
      <c r="T72" s="238">
        <v>0</v>
      </c>
      <c r="U72" s="238">
        <v>103139.42000000001</v>
      </c>
      <c r="V72" s="238">
        <v>2148.69</v>
      </c>
      <c r="W72" s="238">
        <v>23835.579999999998</v>
      </c>
      <c r="X72" s="238">
        <v>0</v>
      </c>
      <c r="Y72" s="238">
        <v>206201.3</v>
      </c>
      <c r="Z72" s="238">
        <v>9079.2999999999993</v>
      </c>
      <c r="AA72" s="238">
        <v>19418.330000000002</v>
      </c>
      <c r="AB72" s="238">
        <v>404576.10000000003</v>
      </c>
      <c r="AC72" s="238">
        <v>380</v>
      </c>
      <c r="AD72" s="238">
        <v>270.11</v>
      </c>
      <c r="AE72" s="238">
        <v>7535.58</v>
      </c>
      <c r="AF72" s="238">
        <v>4819.49</v>
      </c>
      <c r="AG72" s="238">
        <v>11089.45</v>
      </c>
      <c r="AH72" s="238">
        <v>5301.35</v>
      </c>
      <c r="AI72" s="238">
        <v>0</v>
      </c>
      <c r="AJ72" s="238">
        <v>314229.62</v>
      </c>
      <c r="AK72" s="238">
        <v>2089.7399999999998</v>
      </c>
      <c r="AL72" s="238">
        <v>39.04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14185.28</v>
      </c>
      <c r="AS72" s="238">
        <v>0</v>
      </c>
      <c r="AT72" s="238">
        <v>0</v>
      </c>
      <c r="AU72" s="238">
        <v>0</v>
      </c>
      <c r="AV72" s="238">
        <v>1123</v>
      </c>
      <c r="AW72" s="238">
        <v>2903518.439999999</v>
      </c>
      <c r="AX72" s="238">
        <v>0</v>
      </c>
      <c r="AY72" s="238">
        <v>8543.7099999999991</v>
      </c>
      <c r="AZ72" s="238">
        <v>0</v>
      </c>
      <c r="BA72" s="238">
        <v>0</v>
      </c>
      <c r="BB72" s="238">
        <v>17760.900000000001</v>
      </c>
      <c r="BC72" s="238">
        <v>0</v>
      </c>
      <c r="BD72" s="238">
        <v>842.04</v>
      </c>
      <c r="BE72" s="238">
        <v>454592.76000000007</v>
      </c>
      <c r="BF72" s="238">
        <v>0</v>
      </c>
      <c r="BG72" s="238">
        <v>564267.54</v>
      </c>
      <c r="BH72" s="238">
        <v>27124508.300000004</v>
      </c>
      <c r="BI72" s="238">
        <v>0</v>
      </c>
      <c r="BJ72" s="238">
        <v>3421614.7300000009</v>
      </c>
      <c r="BK72" s="238">
        <v>107204.26000000001</v>
      </c>
      <c r="BL72" s="238">
        <v>6518.96</v>
      </c>
      <c r="BM72" s="238">
        <v>0</v>
      </c>
      <c r="BN72" s="238">
        <v>528707.38</v>
      </c>
      <c r="BO72" s="238">
        <v>3254.59</v>
      </c>
      <c r="BP72" s="238">
        <v>11450.400000000001</v>
      </c>
      <c r="BQ72" s="238">
        <v>18796.919999999998</v>
      </c>
      <c r="BR72" s="238">
        <v>7597.47</v>
      </c>
      <c r="BS72" s="238">
        <v>0</v>
      </c>
      <c r="BT72" s="238">
        <v>1024</v>
      </c>
      <c r="BU72" s="238">
        <v>0</v>
      </c>
      <c r="BV72" s="238">
        <v>104551.68000000001</v>
      </c>
      <c r="BW72" s="238">
        <v>257.56</v>
      </c>
      <c r="BX72" s="238">
        <v>490303.26</v>
      </c>
      <c r="BY72" s="238">
        <v>5424.67</v>
      </c>
      <c r="BZ72" s="238">
        <v>380</v>
      </c>
      <c r="CA72" s="238">
        <v>0</v>
      </c>
      <c r="CB72" s="238">
        <v>0</v>
      </c>
      <c r="CC72" s="238">
        <v>83900.42</v>
      </c>
      <c r="CD72" s="238">
        <v>0</v>
      </c>
      <c r="CE72" s="25">
        <v>37113010.590000011</v>
      </c>
    </row>
    <row r="73" spans="1:83" x14ac:dyDescent="0.25">
      <c r="A73" s="26" t="s">
        <v>271</v>
      </c>
      <c r="B73" s="27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1780199.43</v>
      </c>
      <c r="CD73" s="238">
        <v>6285256.79</v>
      </c>
      <c r="CE73" s="25">
        <v>8065456.2199999997</v>
      </c>
    </row>
    <row r="74" spans="1:83" x14ac:dyDescent="0.25">
      <c r="A74" s="26" t="s">
        <v>272</v>
      </c>
      <c r="B74" s="27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4041050.21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5">
        <v>4041050.21</v>
      </c>
    </row>
    <row r="75" spans="1:83" x14ac:dyDescent="0.25">
      <c r="A75" s="26" t="s">
        <v>273</v>
      </c>
      <c r="B75" s="27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1152247.7100000002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18714.150000000001</v>
      </c>
      <c r="BI75" s="238">
        <v>0</v>
      </c>
      <c r="BJ75" s="238">
        <v>9500</v>
      </c>
      <c r="BK75" s="238">
        <v>0</v>
      </c>
      <c r="BL75" s="238">
        <v>0</v>
      </c>
      <c r="BM75" s="238">
        <v>0</v>
      </c>
      <c r="BN75" s="238">
        <v>5104727.28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5">
        <v>6285189.1400000006</v>
      </c>
    </row>
    <row r="76" spans="1:83" x14ac:dyDescent="0.25">
      <c r="A76" s="26" t="s">
        <v>274</v>
      </c>
      <c r="B76" s="203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11036122.41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5">
        <v>11036122.41</v>
      </c>
    </row>
    <row r="77" spans="1:83" x14ac:dyDescent="0.25">
      <c r="A77" s="26" t="s">
        <v>275</v>
      </c>
      <c r="B77" s="27"/>
      <c r="C77" s="238">
        <v>46573.55</v>
      </c>
      <c r="D77" s="238">
        <v>0</v>
      </c>
      <c r="E77" s="238">
        <v>24603.109999999997</v>
      </c>
      <c r="F77" s="238">
        <v>0</v>
      </c>
      <c r="G77" s="238">
        <v>3838.9</v>
      </c>
      <c r="H77" s="238">
        <v>23626.429999999997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1440576.76</v>
      </c>
      <c r="Q77" s="238">
        <v>4940.01</v>
      </c>
      <c r="R77" s="238">
        <v>29735.019999999997</v>
      </c>
      <c r="S77" s="238">
        <v>616817.71000000008</v>
      </c>
      <c r="T77" s="238">
        <v>2531.3500000000004</v>
      </c>
      <c r="U77" s="238">
        <v>1499796.85</v>
      </c>
      <c r="V77" s="238">
        <v>328915.74</v>
      </c>
      <c r="W77" s="238">
        <v>436851.6</v>
      </c>
      <c r="X77" s="238">
        <v>710952.11</v>
      </c>
      <c r="Y77" s="238">
        <v>1153543.3600000001</v>
      </c>
      <c r="Z77" s="238">
        <v>44576.49</v>
      </c>
      <c r="AA77" s="238">
        <v>207033.31000000003</v>
      </c>
      <c r="AB77" s="238">
        <v>191488.63</v>
      </c>
      <c r="AC77" s="238">
        <v>81796.47</v>
      </c>
      <c r="AD77" s="238">
        <v>74023.28</v>
      </c>
      <c r="AE77" s="238">
        <v>5503.46</v>
      </c>
      <c r="AF77" s="238">
        <v>4195.1100000000006</v>
      </c>
      <c r="AG77" s="238">
        <v>23134.590000000004</v>
      </c>
      <c r="AH77" s="238">
        <v>12453.6</v>
      </c>
      <c r="AI77" s="238">
        <v>0</v>
      </c>
      <c r="AJ77" s="238">
        <v>375920.03000000014</v>
      </c>
      <c r="AK77" s="238">
        <v>363.99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291509.15000000002</v>
      </c>
      <c r="AS77" s="238">
        <v>0</v>
      </c>
      <c r="AT77" s="238">
        <v>0</v>
      </c>
      <c r="AU77" s="238">
        <v>0</v>
      </c>
      <c r="AV77" s="238">
        <v>139524.16999999998</v>
      </c>
      <c r="AW77" s="238">
        <v>3699955.7800000003</v>
      </c>
      <c r="AX77" s="238">
        <v>0</v>
      </c>
      <c r="AY77" s="238">
        <v>31348.789999999997</v>
      </c>
      <c r="AZ77" s="238">
        <v>0</v>
      </c>
      <c r="BA77" s="238">
        <v>0</v>
      </c>
      <c r="BB77" s="238">
        <v>3448.2099999999996</v>
      </c>
      <c r="BC77" s="238">
        <v>0</v>
      </c>
      <c r="BD77" s="238">
        <v>0</v>
      </c>
      <c r="BE77" s="238">
        <v>10881308.99</v>
      </c>
      <c r="BF77" s="238">
        <v>7664.8700000000063</v>
      </c>
      <c r="BG77" s="238">
        <v>540202.99</v>
      </c>
      <c r="BH77" s="238">
        <v>4731598.22</v>
      </c>
      <c r="BI77" s="238">
        <v>406450.92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3264.42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1607.15</v>
      </c>
      <c r="BW77" s="238">
        <v>0</v>
      </c>
      <c r="BX77" s="238">
        <v>879.45</v>
      </c>
      <c r="BY77" s="238">
        <v>881.56</v>
      </c>
      <c r="BZ77" s="238">
        <v>0</v>
      </c>
      <c r="CA77" s="238">
        <v>0</v>
      </c>
      <c r="CB77" s="238">
        <v>0</v>
      </c>
      <c r="CC77" s="238">
        <v>187487.56</v>
      </c>
      <c r="CD77" s="238">
        <v>0</v>
      </c>
      <c r="CE77" s="25">
        <v>28270923.690000001</v>
      </c>
    </row>
    <row r="78" spans="1:83" x14ac:dyDescent="0.25">
      <c r="A78" s="26" t="s">
        <v>276</v>
      </c>
      <c r="B78" s="16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5">
        <v>0</v>
      </c>
    </row>
    <row r="79" spans="1:83" x14ac:dyDescent="0.25">
      <c r="A79" s="26" t="s">
        <v>277</v>
      </c>
      <c r="B79" s="16"/>
      <c r="C79" s="238">
        <v>304946.51</v>
      </c>
      <c r="D79" s="238">
        <v>0</v>
      </c>
      <c r="E79" s="238">
        <v>224699.57</v>
      </c>
      <c r="F79" s="238">
        <v>0</v>
      </c>
      <c r="G79" s="238">
        <v>10500</v>
      </c>
      <c r="H79" s="238">
        <v>90895.010000000009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109022.48000000001</v>
      </c>
      <c r="Q79" s="238">
        <v>41474.459999999992</v>
      </c>
      <c r="R79" s="238">
        <v>62188.480000000003</v>
      </c>
      <c r="S79" s="238">
        <v>0</v>
      </c>
      <c r="T79" s="238">
        <v>8028.95</v>
      </c>
      <c r="U79" s="238">
        <v>68911.86</v>
      </c>
      <c r="V79" s="238">
        <v>25466.91</v>
      </c>
      <c r="W79" s="238">
        <v>0</v>
      </c>
      <c r="X79" s="238">
        <v>4119.4699999999993</v>
      </c>
      <c r="Y79" s="238">
        <v>4534.2</v>
      </c>
      <c r="Z79" s="238">
        <v>0</v>
      </c>
      <c r="AA79" s="238">
        <v>0</v>
      </c>
      <c r="AB79" s="238">
        <v>42781.790000000008</v>
      </c>
      <c r="AC79" s="238">
        <v>27600.89</v>
      </c>
      <c r="AD79" s="238">
        <v>1000</v>
      </c>
      <c r="AE79" s="238">
        <v>0</v>
      </c>
      <c r="AF79" s="238">
        <v>42491</v>
      </c>
      <c r="AG79" s="238">
        <v>106149.42</v>
      </c>
      <c r="AH79" s="238">
        <v>6454.4</v>
      </c>
      <c r="AI79" s="238">
        <v>0</v>
      </c>
      <c r="AJ79" s="238">
        <v>409706.81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6898.26</v>
      </c>
      <c r="AS79" s="238">
        <v>0</v>
      </c>
      <c r="AT79" s="238">
        <v>0</v>
      </c>
      <c r="AU79" s="238">
        <v>0</v>
      </c>
      <c r="AV79" s="238">
        <v>0</v>
      </c>
      <c r="AW79" s="238">
        <v>319065.58999999997</v>
      </c>
      <c r="AX79" s="238">
        <v>0</v>
      </c>
      <c r="AY79" s="238">
        <v>0</v>
      </c>
      <c r="AZ79" s="238">
        <v>0</v>
      </c>
      <c r="BA79" s="238">
        <v>0</v>
      </c>
      <c r="BB79" s="238">
        <v>6085.86</v>
      </c>
      <c r="BC79" s="238">
        <v>0</v>
      </c>
      <c r="BD79" s="238">
        <v>0</v>
      </c>
      <c r="BE79" s="238">
        <v>23056.81</v>
      </c>
      <c r="BF79" s="238">
        <v>0</v>
      </c>
      <c r="BG79" s="238">
        <v>1984.98</v>
      </c>
      <c r="BH79" s="238">
        <v>10000</v>
      </c>
      <c r="BI79" s="238">
        <v>0</v>
      </c>
      <c r="BJ79" s="238">
        <v>0</v>
      </c>
      <c r="BK79" s="238">
        <v>14131.44</v>
      </c>
      <c r="BL79" s="238">
        <v>0</v>
      </c>
      <c r="BM79" s="238">
        <v>0</v>
      </c>
      <c r="BN79" s="238">
        <v>183285.61000000002</v>
      </c>
      <c r="BO79" s="238">
        <v>0</v>
      </c>
      <c r="BP79" s="238">
        <v>0</v>
      </c>
      <c r="BQ79" s="238">
        <v>29063.74</v>
      </c>
      <c r="BR79" s="238">
        <v>345996.51</v>
      </c>
      <c r="BS79" s="238">
        <v>0</v>
      </c>
      <c r="BT79" s="238">
        <v>0</v>
      </c>
      <c r="BU79" s="238">
        <v>0</v>
      </c>
      <c r="BV79" s="238">
        <v>0</v>
      </c>
      <c r="BW79" s="238">
        <v>9000</v>
      </c>
      <c r="BX79" s="238">
        <v>0</v>
      </c>
      <c r="BY79" s="238">
        <v>19802.36</v>
      </c>
      <c r="BZ79" s="238">
        <v>35082.69</v>
      </c>
      <c r="CA79" s="238">
        <v>0</v>
      </c>
      <c r="CB79" s="238">
        <v>0</v>
      </c>
      <c r="CC79" s="238">
        <v>96682.92</v>
      </c>
      <c r="CD79" s="238">
        <v>0</v>
      </c>
      <c r="CE79" s="25">
        <v>2691108.9800000004</v>
      </c>
    </row>
    <row r="80" spans="1:83" x14ac:dyDescent="0.25">
      <c r="A80" s="26" t="s">
        <v>278</v>
      </c>
      <c r="B80" s="16"/>
      <c r="C80" s="238">
        <v>4924.05</v>
      </c>
      <c r="D80" s="238">
        <v>0</v>
      </c>
      <c r="E80" s="238">
        <v>162.68</v>
      </c>
      <c r="F80" s="238">
        <v>0</v>
      </c>
      <c r="G80" s="238">
        <v>0</v>
      </c>
      <c r="H80" s="238">
        <v>-8192.4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1103.0000000000002</v>
      </c>
      <c r="Q80" s="238">
        <v>0</v>
      </c>
      <c r="R80" s="238">
        <v>0</v>
      </c>
      <c r="S80" s="238">
        <v>2810</v>
      </c>
      <c r="T80" s="238">
        <v>350</v>
      </c>
      <c r="U80" s="238">
        <v>924</v>
      </c>
      <c r="V80" s="238">
        <v>1736</v>
      </c>
      <c r="W80" s="238">
        <v>74.5</v>
      </c>
      <c r="X80" s="238">
        <v>124</v>
      </c>
      <c r="Y80" s="238">
        <v>3535.2</v>
      </c>
      <c r="Z80" s="238">
        <v>65.28</v>
      </c>
      <c r="AA80" s="238">
        <v>0</v>
      </c>
      <c r="AB80" s="238">
        <v>10193.730000000001</v>
      </c>
      <c r="AC80" s="238">
        <v>4934.5</v>
      </c>
      <c r="AD80" s="238">
        <v>59.25</v>
      </c>
      <c r="AE80" s="238">
        <v>6816.21</v>
      </c>
      <c r="AF80" s="238">
        <v>16887.849999999999</v>
      </c>
      <c r="AG80" s="238">
        <v>1082.2</v>
      </c>
      <c r="AH80" s="238">
        <v>11334</v>
      </c>
      <c r="AI80" s="238">
        <v>0</v>
      </c>
      <c r="AJ80" s="238">
        <v>101077.89000000001</v>
      </c>
      <c r="AK80" s="238">
        <v>1154.5900000000001</v>
      </c>
      <c r="AL80" s="238">
        <v>2440.3900000000003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2530.7600000000002</v>
      </c>
      <c r="AS80" s="238">
        <v>0</v>
      </c>
      <c r="AT80" s="238">
        <v>0</v>
      </c>
      <c r="AU80" s="238">
        <v>0</v>
      </c>
      <c r="AV80" s="238">
        <v>1570.18</v>
      </c>
      <c r="AW80" s="238">
        <v>1054768.06</v>
      </c>
      <c r="AX80" s="238">
        <v>0</v>
      </c>
      <c r="AY80" s="238">
        <v>0</v>
      </c>
      <c r="AZ80" s="238">
        <v>0</v>
      </c>
      <c r="BA80" s="238">
        <v>0</v>
      </c>
      <c r="BB80" s="238">
        <v>6825.52</v>
      </c>
      <c r="BC80" s="238">
        <v>0</v>
      </c>
      <c r="BD80" s="238">
        <v>0</v>
      </c>
      <c r="BE80" s="238">
        <v>35914.199999999997</v>
      </c>
      <c r="BF80" s="238">
        <v>881.8599999999999</v>
      </c>
      <c r="BG80" s="238">
        <v>0</v>
      </c>
      <c r="BH80" s="238">
        <v>140572.70000000001</v>
      </c>
      <c r="BI80" s="238">
        <v>-707.07999999999993</v>
      </c>
      <c r="BJ80" s="238">
        <v>41410.33</v>
      </c>
      <c r="BK80" s="238">
        <v>11473.759999999998</v>
      </c>
      <c r="BL80" s="238">
        <v>2400</v>
      </c>
      <c r="BM80" s="238">
        <v>0</v>
      </c>
      <c r="BN80" s="238">
        <v>13681.329999999998</v>
      </c>
      <c r="BO80" s="238">
        <v>708.99999999999989</v>
      </c>
      <c r="BP80" s="238">
        <v>0</v>
      </c>
      <c r="BQ80" s="238">
        <v>608.94000000000005</v>
      </c>
      <c r="BR80" s="238">
        <v>3902.19</v>
      </c>
      <c r="BS80" s="238">
        <v>0</v>
      </c>
      <c r="BT80" s="238">
        <v>-28.550000000000011</v>
      </c>
      <c r="BU80" s="238">
        <v>0</v>
      </c>
      <c r="BV80" s="238">
        <v>0</v>
      </c>
      <c r="BW80" s="238">
        <v>9507</v>
      </c>
      <c r="BX80" s="238">
        <v>70452.33</v>
      </c>
      <c r="BY80" s="238">
        <v>30985.93</v>
      </c>
      <c r="BZ80" s="238">
        <v>0</v>
      </c>
      <c r="CA80" s="238">
        <v>0</v>
      </c>
      <c r="CB80" s="238">
        <v>0</v>
      </c>
      <c r="CC80" s="238">
        <v>21758.609999999997</v>
      </c>
      <c r="CD80" s="238">
        <v>0</v>
      </c>
      <c r="CE80" s="25">
        <v>1612813.9900000002</v>
      </c>
    </row>
    <row r="81" spans="1:84" x14ac:dyDescent="0.25">
      <c r="A81" s="26" t="s">
        <v>279</v>
      </c>
      <c r="B81" s="16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0</v>
      </c>
      <c r="CD81" s="238">
        <v>47858364.75</v>
      </c>
      <c r="CE81" s="25">
        <v>47858364.75</v>
      </c>
    </row>
    <row r="82" spans="1:84" x14ac:dyDescent="0.25">
      <c r="A82" s="26" t="s">
        <v>280</v>
      </c>
      <c r="B82" s="16"/>
      <c r="C82" s="238">
        <v>74.25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321.95999999999998</v>
      </c>
      <c r="T82" s="238">
        <v>0</v>
      </c>
      <c r="U82" s="238">
        <v>0</v>
      </c>
      <c r="V82" s="238">
        <v>4.17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23374.6</v>
      </c>
      <c r="AG82" s="238">
        <v>0</v>
      </c>
      <c r="AH82" s="238">
        <v>0</v>
      </c>
      <c r="AI82" s="238">
        <v>0</v>
      </c>
      <c r="AJ82" s="238">
        <v>124724.07000000002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56457.86</v>
      </c>
      <c r="AS82" s="238">
        <v>0</v>
      </c>
      <c r="AT82" s="238">
        <v>0</v>
      </c>
      <c r="AU82" s="238">
        <v>0</v>
      </c>
      <c r="AV82" s="238">
        <v>0</v>
      </c>
      <c r="AW82" s="238">
        <v>3799778.1100000003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9476861.879999999</v>
      </c>
      <c r="BF82" s="238">
        <v>968405.27999999991</v>
      </c>
      <c r="BG82" s="238">
        <v>1185506.51</v>
      </c>
      <c r="BH82" s="238">
        <v>1863227.79</v>
      </c>
      <c r="BI82" s="238">
        <v>239757.78999999998</v>
      </c>
      <c r="BJ82" s="238">
        <v>0</v>
      </c>
      <c r="BK82" s="238">
        <v>0</v>
      </c>
      <c r="BL82" s="238">
        <v>0</v>
      </c>
      <c r="BM82" s="238">
        <v>0</v>
      </c>
      <c r="BN82" s="238">
        <v>1.0000000000005116E-2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121582.29000000001</v>
      </c>
      <c r="CD82" s="238">
        <v>0</v>
      </c>
      <c r="CE82" s="25">
        <v>17860076.569999997</v>
      </c>
    </row>
    <row r="83" spans="1:84" x14ac:dyDescent="0.25">
      <c r="A83" s="26" t="s">
        <v>281</v>
      </c>
      <c r="B83" s="16"/>
      <c r="C83" s="237">
        <v>86519.080000000016</v>
      </c>
      <c r="D83" s="237">
        <v>0</v>
      </c>
      <c r="E83" s="237">
        <v>4969.7600000000011</v>
      </c>
      <c r="F83" s="237">
        <v>0</v>
      </c>
      <c r="G83" s="237">
        <v>-45.820000000000164</v>
      </c>
      <c r="H83" s="237">
        <v>19472.850000000002</v>
      </c>
      <c r="I83" s="237">
        <v>0</v>
      </c>
      <c r="J83" s="237">
        <v>0</v>
      </c>
      <c r="K83" s="237">
        <v>0</v>
      </c>
      <c r="L83" s="237">
        <v>0</v>
      </c>
      <c r="M83" s="237">
        <v>0</v>
      </c>
      <c r="N83" s="237">
        <v>0</v>
      </c>
      <c r="O83" s="237">
        <v>0</v>
      </c>
      <c r="P83" s="237">
        <v>67769.899999999994</v>
      </c>
      <c r="Q83" s="237">
        <v>14574.279999999999</v>
      </c>
      <c r="R83" s="237">
        <v>18256.41</v>
      </c>
      <c r="S83" s="237">
        <v>10411.460000000001</v>
      </c>
      <c r="T83" s="237">
        <v>725</v>
      </c>
      <c r="U83" s="237">
        <v>261219.87999999995</v>
      </c>
      <c r="V83" s="237">
        <v>18466.010000000002</v>
      </c>
      <c r="W83" s="237">
        <v>0</v>
      </c>
      <c r="X83" s="237">
        <v>5315.24</v>
      </c>
      <c r="Y83" s="237">
        <v>61390.189999999995</v>
      </c>
      <c r="Z83" s="237">
        <v>2087.25</v>
      </c>
      <c r="AA83" s="237">
        <v>3060</v>
      </c>
      <c r="AB83" s="237">
        <v>220728.85</v>
      </c>
      <c r="AC83" s="237">
        <v>53530.76</v>
      </c>
      <c r="AD83" s="237">
        <v>8342.48</v>
      </c>
      <c r="AE83" s="237">
        <v>69798.84</v>
      </c>
      <c r="AF83" s="237">
        <v>145180.75999999998</v>
      </c>
      <c r="AG83" s="237">
        <v>10170.669999999998</v>
      </c>
      <c r="AH83" s="237">
        <v>2994.1500000000005</v>
      </c>
      <c r="AI83" s="237">
        <v>0</v>
      </c>
      <c r="AJ83" s="237">
        <v>1508882.1099999999</v>
      </c>
      <c r="AK83" s="237">
        <v>4855.3100000000004</v>
      </c>
      <c r="AL83" s="237">
        <v>3137.71</v>
      </c>
      <c r="AM83" s="237">
        <v>3276.89</v>
      </c>
      <c r="AN83" s="237">
        <v>0</v>
      </c>
      <c r="AO83" s="237">
        <v>0</v>
      </c>
      <c r="AP83" s="237">
        <v>0</v>
      </c>
      <c r="AQ83" s="237">
        <v>0</v>
      </c>
      <c r="AR83" s="237">
        <v>28374.519999999997</v>
      </c>
      <c r="AS83" s="237">
        <v>0</v>
      </c>
      <c r="AT83" s="237">
        <v>9298.9700000000012</v>
      </c>
      <c r="AU83" s="237">
        <v>0</v>
      </c>
      <c r="AV83" s="237">
        <v>29630.92</v>
      </c>
      <c r="AW83" s="237">
        <v>37222791.81000004</v>
      </c>
      <c r="AX83" s="237">
        <v>0</v>
      </c>
      <c r="AY83" s="237">
        <v>160130.38</v>
      </c>
      <c r="AZ83" s="237">
        <v>-17.450000000000003</v>
      </c>
      <c r="BA83" s="237">
        <v>0</v>
      </c>
      <c r="BB83" s="237">
        <v>450006.66</v>
      </c>
      <c r="BC83" s="237">
        <v>0</v>
      </c>
      <c r="BD83" s="237">
        <v>83810.899999999994</v>
      </c>
      <c r="BE83" s="237">
        <v>509576.72</v>
      </c>
      <c r="BF83" s="237">
        <v>43730.07</v>
      </c>
      <c r="BG83" s="237">
        <v>2675.1</v>
      </c>
      <c r="BH83" s="237">
        <v>100076.20999999996</v>
      </c>
      <c r="BI83" s="237">
        <v>-549236.43999999994</v>
      </c>
      <c r="BJ83" s="237">
        <v>-16725.809999999987</v>
      </c>
      <c r="BK83" s="237">
        <v>1224931.83</v>
      </c>
      <c r="BL83" s="237">
        <v>2727.96</v>
      </c>
      <c r="BM83" s="237">
        <v>0</v>
      </c>
      <c r="BN83" s="237">
        <v>3026909.1700000009</v>
      </c>
      <c r="BO83" s="237">
        <v>3540.5200000000004</v>
      </c>
      <c r="BP83" s="237">
        <v>307392.61000000004</v>
      </c>
      <c r="BQ83" s="237">
        <v>67054.75999999998</v>
      </c>
      <c r="BR83" s="237">
        <v>1248110.4900000002</v>
      </c>
      <c r="BS83" s="237">
        <v>0</v>
      </c>
      <c r="BT83" s="237">
        <v>3821.23</v>
      </c>
      <c r="BU83" s="237">
        <v>842489.67000000016</v>
      </c>
      <c r="BV83" s="237">
        <v>1274.69</v>
      </c>
      <c r="BW83" s="237">
        <v>387416.37999999995</v>
      </c>
      <c r="BX83" s="237">
        <v>589153.5</v>
      </c>
      <c r="BY83" s="237">
        <v>251926.82</v>
      </c>
      <c r="BZ83" s="237">
        <v>3857.38</v>
      </c>
      <c r="CA83" s="237">
        <v>0</v>
      </c>
      <c r="CB83" s="237">
        <v>0</v>
      </c>
      <c r="CC83" s="239">
        <v>-1531046.3099999917</v>
      </c>
      <c r="CD83" s="238">
        <v>28184317.68</v>
      </c>
      <c r="CE83" s="25">
        <v>75293090.960000038</v>
      </c>
    </row>
    <row r="84" spans="1:84" x14ac:dyDescent="0.25">
      <c r="A84" s="31" t="s">
        <v>282</v>
      </c>
      <c r="B84" s="16"/>
      <c r="C84" s="256">
        <v>0</v>
      </c>
      <c r="D84" s="256">
        <v>0</v>
      </c>
      <c r="E84" s="256">
        <v>-2595528.73</v>
      </c>
      <c r="F84" s="256">
        <v>0</v>
      </c>
      <c r="G84" s="256">
        <v>9397</v>
      </c>
      <c r="H84" s="256">
        <v>0</v>
      </c>
      <c r="I84" s="256">
        <v>0</v>
      </c>
      <c r="J84" s="256">
        <v>0</v>
      </c>
      <c r="K84" s="256">
        <v>0</v>
      </c>
      <c r="L84" s="256">
        <v>0</v>
      </c>
      <c r="M84" s="256">
        <v>0</v>
      </c>
      <c r="N84" s="256">
        <v>0</v>
      </c>
      <c r="O84" s="256">
        <v>0</v>
      </c>
      <c r="P84" s="256">
        <v>0</v>
      </c>
      <c r="Q84" s="256">
        <v>0</v>
      </c>
      <c r="R84" s="256">
        <v>0</v>
      </c>
      <c r="S84" s="256">
        <v>300</v>
      </c>
      <c r="T84" s="256">
        <v>0</v>
      </c>
      <c r="U84" s="256">
        <v>2765999.9200000004</v>
      </c>
      <c r="V84" s="256">
        <v>0</v>
      </c>
      <c r="W84" s="256">
        <v>0</v>
      </c>
      <c r="X84" s="256">
        <v>0</v>
      </c>
      <c r="Y84" s="256">
        <v>61092.520000000004</v>
      </c>
      <c r="Z84" s="256">
        <v>110769.63</v>
      </c>
      <c r="AA84" s="256">
        <v>0</v>
      </c>
      <c r="AB84" s="256">
        <v>75803.7</v>
      </c>
      <c r="AC84" s="256">
        <v>50</v>
      </c>
      <c r="AD84" s="256">
        <v>0</v>
      </c>
      <c r="AE84" s="256">
        <v>3981.5</v>
      </c>
      <c r="AF84" s="256">
        <v>1854709.13</v>
      </c>
      <c r="AG84" s="256">
        <v>469675.00000000006</v>
      </c>
      <c r="AH84" s="256">
        <v>818061.3</v>
      </c>
      <c r="AI84" s="256">
        <v>0</v>
      </c>
      <c r="AJ84" s="256">
        <v>0</v>
      </c>
      <c r="AK84" s="256">
        <v>0</v>
      </c>
      <c r="AL84" s="256">
        <v>0</v>
      </c>
      <c r="AM84" s="256">
        <v>5220</v>
      </c>
      <c r="AN84" s="256">
        <v>0</v>
      </c>
      <c r="AO84" s="256">
        <v>0</v>
      </c>
      <c r="AP84" s="256">
        <v>0</v>
      </c>
      <c r="AQ84" s="256">
        <v>0</v>
      </c>
      <c r="AR84" s="256">
        <v>0</v>
      </c>
      <c r="AS84" s="256">
        <v>0</v>
      </c>
      <c r="AT84" s="256">
        <v>1100</v>
      </c>
      <c r="AU84" s="256">
        <v>0</v>
      </c>
      <c r="AV84" s="256">
        <v>1538001.65</v>
      </c>
      <c r="AW84" s="256">
        <v>306240897.92000014</v>
      </c>
      <c r="AX84" s="256">
        <v>0</v>
      </c>
      <c r="AY84" s="256">
        <v>4155451.4400000004</v>
      </c>
      <c r="AZ84" s="256">
        <v>214130.81</v>
      </c>
      <c r="BA84" s="256">
        <v>0</v>
      </c>
      <c r="BB84" s="256">
        <v>-47539.180000000008</v>
      </c>
      <c r="BC84" s="256">
        <v>0</v>
      </c>
      <c r="BD84" s="256">
        <v>0</v>
      </c>
      <c r="BE84" s="256">
        <v>1864652.71</v>
      </c>
      <c r="BF84" s="256">
        <v>0</v>
      </c>
      <c r="BG84" s="256">
        <v>0</v>
      </c>
      <c r="BH84" s="256">
        <v>0</v>
      </c>
      <c r="BI84" s="256">
        <v>1282535.1299999997</v>
      </c>
      <c r="BJ84" s="256">
        <v>0</v>
      </c>
      <c r="BK84" s="256">
        <v>8943844.9199999999</v>
      </c>
      <c r="BL84" s="256">
        <v>0</v>
      </c>
      <c r="BM84" s="256">
        <v>0</v>
      </c>
      <c r="BN84" s="256">
        <v>3655027.0600000005</v>
      </c>
      <c r="BO84" s="256">
        <v>0</v>
      </c>
      <c r="BP84" s="256">
        <v>36920</v>
      </c>
      <c r="BQ84" s="256">
        <v>-822</v>
      </c>
      <c r="BR84" s="256">
        <v>55000</v>
      </c>
      <c r="BS84" s="256">
        <v>0</v>
      </c>
      <c r="BT84" s="256">
        <v>0</v>
      </c>
      <c r="BU84" s="256">
        <v>0</v>
      </c>
      <c r="BV84" s="256">
        <v>46763.87000000001</v>
      </c>
      <c r="BW84" s="256">
        <v>148045.85999999999</v>
      </c>
      <c r="BX84" s="256">
        <v>5730</v>
      </c>
      <c r="BY84" s="256">
        <v>171655.48</v>
      </c>
      <c r="BZ84" s="256">
        <v>0</v>
      </c>
      <c r="CA84" s="256">
        <v>0</v>
      </c>
      <c r="CB84" s="256">
        <v>0</v>
      </c>
      <c r="CC84" s="256">
        <v>51016280.039999992</v>
      </c>
      <c r="CD84" s="258">
        <v>0</v>
      </c>
      <c r="CE84" s="25">
        <v>382907206.68000019</v>
      </c>
    </row>
    <row r="85" spans="1:84" x14ac:dyDescent="0.25">
      <c r="A85" s="31" t="s">
        <v>283</v>
      </c>
      <c r="B85" s="25"/>
      <c r="C85" s="25">
        <v>105954230.2</v>
      </c>
      <c r="D85" s="25">
        <v>0</v>
      </c>
      <c r="E85" s="25">
        <v>122710279.75</v>
      </c>
      <c r="F85" s="25">
        <v>0</v>
      </c>
      <c r="G85" s="25">
        <v>7231899.0799999991</v>
      </c>
      <c r="H85" s="25">
        <v>24889423.630000003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85902261.470000014</v>
      </c>
      <c r="Q85" s="25">
        <v>18521667.489999998</v>
      </c>
      <c r="R85" s="25">
        <v>9753497.5600000005</v>
      </c>
      <c r="S85" s="25">
        <v>19781757.270000003</v>
      </c>
      <c r="T85" s="25">
        <v>2577556.0699999998</v>
      </c>
      <c r="U85" s="25">
        <v>66710262.359999999</v>
      </c>
      <c r="V85" s="25">
        <v>11833010.430000002</v>
      </c>
      <c r="W85" s="25">
        <v>3914266.2199999997</v>
      </c>
      <c r="X85" s="25">
        <v>3245430.82</v>
      </c>
      <c r="Y85" s="25">
        <v>33779611.679999992</v>
      </c>
      <c r="Z85" s="25">
        <v>3203329.98</v>
      </c>
      <c r="AA85" s="25">
        <v>1736157.0299999998</v>
      </c>
      <c r="AB85" s="25">
        <v>137112268.64000002</v>
      </c>
      <c r="AC85" s="25">
        <v>27959947.649999999</v>
      </c>
      <c r="AD85" s="25">
        <v>7556216.5000000009</v>
      </c>
      <c r="AE85" s="25">
        <v>17940074.179999996</v>
      </c>
      <c r="AF85" s="25">
        <v>27353203.77</v>
      </c>
      <c r="AG85" s="25">
        <v>45113126.439999998</v>
      </c>
      <c r="AH85" s="25">
        <v>6944800.7699999996</v>
      </c>
      <c r="AI85" s="25">
        <v>0</v>
      </c>
      <c r="AJ85" s="25">
        <v>213226563.00000003</v>
      </c>
      <c r="AK85" s="25">
        <v>4990343.9399999995</v>
      </c>
      <c r="AL85" s="25">
        <v>3408951.73</v>
      </c>
      <c r="AM85" s="25">
        <v>3714714.14</v>
      </c>
      <c r="AN85" s="25">
        <v>0</v>
      </c>
      <c r="AO85" s="25">
        <v>0</v>
      </c>
      <c r="AP85" s="25">
        <v>0</v>
      </c>
      <c r="AQ85" s="25">
        <v>0</v>
      </c>
      <c r="AR85" s="25">
        <v>22087210.420000006</v>
      </c>
      <c r="AS85" s="25">
        <v>0</v>
      </c>
      <c r="AT85" s="25">
        <v>3582128.9900000007</v>
      </c>
      <c r="AU85" s="25">
        <v>0</v>
      </c>
      <c r="AV85" s="25">
        <v>8695743.5499999989</v>
      </c>
      <c r="AW85" s="25">
        <v>180094480.78999996</v>
      </c>
      <c r="AX85" s="25">
        <v>1544578.3300000003</v>
      </c>
      <c r="AY85" s="25">
        <v>19761593.710000001</v>
      </c>
      <c r="AZ85" s="25">
        <v>586969.89999999991</v>
      </c>
      <c r="BA85" s="25">
        <v>4725630.74</v>
      </c>
      <c r="BB85" s="25">
        <v>28963313.200000003</v>
      </c>
      <c r="BC85" s="25">
        <v>437028.64</v>
      </c>
      <c r="BD85" s="25">
        <v>5158272.9200000009</v>
      </c>
      <c r="BE85" s="25">
        <v>86890545.350000009</v>
      </c>
      <c r="BF85" s="25">
        <v>20114287.860000003</v>
      </c>
      <c r="BG85" s="25">
        <v>5691673.5399999991</v>
      </c>
      <c r="BH85" s="25">
        <v>110688107.7</v>
      </c>
      <c r="BI85" s="25">
        <v>8928038.5800000001</v>
      </c>
      <c r="BJ85" s="25">
        <v>12765712.510000002</v>
      </c>
      <c r="BK85" s="25">
        <v>18224175.32</v>
      </c>
      <c r="BL85" s="25">
        <v>11173635.010000002</v>
      </c>
      <c r="BM85" s="25">
        <v>0</v>
      </c>
      <c r="BN85" s="25">
        <v>36045435.399999999</v>
      </c>
      <c r="BO85" s="25">
        <v>2316032.7599999998</v>
      </c>
      <c r="BP85" s="25">
        <v>11777311.880000001</v>
      </c>
      <c r="BQ85" s="25">
        <v>12356222.120000001</v>
      </c>
      <c r="BR85" s="25">
        <v>26032764.699999999</v>
      </c>
      <c r="BS85" s="25">
        <v>39962</v>
      </c>
      <c r="BT85" s="25">
        <v>1147249.9399999997</v>
      </c>
      <c r="BU85" s="25">
        <v>1583308.1</v>
      </c>
      <c r="BV85" s="25">
        <v>3927245.9600000004</v>
      </c>
      <c r="BW85" s="25">
        <v>40414289.469999991</v>
      </c>
      <c r="BX85" s="25">
        <v>21557166</v>
      </c>
      <c r="BY85" s="25">
        <v>17505168.459999997</v>
      </c>
      <c r="BZ85" s="25">
        <v>8774349.9000000004</v>
      </c>
      <c r="CA85" s="25">
        <v>0</v>
      </c>
      <c r="CB85" s="25">
        <v>0</v>
      </c>
      <c r="CC85" s="25">
        <v>88695873.5</v>
      </c>
      <c r="CD85" s="25">
        <v>82327939.219999999</v>
      </c>
      <c r="CE85" s="25">
        <v>1921678298.2700002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38">
        <v>0</v>
      </c>
    </row>
    <row r="87" spans="1:84" x14ac:dyDescent="0.25">
      <c r="A87" s="21" t="s">
        <v>285</v>
      </c>
      <c r="B87" s="16"/>
      <c r="C87" s="256">
        <v>639483933.10000014</v>
      </c>
      <c r="D87" s="256">
        <v>0</v>
      </c>
      <c r="E87" s="256">
        <v>567247401.45000005</v>
      </c>
      <c r="F87" s="256">
        <v>0</v>
      </c>
      <c r="G87" s="256">
        <v>30444294.600000001</v>
      </c>
      <c r="H87" s="256">
        <v>72585011</v>
      </c>
      <c r="I87" s="256">
        <v>0</v>
      </c>
      <c r="J87" s="256">
        <v>0</v>
      </c>
      <c r="K87" s="256">
        <v>0</v>
      </c>
      <c r="L87" s="256">
        <v>0</v>
      </c>
      <c r="M87" s="256">
        <v>0</v>
      </c>
      <c r="N87" s="256">
        <v>0</v>
      </c>
      <c r="O87" s="256">
        <v>0</v>
      </c>
      <c r="P87" s="256">
        <v>252049121.58999997</v>
      </c>
      <c r="Q87" s="256">
        <v>13357937.4</v>
      </c>
      <c r="R87" s="256">
        <v>59023310.399999999</v>
      </c>
      <c r="S87" s="256">
        <v>10630729.100000001</v>
      </c>
      <c r="T87" s="256">
        <v>0</v>
      </c>
      <c r="U87" s="256">
        <v>148297271.91</v>
      </c>
      <c r="V87" s="256">
        <v>39951120.899999999</v>
      </c>
      <c r="W87" s="256">
        <v>12153988.700000001</v>
      </c>
      <c r="X87" s="256">
        <v>13027926.750000002</v>
      </c>
      <c r="Y87" s="256">
        <v>58742019.170000002</v>
      </c>
      <c r="Z87" s="256">
        <v>4745223.9000000004</v>
      </c>
      <c r="AA87" s="256">
        <v>1126115.3499999999</v>
      </c>
      <c r="AB87" s="256">
        <v>294879158.54999995</v>
      </c>
      <c r="AC87" s="256">
        <v>20188194.300000001</v>
      </c>
      <c r="AD87" s="256">
        <v>22539940.5</v>
      </c>
      <c r="AE87" s="256">
        <v>6616178.3999999994</v>
      </c>
      <c r="AF87" s="256">
        <v>1743449.4000000001</v>
      </c>
      <c r="AG87" s="256">
        <v>29031698.200000003</v>
      </c>
      <c r="AH87" s="256">
        <v>1231928.2</v>
      </c>
      <c r="AI87" s="256">
        <v>0</v>
      </c>
      <c r="AJ87" s="256">
        <v>4313189.0999999996</v>
      </c>
      <c r="AK87" s="256">
        <v>7600634.6300000008</v>
      </c>
      <c r="AL87" s="256">
        <v>3752080.6999999997</v>
      </c>
      <c r="AM87" s="256">
        <v>0</v>
      </c>
      <c r="AN87" s="256">
        <v>0</v>
      </c>
      <c r="AO87" s="256">
        <v>0</v>
      </c>
      <c r="AP87" s="256">
        <v>0</v>
      </c>
      <c r="AQ87" s="256">
        <v>0</v>
      </c>
      <c r="AR87" s="256">
        <v>164117.89000000001</v>
      </c>
      <c r="AS87" s="256">
        <v>0</v>
      </c>
      <c r="AT87" s="256">
        <v>7270000.0000000009</v>
      </c>
      <c r="AU87" s="256">
        <v>0</v>
      </c>
      <c r="AV87" s="256">
        <v>23849185.100000001</v>
      </c>
      <c r="AW87" s="231" t="s">
        <v>246</v>
      </c>
      <c r="AX87" s="231" t="s">
        <v>246</v>
      </c>
      <c r="AY87" s="231" t="s">
        <v>246</v>
      </c>
      <c r="AZ87" s="231" t="s">
        <v>246</v>
      </c>
      <c r="BA87" s="231" t="s">
        <v>246</v>
      </c>
      <c r="BB87" s="231" t="s">
        <v>246</v>
      </c>
      <c r="BC87" s="231" t="s">
        <v>246</v>
      </c>
      <c r="BD87" s="231" t="s">
        <v>246</v>
      </c>
      <c r="BE87" s="231" t="s">
        <v>246</v>
      </c>
      <c r="BF87" s="231" t="s">
        <v>246</v>
      </c>
      <c r="BG87" s="231" t="s">
        <v>246</v>
      </c>
      <c r="BH87" s="231" t="s">
        <v>246</v>
      </c>
      <c r="BI87" s="231" t="s">
        <v>246</v>
      </c>
      <c r="BJ87" s="231" t="s">
        <v>246</v>
      </c>
      <c r="BK87" s="231" t="s">
        <v>246</v>
      </c>
      <c r="BL87" s="231" t="s">
        <v>246</v>
      </c>
      <c r="BM87" s="231" t="s">
        <v>246</v>
      </c>
      <c r="BN87" s="231" t="s">
        <v>246</v>
      </c>
      <c r="BO87" s="231" t="s">
        <v>246</v>
      </c>
      <c r="BP87" s="231" t="s">
        <v>246</v>
      </c>
      <c r="BQ87" s="231" t="s">
        <v>246</v>
      </c>
      <c r="BR87" s="231" t="s">
        <v>246</v>
      </c>
      <c r="BS87" s="231" t="s">
        <v>246</v>
      </c>
      <c r="BT87" s="231" t="s">
        <v>246</v>
      </c>
      <c r="BU87" s="231" t="s">
        <v>246</v>
      </c>
      <c r="BV87" s="231" t="s">
        <v>246</v>
      </c>
      <c r="BW87" s="231" t="s">
        <v>246</v>
      </c>
      <c r="BX87" s="231" t="s">
        <v>246</v>
      </c>
      <c r="BY87" s="231" t="s">
        <v>246</v>
      </c>
      <c r="BZ87" s="231" t="s">
        <v>246</v>
      </c>
      <c r="CA87" s="231" t="s">
        <v>246</v>
      </c>
      <c r="CB87" s="231" t="s">
        <v>246</v>
      </c>
      <c r="CC87" s="231" t="s">
        <v>246</v>
      </c>
      <c r="CD87" s="231" t="s">
        <v>246</v>
      </c>
      <c r="CE87" s="232">
        <v>2346045160.29</v>
      </c>
    </row>
    <row r="88" spans="1:84" x14ac:dyDescent="0.25">
      <c r="A88" s="21" t="s">
        <v>286</v>
      </c>
      <c r="B88" s="16"/>
      <c r="C88" s="256">
        <v>1060374.3999999999</v>
      </c>
      <c r="D88" s="256">
        <v>0</v>
      </c>
      <c r="E88" s="256">
        <v>48894525.599999994</v>
      </c>
      <c r="F88" s="256">
        <v>0</v>
      </c>
      <c r="G88" s="256">
        <v>2423889</v>
      </c>
      <c r="H88" s="256">
        <v>140475.1</v>
      </c>
      <c r="I88" s="256">
        <v>0</v>
      </c>
      <c r="J88" s="256">
        <v>0</v>
      </c>
      <c r="K88" s="256">
        <v>0</v>
      </c>
      <c r="L88" s="256">
        <v>0</v>
      </c>
      <c r="M88" s="256">
        <v>0</v>
      </c>
      <c r="N88" s="256">
        <v>0</v>
      </c>
      <c r="O88" s="256">
        <v>0</v>
      </c>
      <c r="P88" s="256">
        <v>245413157.98000002</v>
      </c>
      <c r="Q88" s="256">
        <v>36811430.100000001</v>
      </c>
      <c r="R88" s="256">
        <v>67117338.599999994</v>
      </c>
      <c r="S88" s="256">
        <v>12479259.020000003</v>
      </c>
      <c r="T88" s="256">
        <v>0</v>
      </c>
      <c r="U88" s="256">
        <v>135320018.07999998</v>
      </c>
      <c r="V88" s="256">
        <v>62047285.170000002</v>
      </c>
      <c r="W88" s="256">
        <v>43353128.300000004</v>
      </c>
      <c r="X88" s="256">
        <v>21850902.5</v>
      </c>
      <c r="Y88" s="256">
        <v>117020236.25999999</v>
      </c>
      <c r="Z88" s="256">
        <v>1368154.4</v>
      </c>
      <c r="AA88" s="256">
        <v>3780020.3999999994</v>
      </c>
      <c r="AB88" s="256">
        <v>269667726.81999999</v>
      </c>
      <c r="AC88" s="256">
        <v>1334342.5999999999</v>
      </c>
      <c r="AD88" s="256">
        <v>23654883.699999999</v>
      </c>
      <c r="AE88" s="256">
        <v>19819880.25</v>
      </c>
      <c r="AF88" s="256">
        <v>13694814.129999999</v>
      </c>
      <c r="AG88" s="256">
        <v>125369978.39999998</v>
      </c>
      <c r="AH88" s="256">
        <v>522048.40000000008</v>
      </c>
      <c r="AI88" s="256">
        <v>0</v>
      </c>
      <c r="AJ88" s="256">
        <v>167037963.67999998</v>
      </c>
      <c r="AK88" s="256">
        <v>3496947.8500000006</v>
      </c>
      <c r="AL88" s="256">
        <v>6684445.5000000009</v>
      </c>
      <c r="AM88" s="256">
        <v>0</v>
      </c>
      <c r="AN88" s="256">
        <v>0</v>
      </c>
      <c r="AO88" s="256">
        <v>0</v>
      </c>
      <c r="AP88" s="256">
        <v>0</v>
      </c>
      <c r="AQ88" s="256">
        <v>0</v>
      </c>
      <c r="AR88" s="256">
        <v>79902189.969999999</v>
      </c>
      <c r="AS88" s="256">
        <v>0</v>
      </c>
      <c r="AT88" s="256">
        <v>0</v>
      </c>
      <c r="AU88" s="256">
        <v>0</v>
      </c>
      <c r="AV88" s="256">
        <v>65442.229999999989</v>
      </c>
      <c r="AW88" s="231" t="s">
        <v>246</v>
      </c>
      <c r="AX88" s="231" t="s">
        <v>246</v>
      </c>
      <c r="AY88" s="231" t="s">
        <v>246</v>
      </c>
      <c r="AZ88" s="231" t="s">
        <v>246</v>
      </c>
      <c r="BA88" s="231" t="s">
        <v>246</v>
      </c>
      <c r="BB88" s="231" t="s">
        <v>246</v>
      </c>
      <c r="BC88" s="231" t="s">
        <v>246</v>
      </c>
      <c r="BD88" s="231" t="s">
        <v>246</v>
      </c>
      <c r="BE88" s="231" t="s">
        <v>246</v>
      </c>
      <c r="BF88" s="231" t="s">
        <v>246</v>
      </c>
      <c r="BG88" s="231" t="s">
        <v>246</v>
      </c>
      <c r="BH88" s="231" t="s">
        <v>246</v>
      </c>
      <c r="BI88" s="231" t="s">
        <v>246</v>
      </c>
      <c r="BJ88" s="231" t="s">
        <v>246</v>
      </c>
      <c r="BK88" s="231" t="s">
        <v>246</v>
      </c>
      <c r="BL88" s="231" t="s">
        <v>246</v>
      </c>
      <c r="BM88" s="231" t="s">
        <v>246</v>
      </c>
      <c r="BN88" s="231" t="s">
        <v>246</v>
      </c>
      <c r="BO88" s="231" t="s">
        <v>246</v>
      </c>
      <c r="BP88" s="231" t="s">
        <v>246</v>
      </c>
      <c r="BQ88" s="231" t="s">
        <v>246</v>
      </c>
      <c r="BR88" s="231" t="s">
        <v>246</v>
      </c>
      <c r="BS88" s="231" t="s">
        <v>246</v>
      </c>
      <c r="BT88" s="231" t="s">
        <v>246</v>
      </c>
      <c r="BU88" s="231" t="s">
        <v>246</v>
      </c>
      <c r="BV88" s="231" t="s">
        <v>246</v>
      </c>
      <c r="BW88" s="231" t="s">
        <v>246</v>
      </c>
      <c r="BX88" s="231" t="s">
        <v>246</v>
      </c>
      <c r="BY88" s="231" t="s">
        <v>246</v>
      </c>
      <c r="BZ88" s="231" t="s">
        <v>246</v>
      </c>
      <c r="CA88" s="231" t="s">
        <v>246</v>
      </c>
      <c r="CB88" s="231" t="s">
        <v>246</v>
      </c>
      <c r="CC88" s="231" t="s">
        <v>246</v>
      </c>
      <c r="CD88" s="231" t="s">
        <v>246</v>
      </c>
      <c r="CE88" s="232">
        <v>1510330858.4400001</v>
      </c>
    </row>
    <row r="89" spans="1:84" x14ac:dyDescent="0.25">
      <c r="A89" s="21" t="s">
        <v>287</v>
      </c>
      <c r="B89" s="16"/>
      <c r="C89" s="25">
        <v>640544307.50000012</v>
      </c>
      <c r="D89" s="25">
        <v>0</v>
      </c>
      <c r="E89" s="25">
        <v>616141927.05000007</v>
      </c>
      <c r="F89" s="25">
        <v>0</v>
      </c>
      <c r="G89" s="25">
        <v>32868183.600000001</v>
      </c>
      <c r="H89" s="25">
        <v>72725486.099999994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497462279.56999999</v>
      </c>
      <c r="Q89" s="25">
        <v>50169367.5</v>
      </c>
      <c r="R89" s="25">
        <v>126140649</v>
      </c>
      <c r="S89" s="25">
        <v>23109988.120000005</v>
      </c>
      <c r="T89" s="25">
        <v>0</v>
      </c>
      <c r="U89" s="25">
        <v>283617289.99000001</v>
      </c>
      <c r="V89" s="25">
        <v>101998406.06999999</v>
      </c>
      <c r="W89" s="25">
        <v>55507117.000000007</v>
      </c>
      <c r="X89" s="25">
        <v>34878829.25</v>
      </c>
      <c r="Y89" s="25">
        <v>175762255.43000001</v>
      </c>
      <c r="Z89" s="25">
        <v>6113378.3000000007</v>
      </c>
      <c r="AA89" s="25">
        <v>4906135.7499999991</v>
      </c>
      <c r="AB89" s="25">
        <v>564546885.36999989</v>
      </c>
      <c r="AC89" s="25">
        <v>21522536.900000002</v>
      </c>
      <c r="AD89" s="25">
        <v>46194824.200000003</v>
      </c>
      <c r="AE89" s="25">
        <v>26436058.649999999</v>
      </c>
      <c r="AF89" s="25">
        <v>15438263.529999999</v>
      </c>
      <c r="AG89" s="25">
        <v>154401676.59999996</v>
      </c>
      <c r="AH89" s="25">
        <v>1753976.6</v>
      </c>
      <c r="AI89" s="25">
        <v>0</v>
      </c>
      <c r="AJ89" s="25">
        <v>171351152.77999997</v>
      </c>
      <c r="AK89" s="25">
        <v>11097582.48</v>
      </c>
      <c r="AL89" s="25">
        <v>10436526.200000001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80066307.859999999</v>
      </c>
      <c r="AS89" s="25">
        <v>0</v>
      </c>
      <c r="AT89" s="25">
        <v>7270000.0000000009</v>
      </c>
      <c r="AU89" s="25">
        <v>0</v>
      </c>
      <c r="AV89" s="25">
        <v>23914627.330000002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v>3856376018.7300005</v>
      </c>
    </row>
    <row r="90" spans="1:84" x14ac:dyDescent="0.25">
      <c r="A90" s="31" t="s">
        <v>288</v>
      </c>
      <c r="B90" s="25"/>
      <c r="C90" s="237">
        <v>147274.51134446636</v>
      </c>
      <c r="D90" s="237">
        <v>0</v>
      </c>
      <c r="E90" s="237">
        <v>331762.09220287472</v>
      </c>
      <c r="F90" s="237">
        <v>0</v>
      </c>
      <c r="G90" s="237">
        <v>21293.817048683759</v>
      </c>
      <c r="H90" s="237">
        <v>60558.058360280651</v>
      </c>
      <c r="I90" s="237">
        <v>0</v>
      </c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187504.58501266153</v>
      </c>
      <c r="Q90" s="237">
        <v>20479.895054121218</v>
      </c>
      <c r="R90" s="237">
        <v>12111.980617237848</v>
      </c>
      <c r="S90" s="237">
        <v>64849.202162595335</v>
      </c>
      <c r="T90" s="237">
        <v>743.346379893419</v>
      </c>
      <c r="U90" s="237">
        <v>78700.447367834524</v>
      </c>
      <c r="V90" s="237">
        <v>16066.363131824939</v>
      </c>
      <c r="W90" s="237">
        <v>18840.548569239232</v>
      </c>
      <c r="X90" s="237">
        <v>5149.0719950492894</v>
      </c>
      <c r="Y90" s="237">
        <v>73069.60263646509</v>
      </c>
      <c r="Z90" s="237">
        <v>609.97908403218548</v>
      </c>
      <c r="AA90" s="237">
        <v>2351.7112681638869</v>
      </c>
      <c r="AB90" s="237">
        <v>47026.523254357067</v>
      </c>
      <c r="AC90" s="237">
        <v>6682.7380959672573</v>
      </c>
      <c r="AD90" s="237">
        <v>5212.0370807000436</v>
      </c>
      <c r="AE90" s="237">
        <v>43228.709808772794</v>
      </c>
      <c r="AF90" s="237">
        <v>61615.565856281013</v>
      </c>
      <c r="AG90" s="237">
        <v>76747.001501729799</v>
      </c>
      <c r="AH90" s="237">
        <v>1755.1999304199135</v>
      </c>
      <c r="AI90" s="237">
        <v>0</v>
      </c>
      <c r="AJ90" s="237">
        <v>291634.09790332417</v>
      </c>
      <c r="AK90" s="237">
        <v>11591.009099442774</v>
      </c>
      <c r="AL90" s="237">
        <v>2515.9638248262704</v>
      </c>
      <c r="AM90" s="237">
        <v>8795</v>
      </c>
      <c r="AN90" s="237">
        <v>0</v>
      </c>
      <c r="AO90" s="237">
        <v>0</v>
      </c>
      <c r="AP90" s="237">
        <v>0</v>
      </c>
      <c r="AQ90" s="237">
        <v>0</v>
      </c>
      <c r="AR90" s="237">
        <v>889.48780420827825</v>
      </c>
      <c r="AS90" s="237">
        <v>0</v>
      </c>
      <c r="AT90" s="237">
        <v>1114.3960909185803</v>
      </c>
      <c r="AU90" s="237">
        <v>0</v>
      </c>
      <c r="AV90" s="237">
        <v>1422.9647777974374</v>
      </c>
      <c r="AW90" s="237">
        <v>17366.210274534191</v>
      </c>
      <c r="AX90" s="237">
        <v>0</v>
      </c>
      <c r="AY90" s="237">
        <v>56440.351918379165</v>
      </c>
      <c r="AZ90" s="237">
        <v>1614.172950043017</v>
      </c>
      <c r="BA90" s="237">
        <v>1318.51985782888</v>
      </c>
      <c r="BB90" s="237">
        <v>19701.271189450435</v>
      </c>
      <c r="BC90" s="237">
        <v>1005.3193994865622</v>
      </c>
      <c r="BD90" s="237">
        <v>0</v>
      </c>
      <c r="BE90" s="237">
        <v>496043.22251868312</v>
      </c>
      <c r="BF90" s="237">
        <v>9353.0310688205427</v>
      </c>
      <c r="BG90" s="237">
        <v>2143.5091129394768</v>
      </c>
      <c r="BH90" s="237">
        <v>15521.27255392908</v>
      </c>
      <c r="BI90" s="237">
        <v>2354.4342472402809</v>
      </c>
      <c r="BJ90" s="237">
        <v>0</v>
      </c>
      <c r="BK90" s="237">
        <v>0</v>
      </c>
      <c r="BL90" s="237">
        <v>5534.1827908382438</v>
      </c>
      <c r="BM90" s="237">
        <v>0</v>
      </c>
      <c r="BN90" s="237">
        <v>23966.791175827711</v>
      </c>
      <c r="BO90" s="237">
        <v>701.45600660107721</v>
      </c>
      <c r="BP90" s="237">
        <v>2998.0277708890508</v>
      </c>
      <c r="BQ90" s="237">
        <v>0</v>
      </c>
      <c r="BR90" s="237">
        <v>57.105745631912548</v>
      </c>
      <c r="BS90" s="237">
        <v>736.92538121666325</v>
      </c>
      <c r="BT90" s="237">
        <v>5753.5829218728477</v>
      </c>
      <c r="BU90" s="237">
        <v>6427.1424733071972</v>
      </c>
      <c r="BV90" s="237">
        <v>439.87138205180321</v>
      </c>
      <c r="BW90" s="237">
        <v>32638.014839335359</v>
      </c>
      <c r="BX90" s="237">
        <v>6647.8925098425416</v>
      </c>
      <c r="BY90" s="237">
        <v>5662.5196802696264</v>
      </c>
      <c r="BZ90" s="237">
        <v>143.72770037314487</v>
      </c>
      <c r="CA90" s="237">
        <v>0</v>
      </c>
      <c r="CB90" s="237">
        <v>0</v>
      </c>
      <c r="CC90" s="237">
        <v>72030.701360313207</v>
      </c>
      <c r="CD90" s="223" t="s">
        <v>246</v>
      </c>
      <c r="CE90" s="25">
        <v>2388195.1640938744</v>
      </c>
      <c r="CF90" s="25">
        <v>-0.86409387458115816</v>
      </c>
    </row>
    <row r="91" spans="1:84" x14ac:dyDescent="0.25">
      <c r="A91" s="21" t="s">
        <v>289</v>
      </c>
      <c r="B91" s="16"/>
      <c r="C91" s="237">
        <v>0</v>
      </c>
      <c r="D91" s="237">
        <v>0</v>
      </c>
      <c r="E91" s="237">
        <v>0</v>
      </c>
      <c r="F91" s="237">
        <v>0</v>
      </c>
      <c r="G91" s="237">
        <v>0</v>
      </c>
      <c r="H91" s="237">
        <v>0</v>
      </c>
      <c r="I91" s="237">
        <v>0</v>
      </c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0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0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0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1" t="s">
        <v>246</v>
      </c>
      <c r="AY91" s="231" t="s">
        <v>246</v>
      </c>
      <c r="AZ91" s="237">
        <v>0</v>
      </c>
      <c r="BA91" s="237">
        <v>0</v>
      </c>
      <c r="BB91" s="237">
        <v>0</v>
      </c>
      <c r="BC91" s="237">
        <v>0</v>
      </c>
      <c r="BD91" s="231" t="s">
        <v>246</v>
      </c>
      <c r="BE91" s="231" t="s">
        <v>246</v>
      </c>
      <c r="BF91" s="237">
        <v>0</v>
      </c>
      <c r="BG91" s="231" t="s">
        <v>246</v>
      </c>
      <c r="BH91" s="237">
        <v>0</v>
      </c>
      <c r="BI91" s="237">
        <v>0</v>
      </c>
      <c r="BJ91" s="231" t="s">
        <v>246</v>
      </c>
      <c r="BK91" s="237">
        <v>0</v>
      </c>
      <c r="BL91" s="237">
        <v>0</v>
      </c>
      <c r="BM91" s="237">
        <v>0</v>
      </c>
      <c r="BN91" s="231" t="s">
        <v>246</v>
      </c>
      <c r="BO91" s="231" t="s">
        <v>246</v>
      </c>
      <c r="BP91" s="231" t="s">
        <v>246</v>
      </c>
      <c r="BQ91" s="231" t="s">
        <v>246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31" t="s">
        <v>246</v>
      </c>
      <c r="CD91" s="24" t="s">
        <v>246</v>
      </c>
      <c r="CE91" s="25">
        <v>0</v>
      </c>
      <c r="CF91" s="25">
        <v>1067133</v>
      </c>
    </row>
    <row r="92" spans="1:84" x14ac:dyDescent="0.25">
      <c r="A92" s="21" t="s">
        <v>290</v>
      </c>
      <c r="B92" s="16"/>
      <c r="C92" s="237">
        <v>76840.748566190392</v>
      </c>
      <c r="D92" s="237">
        <v>0</v>
      </c>
      <c r="E92" s="237">
        <v>135071.183225243</v>
      </c>
      <c r="F92" s="237">
        <v>0</v>
      </c>
      <c r="G92" s="237">
        <v>6721.03898010803</v>
      </c>
      <c r="H92" s="237">
        <v>19114.143315336798</v>
      </c>
      <c r="I92" s="237">
        <v>0</v>
      </c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49226.342007755382</v>
      </c>
      <c r="Q92" s="237">
        <v>4309.4253651994168</v>
      </c>
      <c r="R92" s="237">
        <v>2548.6300763159934</v>
      </c>
      <c r="S92" s="237">
        <v>13645.714295601161</v>
      </c>
      <c r="T92" s="237">
        <v>209.48254856549585</v>
      </c>
      <c r="U92" s="237">
        <v>15584.298499573797</v>
      </c>
      <c r="V92" s="237">
        <v>3299.6587132430413</v>
      </c>
      <c r="W92" s="237">
        <v>3964.4704078799814</v>
      </c>
      <c r="X92" s="237">
        <v>1083.4792563176798</v>
      </c>
      <c r="Y92" s="237">
        <v>12177.643669826521</v>
      </c>
      <c r="Z92" s="237">
        <v>128.35316440942586</v>
      </c>
      <c r="AA92" s="237">
        <v>494.85234977370408</v>
      </c>
      <c r="AB92" s="237">
        <v>9219.3336092583813</v>
      </c>
      <c r="AC92" s="237">
        <v>1406.1967106589507</v>
      </c>
      <c r="AD92" s="237">
        <v>1096.7285105989265</v>
      </c>
      <c r="AE92" s="237">
        <v>6690.2721829557149</v>
      </c>
      <c r="AF92" s="237">
        <v>6069.993575437471</v>
      </c>
      <c r="AG92" s="237">
        <v>24223.913801843271</v>
      </c>
      <c r="AH92" s="237">
        <v>369.33309868820476</v>
      </c>
      <c r="AI92" s="237">
        <v>0</v>
      </c>
      <c r="AJ92" s="237">
        <v>53898.549310353032</v>
      </c>
      <c r="AK92" s="237">
        <v>2439.0060832535487</v>
      </c>
      <c r="AL92" s="237">
        <v>529.41474045535392</v>
      </c>
      <c r="AM92" s="237">
        <v>2643.3776601130971</v>
      </c>
      <c r="AN92" s="237">
        <v>0</v>
      </c>
      <c r="AO92" s="237">
        <v>0</v>
      </c>
      <c r="AP92" s="237">
        <v>0</v>
      </c>
      <c r="AQ92" s="237">
        <v>0</v>
      </c>
      <c r="AR92" s="237">
        <v>187.16801503918487</v>
      </c>
      <c r="AS92" s="237">
        <v>0</v>
      </c>
      <c r="AT92" s="237">
        <v>167.46064190637787</v>
      </c>
      <c r="AU92" s="237">
        <v>0</v>
      </c>
      <c r="AV92" s="237">
        <v>311.11068797943921</v>
      </c>
      <c r="AW92" s="237">
        <v>2786.8630341422095</v>
      </c>
      <c r="AX92" s="231" t="s">
        <v>246</v>
      </c>
      <c r="AY92" s="231" t="s">
        <v>246</v>
      </c>
      <c r="AZ92" s="231" t="s">
        <v>246</v>
      </c>
      <c r="BA92" s="237">
        <v>138.72295011354296</v>
      </c>
      <c r="BB92" s="237">
        <v>2093.3286583838976</v>
      </c>
      <c r="BC92" s="237">
        <v>105.77077931370137</v>
      </c>
      <c r="BD92" s="231" t="s">
        <v>246</v>
      </c>
      <c r="BE92" s="231" t="s">
        <v>246</v>
      </c>
      <c r="BF92" s="231" t="s">
        <v>246</v>
      </c>
      <c r="BG92" s="231" t="s">
        <v>246</v>
      </c>
      <c r="BH92" s="237">
        <v>1488.029405285843</v>
      </c>
      <c r="BI92" s="237">
        <v>207.22974894020695</v>
      </c>
      <c r="BJ92" s="231" t="s">
        <v>246</v>
      </c>
      <c r="BK92" s="237">
        <v>0</v>
      </c>
      <c r="BL92" s="237">
        <v>582.46723681553078</v>
      </c>
      <c r="BM92" s="237">
        <v>0</v>
      </c>
      <c r="BN92" s="231" t="s">
        <v>246</v>
      </c>
      <c r="BO92" s="231" t="s">
        <v>246</v>
      </c>
      <c r="BP92" s="231" t="s">
        <v>246</v>
      </c>
      <c r="BQ92" s="231" t="s">
        <v>246</v>
      </c>
      <c r="BR92" s="231" t="s">
        <v>246</v>
      </c>
      <c r="BS92" s="237">
        <v>77.532744227497417</v>
      </c>
      <c r="BT92" s="237">
        <v>605.34089942290859</v>
      </c>
      <c r="BU92" s="237">
        <v>676.20685377113227</v>
      </c>
      <c r="BV92" s="237">
        <v>28.012417262692082</v>
      </c>
      <c r="BW92" s="237">
        <v>6639.0943741956789</v>
      </c>
      <c r="BX92" s="237">
        <v>404.20535062835108</v>
      </c>
      <c r="BY92" s="237">
        <v>574.63202424972269</v>
      </c>
      <c r="BZ92" s="237">
        <v>45.365256709055174</v>
      </c>
      <c r="CA92" s="237">
        <v>0</v>
      </c>
      <c r="CB92" s="237">
        <v>0</v>
      </c>
      <c r="CC92" s="231" t="s">
        <v>246</v>
      </c>
      <c r="CD92" s="24" t="s">
        <v>246</v>
      </c>
      <c r="CE92" s="25">
        <v>470124.12480334251</v>
      </c>
      <c r="CF92" s="16"/>
    </row>
    <row r="93" spans="1:84" x14ac:dyDescent="0.25">
      <c r="A93" s="21" t="s">
        <v>291</v>
      </c>
      <c r="B93" s="16"/>
      <c r="C93" s="240">
        <v>1089336</v>
      </c>
      <c r="D93" s="240">
        <v>0</v>
      </c>
      <c r="E93" s="237">
        <v>1589861</v>
      </c>
      <c r="F93" s="237">
        <v>0</v>
      </c>
      <c r="G93" s="237">
        <v>38072</v>
      </c>
      <c r="H93" s="237">
        <v>230750</v>
      </c>
      <c r="I93" s="237">
        <v>0</v>
      </c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0</v>
      </c>
      <c r="Q93" s="237">
        <v>0</v>
      </c>
      <c r="R93" s="237">
        <v>0</v>
      </c>
      <c r="S93" s="237">
        <v>29114</v>
      </c>
      <c r="T93" s="237">
        <v>0</v>
      </c>
      <c r="U93" s="237">
        <v>0</v>
      </c>
      <c r="V93" s="237">
        <v>49457</v>
      </c>
      <c r="W93" s="237">
        <v>0</v>
      </c>
      <c r="X93" s="237">
        <v>0</v>
      </c>
      <c r="Y93" s="237">
        <v>278191</v>
      </c>
      <c r="Z93" s="237">
        <v>0</v>
      </c>
      <c r="AA93" s="237">
        <v>0</v>
      </c>
      <c r="AB93" s="237">
        <v>14237</v>
      </c>
      <c r="AC93" s="237">
        <v>0</v>
      </c>
      <c r="AD93" s="237">
        <v>0</v>
      </c>
      <c r="AE93" s="237">
        <v>0</v>
      </c>
      <c r="AF93" s="237">
        <v>0</v>
      </c>
      <c r="AG93" s="237">
        <v>85116</v>
      </c>
      <c r="AH93" s="237">
        <v>0</v>
      </c>
      <c r="AI93" s="237">
        <v>0</v>
      </c>
      <c r="AJ93" s="237">
        <v>102208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0</v>
      </c>
      <c r="AW93" s="237">
        <v>0</v>
      </c>
      <c r="AX93" s="231" t="s">
        <v>246</v>
      </c>
      <c r="AY93" s="231" t="s">
        <v>246</v>
      </c>
      <c r="AZ93" s="231" t="s">
        <v>246</v>
      </c>
      <c r="BA93" s="231" t="s">
        <v>246</v>
      </c>
      <c r="BB93" s="237">
        <v>0</v>
      </c>
      <c r="BC93" s="237">
        <v>0</v>
      </c>
      <c r="BD93" s="231" t="s">
        <v>246</v>
      </c>
      <c r="BE93" s="231" t="s">
        <v>246</v>
      </c>
      <c r="BF93" s="231" t="s">
        <v>246</v>
      </c>
      <c r="BG93" s="231" t="s">
        <v>246</v>
      </c>
      <c r="BH93" s="237">
        <v>0</v>
      </c>
      <c r="BI93" s="239">
        <v>0</v>
      </c>
      <c r="BJ93" s="231" t="s">
        <v>246</v>
      </c>
      <c r="BK93" s="237">
        <v>0</v>
      </c>
      <c r="BL93" s="237">
        <v>0</v>
      </c>
      <c r="BM93" s="237">
        <v>0</v>
      </c>
      <c r="BN93" s="231" t="s">
        <v>246</v>
      </c>
      <c r="BO93" s="231" t="s">
        <v>246</v>
      </c>
      <c r="BP93" s="231" t="s">
        <v>246</v>
      </c>
      <c r="BQ93" s="231" t="s">
        <v>246</v>
      </c>
      <c r="BR93" s="231" t="s">
        <v>246</v>
      </c>
      <c r="BS93" s="237">
        <v>0</v>
      </c>
      <c r="BT93" s="237">
        <v>0</v>
      </c>
      <c r="BU93" s="237">
        <v>0</v>
      </c>
      <c r="BV93" s="237">
        <v>0</v>
      </c>
      <c r="BW93" s="237">
        <v>0</v>
      </c>
      <c r="BX93" s="237">
        <v>0</v>
      </c>
      <c r="BY93" s="237">
        <v>0</v>
      </c>
      <c r="BZ93" s="237">
        <v>0</v>
      </c>
      <c r="CA93" s="237">
        <v>0</v>
      </c>
      <c r="CB93" s="237">
        <v>0</v>
      </c>
      <c r="CC93" s="231" t="s">
        <v>246</v>
      </c>
      <c r="CD93" s="24" t="s">
        <v>246</v>
      </c>
      <c r="CE93" s="25">
        <v>3506342</v>
      </c>
      <c r="CF93" s="25">
        <v>0</v>
      </c>
    </row>
    <row r="94" spans="1:84" x14ac:dyDescent="0.25">
      <c r="A94" s="21" t="s">
        <v>292</v>
      </c>
      <c r="B94" s="16"/>
      <c r="C94" s="257">
        <v>304.77770056050798</v>
      </c>
      <c r="D94" s="259">
        <v>0</v>
      </c>
      <c r="E94" s="259">
        <v>426.41</v>
      </c>
      <c r="F94" s="259">
        <v>0</v>
      </c>
      <c r="G94" s="259">
        <v>22.71</v>
      </c>
      <c r="H94" s="259">
        <v>38.729999999999997</v>
      </c>
      <c r="I94" s="259">
        <v>0</v>
      </c>
      <c r="J94" s="259">
        <v>0</v>
      </c>
      <c r="K94" s="259">
        <v>0</v>
      </c>
      <c r="L94" s="259">
        <v>0</v>
      </c>
      <c r="M94" s="259">
        <v>0</v>
      </c>
      <c r="N94" s="259">
        <v>0</v>
      </c>
      <c r="O94" s="259">
        <v>0</v>
      </c>
      <c r="P94" s="259">
        <v>68.989999999999995</v>
      </c>
      <c r="Q94" s="259">
        <v>49.32</v>
      </c>
      <c r="R94" s="259">
        <v>0.24</v>
      </c>
      <c r="S94" s="259">
        <v>0</v>
      </c>
      <c r="T94" s="259">
        <v>10.039999999999999</v>
      </c>
      <c r="U94" s="259">
        <v>0</v>
      </c>
      <c r="V94" s="259">
        <v>1.06</v>
      </c>
      <c r="W94" s="259">
        <v>0</v>
      </c>
      <c r="X94" s="259">
        <v>0</v>
      </c>
      <c r="Y94" s="259">
        <v>19.5</v>
      </c>
      <c r="Z94" s="259">
        <v>0</v>
      </c>
      <c r="AA94" s="259">
        <v>0</v>
      </c>
      <c r="AB94" s="259">
        <v>0</v>
      </c>
      <c r="AC94" s="259">
        <v>0</v>
      </c>
      <c r="AD94" s="259">
        <v>25.64</v>
      </c>
      <c r="AE94" s="259">
        <v>0</v>
      </c>
      <c r="AF94" s="259">
        <v>7.17</v>
      </c>
      <c r="AG94" s="259">
        <v>67.41</v>
      </c>
      <c r="AH94" s="259">
        <v>11.05</v>
      </c>
      <c r="AI94" s="259">
        <v>0</v>
      </c>
      <c r="AJ94" s="259">
        <v>300.24</v>
      </c>
      <c r="AK94" s="259">
        <v>0</v>
      </c>
      <c r="AL94" s="259">
        <v>0</v>
      </c>
      <c r="AM94" s="259">
        <v>0</v>
      </c>
      <c r="AN94" s="259">
        <v>0</v>
      </c>
      <c r="AO94" s="259">
        <v>0</v>
      </c>
      <c r="AP94" s="259">
        <v>0</v>
      </c>
      <c r="AQ94" s="259">
        <v>0</v>
      </c>
      <c r="AR94" s="259">
        <v>5.29</v>
      </c>
      <c r="AS94" s="259">
        <v>0</v>
      </c>
      <c r="AT94" s="259">
        <v>2.4</v>
      </c>
      <c r="AU94" s="259">
        <v>0</v>
      </c>
      <c r="AV94" s="259">
        <v>8.49</v>
      </c>
      <c r="AW94" s="231" t="s">
        <v>246</v>
      </c>
      <c r="AX94" s="231" t="s">
        <v>246</v>
      </c>
      <c r="AY94" s="231" t="s">
        <v>246</v>
      </c>
      <c r="AZ94" s="231" t="s">
        <v>246</v>
      </c>
      <c r="BA94" s="231" t="s">
        <v>246</v>
      </c>
      <c r="BB94" s="231" t="s">
        <v>246</v>
      </c>
      <c r="BC94" s="231" t="s">
        <v>246</v>
      </c>
      <c r="BD94" s="231" t="s">
        <v>246</v>
      </c>
      <c r="BE94" s="231" t="s">
        <v>246</v>
      </c>
      <c r="BF94" s="231" t="s">
        <v>246</v>
      </c>
      <c r="BG94" s="231" t="s">
        <v>246</v>
      </c>
      <c r="BH94" s="231" t="s">
        <v>246</v>
      </c>
      <c r="BI94" s="231" t="s">
        <v>246</v>
      </c>
      <c r="BJ94" s="231" t="s">
        <v>246</v>
      </c>
      <c r="BK94" s="231" t="s">
        <v>246</v>
      </c>
      <c r="BL94" s="231" t="s">
        <v>246</v>
      </c>
      <c r="BM94" s="231" t="s">
        <v>246</v>
      </c>
      <c r="BN94" s="231" t="s">
        <v>246</v>
      </c>
      <c r="BO94" s="231" t="s">
        <v>246</v>
      </c>
      <c r="BP94" s="231" t="s">
        <v>246</v>
      </c>
      <c r="BQ94" s="231" t="s">
        <v>246</v>
      </c>
      <c r="BR94" s="231" t="s">
        <v>246</v>
      </c>
      <c r="BS94" s="231" t="s">
        <v>246</v>
      </c>
      <c r="BT94" s="231" t="s">
        <v>246</v>
      </c>
      <c r="BU94" s="233"/>
      <c r="BV94" s="233"/>
      <c r="BW94" s="233"/>
      <c r="BX94" s="233"/>
      <c r="BY94" s="233"/>
      <c r="BZ94" s="233"/>
      <c r="CA94" s="233"/>
      <c r="CB94" s="233"/>
      <c r="CC94" s="231" t="s">
        <v>246</v>
      </c>
      <c r="CD94" s="24" t="s">
        <v>246</v>
      </c>
      <c r="CE94" s="225">
        <v>1369.4677005605081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41" t="s">
        <v>295</v>
      </c>
      <c r="D96" s="242" t="s">
        <v>3</v>
      </c>
      <c r="E96" s="243" t="s">
        <v>3</v>
      </c>
      <c r="F96" s="12"/>
    </row>
    <row r="97" spans="1:6" x14ac:dyDescent="0.25">
      <c r="A97" s="25" t="s">
        <v>296</v>
      </c>
      <c r="B97" s="32" t="s">
        <v>297</v>
      </c>
      <c r="C97" s="244" t="s">
        <v>298</v>
      </c>
      <c r="D97" s="242" t="s">
        <v>3</v>
      </c>
      <c r="E97" s="243" t="s">
        <v>3</v>
      </c>
      <c r="F97" s="12"/>
    </row>
    <row r="98" spans="1:6" x14ac:dyDescent="0.25">
      <c r="A98" s="25" t="s">
        <v>299</v>
      </c>
      <c r="B98" s="32" t="s">
        <v>297</v>
      </c>
      <c r="C98" s="245" t="s">
        <v>300</v>
      </c>
      <c r="D98" s="242" t="s">
        <v>3</v>
      </c>
      <c r="E98" s="243" t="s">
        <v>3</v>
      </c>
      <c r="F98" s="12"/>
    </row>
    <row r="99" spans="1:6" x14ac:dyDescent="0.25">
      <c r="A99" s="25" t="s">
        <v>301</v>
      </c>
      <c r="B99" s="32" t="s">
        <v>297</v>
      </c>
      <c r="C99" s="245" t="s">
        <v>302</v>
      </c>
      <c r="D99" s="242" t="s">
        <v>3</v>
      </c>
      <c r="E99" s="243" t="s">
        <v>3</v>
      </c>
      <c r="F99" s="12"/>
    </row>
    <row r="100" spans="1:6" x14ac:dyDescent="0.25">
      <c r="A100" s="25" t="s">
        <v>303</v>
      </c>
      <c r="B100" s="32" t="s">
        <v>297</v>
      </c>
      <c r="C100" s="245" t="s">
        <v>304</v>
      </c>
      <c r="D100" s="242" t="s">
        <v>3</v>
      </c>
      <c r="E100" s="243" t="s">
        <v>3</v>
      </c>
      <c r="F100" s="12"/>
    </row>
    <row r="101" spans="1:6" x14ac:dyDescent="0.25">
      <c r="A101" s="25" t="s">
        <v>305</v>
      </c>
      <c r="B101" s="32" t="s">
        <v>297</v>
      </c>
      <c r="C101" s="245" t="s">
        <v>306</v>
      </c>
      <c r="D101" s="242" t="s">
        <v>3</v>
      </c>
      <c r="E101" s="243" t="s">
        <v>3</v>
      </c>
      <c r="F101" s="12"/>
    </row>
    <row r="102" spans="1:6" x14ac:dyDescent="0.25">
      <c r="A102" s="25" t="s">
        <v>307</v>
      </c>
      <c r="B102" s="32" t="s">
        <v>297</v>
      </c>
      <c r="C102" s="246" t="s">
        <v>308</v>
      </c>
      <c r="D102" s="242" t="s">
        <v>3</v>
      </c>
      <c r="E102" s="243" t="s">
        <v>3</v>
      </c>
      <c r="F102" s="12"/>
    </row>
    <row r="103" spans="1:6" x14ac:dyDescent="0.25">
      <c r="A103" s="25" t="s">
        <v>309</v>
      </c>
      <c r="B103" s="32" t="s">
        <v>297</v>
      </c>
      <c r="C103" s="245" t="s">
        <v>310</v>
      </c>
      <c r="D103" s="242" t="s">
        <v>3</v>
      </c>
      <c r="E103" s="243" t="s">
        <v>3</v>
      </c>
      <c r="F103" s="12"/>
    </row>
    <row r="104" spans="1:6" x14ac:dyDescent="0.25">
      <c r="A104" s="25" t="s">
        <v>311</v>
      </c>
      <c r="B104" s="32" t="s">
        <v>297</v>
      </c>
      <c r="C104" s="247" t="s">
        <v>312</v>
      </c>
      <c r="D104" s="242" t="s">
        <v>3</v>
      </c>
      <c r="E104" s="243" t="s">
        <v>3</v>
      </c>
      <c r="F104" s="12"/>
    </row>
    <row r="105" spans="1:6" x14ac:dyDescent="0.25">
      <c r="A105" s="25" t="s">
        <v>313</v>
      </c>
      <c r="B105" s="32" t="s">
        <v>297</v>
      </c>
      <c r="C105" s="247" t="s">
        <v>314</v>
      </c>
      <c r="D105" s="242" t="s">
        <v>3</v>
      </c>
      <c r="E105" s="243" t="s">
        <v>3</v>
      </c>
      <c r="F105" s="12"/>
    </row>
    <row r="106" spans="1:6" x14ac:dyDescent="0.25">
      <c r="A106" s="25" t="s">
        <v>315</v>
      </c>
      <c r="B106" s="32" t="s">
        <v>297</v>
      </c>
      <c r="C106" s="245" t="s">
        <v>316</v>
      </c>
      <c r="D106" s="242" t="s">
        <v>3</v>
      </c>
      <c r="E106" s="243" t="s">
        <v>3</v>
      </c>
      <c r="F106" s="12"/>
    </row>
    <row r="107" spans="1:6" x14ac:dyDescent="0.25">
      <c r="A107" s="25" t="s">
        <v>317</v>
      </c>
      <c r="B107" s="32" t="s">
        <v>297</v>
      </c>
      <c r="C107" s="248" t="s">
        <v>318</v>
      </c>
      <c r="D107" s="242" t="s">
        <v>3</v>
      </c>
      <c r="E107" s="243" t="s">
        <v>3</v>
      </c>
      <c r="F107" s="12"/>
    </row>
    <row r="108" spans="1:6" x14ac:dyDescent="0.25">
      <c r="A108" s="25" t="s">
        <v>319</v>
      </c>
      <c r="B108" s="32" t="s">
        <v>297</v>
      </c>
      <c r="C108" s="248"/>
      <c r="D108" s="242" t="s">
        <v>3</v>
      </c>
      <c r="E108" s="243" t="s">
        <v>3</v>
      </c>
      <c r="F108" s="12"/>
    </row>
    <row r="109" spans="1:6" x14ac:dyDescent="0.25">
      <c r="A109" s="33" t="s">
        <v>320</v>
      </c>
      <c r="B109" s="32" t="s">
        <v>297</v>
      </c>
      <c r="C109" s="245" t="s">
        <v>321</v>
      </c>
      <c r="D109" s="242" t="s">
        <v>3</v>
      </c>
      <c r="E109" s="243" t="s">
        <v>3</v>
      </c>
      <c r="F109" s="12"/>
    </row>
    <row r="110" spans="1:6" x14ac:dyDescent="0.25">
      <c r="A110" s="33" t="s">
        <v>322</v>
      </c>
      <c r="B110" s="32" t="s">
        <v>297</v>
      </c>
      <c r="C110" s="249" t="s">
        <v>323</v>
      </c>
      <c r="D110" s="242" t="s">
        <v>3</v>
      </c>
      <c r="E110" s="243" t="s">
        <v>3</v>
      </c>
      <c r="F110" s="12"/>
    </row>
    <row r="111" spans="1:6" x14ac:dyDescent="0.25">
      <c r="A111" s="30" t="s">
        <v>324</v>
      </c>
      <c r="B111" s="30"/>
      <c r="C111" s="30"/>
      <c r="D111" s="30"/>
      <c r="E111" s="30"/>
    </row>
    <row r="112" spans="1:6" x14ac:dyDescent="0.25">
      <c r="A112" s="34" t="s">
        <v>325</v>
      </c>
      <c r="B112" s="34"/>
      <c r="C112" s="34"/>
      <c r="D112" s="34"/>
      <c r="E112" s="34"/>
    </row>
    <row r="113" spans="1:5" x14ac:dyDescent="0.25">
      <c r="A113" s="16" t="s">
        <v>305</v>
      </c>
      <c r="B113" s="35" t="s">
        <v>297</v>
      </c>
      <c r="C113" s="250">
        <v>0</v>
      </c>
      <c r="D113" s="16"/>
      <c r="E113" s="16"/>
    </row>
    <row r="114" spans="1:5" x14ac:dyDescent="0.25">
      <c r="A114" s="16" t="s">
        <v>309</v>
      </c>
      <c r="B114" s="35" t="s">
        <v>297</v>
      </c>
      <c r="C114" s="250">
        <v>0</v>
      </c>
      <c r="D114" s="16"/>
      <c r="E114" s="16"/>
    </row>
    <row r="115" spans="1:5" x14ac:dyDescent="0.25">
      <c r="A115" s="16" t="s">
        <v>326</v>
      </c>
      <c r="B115" s="35" t="s">
        <v>297</v>
      </c>
      <c r="C115" s="250">
        <v>0</v>
      </c>
      <c r="D115" s="16"/>
      <c r="E115" s="16"/>
    </row>
    <row r="116" spans="1:5" x14ac:dyDescent="0.25">
      <c r="A116" s="34" t="s">
        <v>327</v>
      </c>
      <c r="B116" s="34"/>
      <c r="C116" s="34"/>
      <c r="D116" s="34"/>
      <c r="E116" s="34"/>
    </row>
    <row r="117" spans="1:5" x14ac:dyDescent="0.25">
      <c r="A117" s="16" t="s">
        <v>328</v>
      </c>
      <c r="B117" s="35" t="s">
        <v>297</v>
      </c>
      <c r="C117" s="250">
        <v>0</v>
      </c>
      <c r="D117" s="16"/>
      <c r="E117" s="16"/>
    </row>
    <row r="118" spans="1:5" x14ac:dyDescent="0.25">
      <c r="A118" s="16" t="s">
        <v>157</v>
      </c>
      <c r="B118" s="35" t="s">
        <v>297</v>
      </c>
      <c r="C118" s="251">
        <v>1</v>
      </c>
      <c r="D118" s="16"/>
      <c r="E118" s="16"/>
    </row>
    <row r="119" spans="1:5" x14ac:dyDescent="0.25">
      <c r="A119" s="34" t="s">
        <v>329</v>
      </c>
      <c r="B119" s="34"/>
      <c r="C119" s="34"/>
      <c r="D119" s="34"/>
      <c r="E119" s="34"/>
    </row>
    <row r="120" spans="1:5" x14ac:dyDescent="0.25">
      <c r="A120" s="16" t="s">
        <v>330</v>
      </c>
      <c r="B120" s="35" t="s">
        <v>297</v>
      </c>
      <c r="C120" s="250">
        <v>0</v>
      </c>
      <c r="D120" s="16"/>
      <c r="E120" s="16"/>
    </row>
    <row r="121" spans="1:5" x14ac:dyDescent="0.25">
      <c r="A121" s="16" t="s">
        <v>331</v>
      </c>
      <c r="B121" s="35" t="s">
        <v>297</v>
      </c>
      <c r="C121" s="250">
        <v>0</v>
      </c>
      <c r="D121" s="16"/>
      <c r="E121" s="16"/>
    </row>
    <row r="122" spans="1:5" x14ac:dyDescent="0.25">
      <c r="A122" s="16" t="s">
        <v>332</v>
      </c>
      <c r="B122" s="35" t="s">
        <v>297</v>
      </c>
      <c r="C122" s="250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333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334</v>
      </c>
      <c r="B126" s="16"/>
      <c r="C126" s="17" t="s">
        <v>335</v>
      </c>
      <c r="D126" s="18" t="s">
        <v>240</v>
      </c>
      <c r="E126" s="16"/>
    </row>
    <row r="127" spans="1:5" x14ac:dyDescent="0.25">
      <c r="A127" s="16" t="s">
        <v>336</v>
      </c>
      <c r="B127" s="35" t="s">
        <v>297</v>
      </c>
      <c r="C127" s="250">
        <v>16178</v>
      </c>
      <c r="D127" s="252">
        <v>111014</v>
      </c>
      <c r="E127" s="16"/>
    </row>
    <row r="128" spans="1:5" x14ac:dyDescent="0.25">
      <c r="A128" s="16" t="s">
        <v>337</v>
      </c>
      <c r="B128" s="35" t="s">
        <v>297</v>
      </c>
      <c r="C128" s="250">
        <v>0</v>
      </c>
      <c r="D128" s="252">
        <v>0</v>
      </c>
      <c r="E128" s="16"/>
    </row>
    <row r="129" spans="1:5" x14ac:dyDescent="0.25">
      <c r="A129" s="16" t="s">
        <v>338</v>
      </c>
      <c r="B129" s="35" t="s">
        <v>297</v>
      </c>
      <c r="C129" s="250">
        <v>0</v>
      </c>
      <c r="D129" s="252">
        <v>0</v>
      </c>
      <c r="E129" s="16"/>
    </row>
    <row r="130" spans="1:5" x14ac:dyDescent="0.25">
      <c r="A130" s="16" t="s">
        <v>339</v>
      </c>
      <c r="B130" s="35" t="s">
        <v>297</v>
      </c>
      <c r="C130" s="250">
        <v>0</v>
      </c>
      <c r="D130" s="252">
        <v>0</v>
      </c>
      <c r="E130" s="16"/>
    </row>
    <row r="131" spans="1:5" x14ac:dyDescent="0.25">
      <c r="A131" s="21" t="s">
        <v>340</v>
      </c>
      <c r="B131" s="16"/>
      <c r="C131" s="17" t="s">
        <v>192</v>
      </c>
      <c r="D131" s="16"/>
      <c r="E131" s="16"/>
    </row>
    <row r="132" spans="1:5" x14ac:dyDescent="0.25">
      <c r="A132" s="16" t="s">
        <v>341</v>
      </c>
      <c r="B132" s="35" t="s">
        <v>297</v>
      </c>
      <c r="C132" s="250">
        <v>96</v>
      </c>
      <c r="D132" s="16"/>
      <c r="E132" s="16"/>
    </row>
    <row r="133" spans="1:5" x14ac:dyDescent="0.25">
      <c r="A133" s="16" t="s">
        <v>342</v>
      </c>
      <c r="B133" s="35" t="s">
        <v>297</v>
      </c>
      <c r="C133" s="250">
        <v>0</v>
      </c>
      <c r="D133" s="16"/>
      <c r="E133" s="16"/>
    </row>
    <row r="134" spans="1:5" x14ac:dyDescent="0.25">
      <c r="A134" s="16" t="s">
        <v>343</v>
      </c>
      <c r="B134" s="35" t="s">
        <v>297</v>
      </c>
      <c r="C134" s="250">
        <v>218</v>
      </c>
      <c r="D134" s="16"/>
      <c r="E134" s="16"/>
    </row>
    <row r="135" spans="1:5" x14ac:dyDescent="0.25">
      <c r="A135" s="16" t="s">
        <v>344</v>
      </c>
      <c r="B135" s="35" t="s">
        <v>297</v>
      </c>
      <c r="C135" s="250">
        <v>0</v>
      </c>
      <c r="D135" s="16"/>
      <c r="E135" s="16"/>
    </row>
    <row r="136" spans="1:5" x14ac:dyDescent="0.25">
      <c r="A136" s="16" t="s">
        <v>345</v>
      </c>
      <c r="B136" s="35" t="s">
        <v>297</v>
      </c>
      <c r="C136" s="250">
        <v>0</v>
      </c>
      <c r="D136" s="16"/>
      <c r="E136" s="16"/>
    </row>
    <row r="137" spans="1:5" x14ac:dyDescent="0.25">
      <c r="A137" s="16" t="s">
        <v>346</v>
      </c>
      <c r="B137" s="35" t="s">
        <v>297</v>
      </c>
      <c r="C137" s="250">
        <v>12</v>
      </c>
      <c r="D137" s="16"/>
      <c r="E137" s="16"/>
    </row>
    <row r="138" spans="1:5" x14ac:dyDescent="0.25">
      <c r="A138" s="16" t="s">
        <v>121</v>
      </c>
      <c r="B138" s="35" t="s">
        <v>297</v>
      </c>
      <c r="C138" s="250">
        <v>25</v>
      </c>
      <c r="D138" s="16"/>
      <c r="E138" s="16"/>
    </row>
    <row r="139" spans="1:5" x14ac:dyDescent="0.25">
      <c r="A139" s="16" t="s">
        <v>347</v>
      </c>
      <c r="B139" s="35" t="s">
        <v>297</v>
      </c>
      <c r="C139" s="250">
        <v>0</v>
      </c>
      <c r="D139" s="16"/>
      <c r="E139" s="16"/>
    </row>
    <row r="140" spans="1:5" x14ac:dyDescent="0.25">
      <c r="A140" s="16" t="s">
        <v>348</v>
      </c>
      <c r="B140" s="35"/>
      <c r="C140" s="250">
        <v>0</v>
      </c>
      <c r="D140" s="16"/>
      <c r="E140" s="16"/>
    </row>
    <row r="141" spans="1:5" x14ac:dyDescent="0.25">
      <c r="A141" s="16" t="s">
        <v>338</v>
      </c>
      <c r="B141" s="35" t="s">
        <v>297</v>
      </c>
      <c r="C141" s="250">
        <v>0</v>
      </c>
      <c r="D141" s="16"/>
      <c r="E141" s="16"/>
    </row>
    <row r="142" spans="1:5" x14ac:dyDescent="0.25">
      <c r="A142" s="16" t="s">
        <v>349</v>
      </c>
      <c r="B142" s="35" t="s">
        <v>297</v>
      </c>
      <c r="C142" s="250">
        <v>0</v>
      </c>
      <c r="D142" s="16"/>
      <c r="E142" s="16"/>
    </row>
    <row r="143" spans="1:5" x14ac:dyDescent="0.25">
      <c r="A143" s="16" t="s">
        <v>350</v>
      </c>
      <c r="B143" s="16"/>
      <c r="C143" s="22"/>
      <c r="D143" s="16"/>
      <c r="E143" s="25">
        <v>351</v>
      </c>
    </row>
    <row r="144" spans="1:5" x14ac:dyDescent="0.25">
      <c r="A144" s="16" t="s">
        <v>351</v>
      </c>
      <c r="B144" s="35" t="s">
        <v>297</v>
      </c>
      <c r="C144" s="250">
        <v>407</v>
      </c>
      <c r="D144" s="16"/>
      <c r="E144" s="16"/>
    </row>
    <row r="145" spans="1:6" x14ac:dyDescent="0.25">
      <c r="A145" s="16" t="s">
        <v>352</v>
      </c>
      <c r="B145" s="35" t="s">
        <v>297</v>
      </c>
      <c r="C145" s="250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353</v>
      </c>
      <c r="B147" s="35" t="s">
        <v>297</v>
      </c>
      <c r="C147" s="250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354</v>
      </c>
      <c r="B152" s="37"/>
      <c r="C152" s="37"/>
      <c r="D152" s="37"/>
      <c r="E152" s="37"/>
    </row>
    <row r="153" spans="1:6" x14ac:dyDescent="0.25">
      <c r="A153" s="38" t="s">
        <v>355</v>
      </c>
      <c r="B153" s="39" t="s">
        <v>356</v>
      </c>
      <c r="C153" s="40" t="s">
        <v>357</v>
      </c>
      <c r="D153" s="39" t="s">
        <v>157</v>
      </c>
      <c r="E153" s="39" t="s">
        <v>228</v>
      </c>
    </row>
    <row r="154" spans="1:6" x14ac:dyDescent="0.25">
      <c r="A154" s="16" t="s">
        <v>335</v>
      </c>
      <c r="B154" s="252">
        <v>95</v>
      </c>
      <c r="C154" s="252">
        <v>7910</v>
      </c>
      <c r="D154" s="252">
        <v>8173</v>
      </c>
      <c r="E154" s="25">
        <v>16178</v>
      </c>
    </row>
    <row r="155" spans="1:6" x14ac:dyDescent="0.25">
      <c r="A155" s="16" t="s">
        <v>240</v>
      </c>
      <c r="B155" s="252">
        <v>758</v>
      </c>
      <c r="C155" s="252">
        <v>60655</v>
      </c>
      <c r="D155" s="252">
        <v>49601</v>
      </c>
      <c r="E155" s="25">
        <v>111014</v>
      </c>
    </row>
    <row r="156" spans="1:6" x14ac:dyDescent="0.25">
      <c r="A156" s="16" t="s">
        <v>358</v>
      </c>
      <c r="B156" s="252">
        <v>6539.8098921635374</v>
      </c>
      <c r="C156" s="252">
        <v>244536.31032816161</v>
      </c>
      <c r="D156" s="252">
        <v>297639.87977967487</v>
      </c>
      <c r="E156" s="25">
        <v>548716</v>
      </c>
    </row>
    <row r="157" spans="1:6" x14ac:dyDescent="0.25">
      <c r="A157" s="16" t="s">
        <v>285</v>
      </c>
      <c r="B157" s="252">
        <v>19495601.870000001</v>
      </c>
      <c r="C157" s="252">
        <v>1278900966.51</v>
      </c>
      <c r="D157" s="252">
        <v>1048005292.4000003</v>
      </c>
      <c r="E157" s="25">
        <v>2346401860.7800002</v>
      </c>
      <c r="F157" s="14"/>
    </row>
    <row r="158" spans="1:6" x14ac:dyDescent="0.25">
      <c r="A158" s="16" t="s">
        <v>286</v>
      </c>
      <c r="B158" s="252">
        <v>18000708.359999999</v>
      </c>
      <c r="C158" s="252">
        <v>673081768.15999997</v>
      </c>
      <c r="D158" s="252">
        <v>819248381.9200002</v>
      </c>
      <c r="E158" s="25">
        <v>1510330858.4400001</v>
      </c>
      <c r="F158" s="14"/>
    </row>
    <row r="159" spans="1:6" x14ac:dyDescent="0.25">
      <c r="A159" s="38" t="s">
        <v>359</v>
      </c>
      <c r="B159" s="39" t="s">
        <v>356</v>
      </c>
      <c r="C159" s="40" t="s">
        <v>357</v>
      </c>
      <c r="D159" s="39" t="s">
        <v>157</v>
      </c>
      <c r="E159" s="39" t="s">
        <v>228</v>
      </c>
    </row>
    <row r="160" spans="1:6" x14ac:dyDescent="0.25">
      <c r="A160" s="16" t="s">
        <v>335</v>
      </c>
      <c r="B160" s="252">
        <v>0</v>
      </c>
      <c r="C160" s="252">
        <v>0</v>
      </c>
      <c r="D160" s="252">
        <v>0</v>
      </c>
      <c r="E160" s="25">
        <v>0</v>
      </c>
    </row>
    <row r="161" spans="1:5" x14ac:dyDescent="0.25">
      <c r="A161" s="16" t="s">
        <v>240</v>
      </c>
      <c r="B161" s="252">
        <v>0</v>
      </c>
      <c r="C161" s="252">
        <v>0</v>
      </c>
      <c r="D161" s="252">
        <v>0</v>
      </c>
      <c r="E161" s="25">
        <v>0</v>
      </c>
    </row>
    <row r="162" spans="1:5" x14ac:dyDescent="0.25">
      <c r="A162" s="16" t="s">
        <v>358</v>
      </c>
      <c r="B162" s="252">
        <v>0</v>
      </c>
      <c r="C162" s="252">
        <v>0</v>
      </c>
      <c r="D162" s="252">
        <v>0</v>
      </c>
      <c r="E162" s="25">
        <v>0</v>
      </c>
    </row>
    <row r="163" spans="1:5" x14ac:dyDescent="0.25">
      <c r="A163" s="16" t="s">
        <v>285</v>
      </c>
      <c r="B163" s="252">
        <v>0</v>
      </c>
      <c r="C163" s="252">
        <v>0</v>
      </c>
      <c r="D163" s="252">
        <v>0</v>
      </c>
      <c r="E163" s="25">
        <v>0</v>
      </c>
    </row>
    <row r="164" spans="1:5" x14ac:dyDescent="0.25">
      <c r="A164" s="16" t="s">
        <v>286</v>
      </c>
      <c r="B164" s="252">
        <v>0</v>
      </c>
      <c r="C164" s="252">
        <v>0</v>
      </c>
      <c r="D164" s="252">
        <v>0</v>
      </c>
      <c r="E164" s="25">
        <v>0</v>
      </c>
    </row>
    <row r="165" spans="1:5" x14ac:dyDescent="0.25">
      <c r="A165" s="38" t="s">
        <v>360</v>
      </c>
      <c r="B165" s="39" t="s">
        <v>356</v>
      </c>
      <c r="C165" s="40" t="s">
        <v>357</v>
      </c>
      <c r="D165" s="39" t="s">
        <v>157</v>
      </c>
      <c r="E165" s="39" t="s">
        <v>228</v>
      </c>
    </row>
    <row r="166" spans="1:5" x14ac:dyDescent="0.25">
      <c r="A166" s="16" t="s">
        <v>335</v>
      </c>
      <c r="B166" s="252">
        <v>0</v>
      </c>
      <c r="C166" s="252">
        <v>0</v>
      </c>
      <c r="D166" s="252">
        <v>0</v>
      </c>
      <c r="E166" s="25">
        <v>0</v>
      </c>
    </row>
    <row r="167" spans="1:5" x14ac:dyDescent="0.25">
      <c r="A167" s="16" t="s">
        <v>240</v>
      </c>
      <c r="B167" s="252">
        <v>0</v>
      </c>
      <c r="C167" s="252">
        <v>0</v>
      </c>
      <c r="D167" s="252">
        <v>0</v>
      </c>
      <c r="E167" s="25">
        <v>0</v>
      </c>
    </row>
    <row r="168" spans="1:5" x14ac:dyDescent="0.25">
      <c r="A168" s="16" t="s">
        <v>358</v>
      </c>
      <c r="B168" s="252">
        <v>0</v>
      </c>
      <c r="C168" s="252">
        <v>0</v>
      </c>
      <c r="D168" s="252">
        <v>0</v>
      </c>
      <c r="E168" s="25">
        <v>0</v>
      </c>
    </row>
    <row r="169" spans="1:5" x14ac:dyDescent="0.25">
      <c r="A169" s="16" t="s">
        <v>285</v>
      </c>
      <c r="B169" s="252">
        <v>0</v>
      </c>
      <c r="C169" s="252">
        <v>0</v>
      </c>
      <c r="D169" s="252">
        <v>0</v>
      </c>
      <c r="E169" s="25">
        <v>0</v>
      </c>
    </row>
    <row r="170" spans="1:5" x14ac:dyDescent="0.25">
      <c r="A170" s="16" t="s">
        <v>286</v>
      </c>
      <c r="B170" s="252">
        <v>0</v>
      </c>
      <c r="C170" s="252">
        <v>0</v>
      </c>
      <c r="D170" s="252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361</v>
      </c>
      <c r="B172" s="39" t="s">
        <v>362</v>
      </c>
      <c r="C172" s="40" t="s">
        <v>363</v>
      </c>
      <c r="D172" s="16"/>
      <c r="E172" s="16"/>
    </row>
    <row r="173" spans="1:5" x14ac:dyDescent="0.25">
      <c r="A173" s="20" t="s">
        <v>364</v>
      </c>
      <c r="B173" s="252">
        <v>0</v>
      </c>
      <c r="C173" s="25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365</v>
      </c>
      <c r="B179" s="30"/>
      <c r="C179" s="30"/>
      <c r="D179" s="30"/>
      <c r="E179" s="30"/>
    </row>
    <row r="180" spans="1:5" x14ac:dyDescent="0.25">
      <c r="A180" s="34" t="s">
        <v>366</v>
      </c>
      <c r="B180" s="34"/>
      <c r="C180" s="34"/>
      <c r="D180" s="34"/>
      <c r="E180" s="34"/>
    </row>
    <row r="181" spans="1:5" x14ac:dyDescent="0.25">
      <c r="A181" s="16" t="s">
        <v>367</v>
      </c>
      <c r="B181" s="35" t="s">
        <v>297</v>
      </c>
      <c r="C181" s="250">
        <v>70639008.680000007</v>
      </c>
      <c r="D181" s="16"/>
      <c r="E181" s="16"/>
    </row>
    <row r="182" spans="1:5" x14ac:dyDescent="0.25">
      <c r="A182" s="16" t="s">
        <v>368</v>
      </c>
      <c r="B182" s="35" t="s">
        <v>297</v>
      </c>
      <c r="C182" s="250">
        <v>840428.65</v>
      </c>
      <c r="D182" s="16"/>
      <c r="E182" s="16"/>
    </row>
    <row r="183" spans="1:5" x14ac:dyDescent="0.25">
      <c r="A183" s="20" t="s">
        <v>369</v>
      </c>
      <c r="B183" s="35" t="s">
        <v>297</v>
      </c>
      <c r="C183" s="250">
        <v>5601468.0199999996</v>
      </c>
      <c r="D183" s="16"/>
      <c r="E183" s="16"/>
    </row>
    <row r="184" spans="1:5" x14ac:dyDescent="0.25">
      <c r="A184" s="16" t="s">
        <v>370</v>
      </c>
      <c r="B184" s="35" t="s">
        <v>297</v>
      </c>
      <c r="C184" s="250">
        <v>117848141.15999998</v>
      </c>
      <c r="D184" s="16"/>
      <c r="E184" s="16"/>
    </row>
    <row r="185" spans="1:5" x14ac:dyDescent="0.25">
      <c r="A185" s="16" t="s">
        <v>371</v>
      </c>
      <c r="B185" s="35" t="s">
        <v>297</v>
      </c>
      <c r="C185" s="250">
        <v>2772559.94</v>
      </c>
      <c r="D185" s="16"/>
      <c r="E185" s="16"/>
    </row>
    <row r="186" spans="1:5" x14ac:dyDescent="0.25">
      <c r="A186" s="16" t="s">
        <v>372</v>
      </c>
      <c r="B186" s="35" t="s">
        <v>297</v>
      </c>
      <c r="C186" s="250">
        <v>52969652.109999999</v>
      </c>
      <c r="D186" s="16"/>
      <c r="E186" s="16"/>
    </row>
    <row r="187" spans="1:5" x14ac:dyDescent="0.25">
      <c r="A187" s="16" t="s">
        <v>373</v>
      </c>
      <c r="B187" s="35" t="s">
        <v>297</v>
      </c>
      <c r="C187" s="250">
        <v>2276748.9399999902</v>
      </c>
      <c r="D187" s="16"/>
      <c r="E187" s="16"/>
    </row>
    <row r="188" spans="1:5" x14ac:dyDescent="0.25">
      <c r="A188" s="16" t="s">
        <v>373</v>
      </c>
      <c r="B188" s="35" t="s">
        <v>297</v>
      </c>
      <c r="C188" s="250">
        <v>0</v>
      </c>
      <c r="D188" s="16"/>
      <c r="E188" s="16"/>
    </row>
    <row r="189" spans="1:5" x14ac:dyDescent="0.25">
      <c r="A189" s="16" t="s">
        <v>228</v>
      </c>
      <c r="B189" s="16"/>
      <c r="C189" s="22"/>
      <c r="D189" s="25">
        <v>252948007.5</v>
      </c>
      <c r="E189" s="16"/>
    </row>
    <row r="190" spans="1:5" x14ac:dyDescent="0.25">
      <c r="A190" s="34" t="s">
        <v>374</v>
      </c>
      <c r="B190" s="34"/>
      <c r="C190" s="34"/>
      <c r="D190" s="34"/>
      <c r="E190" s="34"/>
    </row>
    <row r="191" spans="1:5" x14ac:dyDescent="0.25">
      <c r="A191" s="16" t="s">
        <v>375</v>
      </c>
      <c r="B191" s="35" t="s">
        <v>297</v>
      </c>
      <c r="C191" s="250">
        <v>29566475.559999995</v>
      </c>
      <c r="D191" s="16"/>
      <c r="E191" s="16"/>
    </row>
    <row r="192" spans="1:5" x14ac:dyDescent="0.25">
      <c r="A192" s="16" t="s">
        <v>376</v>
      </c>
      <c r="B192" s="35" t="s">
        <v>297</v>
      </c>
      <c r="C192" s="250">
        <v>1247784.98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v>30814260.539999995</v>
      </c>
      <c r="E193" s="16"/>
    </row>
    <row r="194" spans="1:5" x14ac:dyDescent="0.25">
      <c r="A194" s="34" t="s">
        <v>377</v>
      </c>
      <c r="B194" s="34"/>
      <c r="C194" s="34"/>
      <c r="D194" s="34"/>
      <c r="E194" s="34"/>
    </row>
    <row r="195" spans="1:5" x14ac:dyDescent="0.25">
      <c r="A195" s="16" t="s">
        <v>378</v>
      </c>
      <c r="B195" s="35" t="s">
        <v>297</v>
      </c>
      <c r="C195" s="250">
        <v>1780199.43</v>
      </c>
      <c r="D195" s="16"/>
      <c r="E195" s="16"/>
    </row>
    <row r="196" spans="1:5" x14ac:dyDescent="0.25">
      <c r="A196" s="16" t="s">
        <v>379</v>
      </c>
      <c r="B196" s="35" t="s">
        <v>297</v>
      </c>
      <c r="C196" s="250">
        <v>6285256.79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v>8065456.2199999997</v>
      </c>
      <c r="E197" s="16"/>
    </row>
    <row r="198" spans="1:5" x14ac:dyDescent="0.25">
      <c r="A198" s="34" t="s">
        <v>380</v>
      </c>
      <c r="B198" s="34"/>
      <c r="C198" s="34"/>
      <c r="D198" s="34"/>
      <c r="E198" s="34"/>
    </row>
    <row r="199" spans="1:5" x14ac:dyDescent="0.25">
      <c r="A199" s="16" t="s">
        <v>381</v>
      </c>
      <c r="B199" s="35" t="s">
        <v>297</v>
      </c>
      <c r="C199" s="250">
        <v>0</v>
      </c>
      <c r="D199" s="16"/>
      <c r="E199" s="16"/>
    </row>
    <row r="200" spans="1:5" x14ac:dyDescent="0.25">
      <c r="A200" s="16" t="s">
        <v>382</v>
      </c>
      <c r="B200" s="35" t="s">
        <v>297</v>
      </c>
      <c r="C200" s="250">
        <v>47858364.75</v>
      </c>
      <c r="D200" s="16"/>
      <c r="E200" s="16"/>
    </row>
    <row r="201" spans="1:5" x14ac:dyDescent="0.25">
      <c r="A201" s="16" t="s">
        <v>157</v>
      </c>
      <c r="B201" s="35" t="s">
        <v>297</v>
      </c>
      <c r="C201" s="250">
        <v>0</v>
      </c>
      <c r="D201" s="16"/>
      <c r="E201" s="16"/>
    </row>
    <row r="202" spans="1:5" x14ac:dyDescent="0.25">
      <c r="A202" s="16" t="s">
        <v>228</v>
      </c>
      <c r="B202" s="16"/>
      <c r="C202" s="22"/>
      <c r="D202" s="25">
        <v>47858364.75</v>
      </c>
      <c r="E202" s="16"/>
    </row>
    <row r="203" spans="1:5" x14ac:dyDescent="0.25">
      <c r="A203" s="34" t="s">
        <v>383</v>
      </c>
      <c r="B203" s="34"/>
      <c r="C203" s="34"/>
      <c r="D203" s="34"/>
      <c r="E203" s="34"/>
    </row>
    <row r="204" spans="1:5" x14ac:dyDescent="0.25">
      <c r="A204" s="16" t="s">
        <v>384</v>
      </c>
      <c r="B204" s="35" t="s">
        <v>297</v>
      </c>
      <c r="C204" s="250">
        <v>0</v>
      </c>
      <c r="D204" s="16"/>
      <c r="E204" s="16"/>
    </row>
    <row r="205" spans="1:5" x14ac:dyDescent="0.25">
      <c r="A205" s="16" t="s">
        <v>385</v>
      </c>
      <c r="B205" s="35" t="s">
        <v>297</v>
      </c>
      <c r="C205" s="250">
        <v>28184317.68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v>28184317.68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386</v>
      </c>
      <c r="B208" s="30"/>
      <c r="C208" s="30"/>
      <c r="D208" s="30"/>
      <c r="E208" s="30"/>
    </row>
    <row r="209" spans="1:5" x14ac:dyDescent="0.25">
      <c r="A209" s="37" t="s">
        <v>387</v>
      </c>
      <c r="B209" s="30"/>
      <c r="C209" s="30"/>
      <c r="D209" s="30"/>
      <c r="E209" s="30"/>
    </row>
    <row r="210" spans="1:5" x14ac:dyDescent="0.25">
      <c r="A210" s="21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252">
        <v>0</v>
      </c>
      <c r="C211" s="250">
        <v>0</v>
      </c>
      <c r="D211" s="252">
        <v>0</v>
      </c>
      <c r="E211" s="25">
        <v>0</v>
      </c>
    </row>
    <row r="212" spans="1:5" x14ac:dyDescent="0.25">
      <c r="A212" s="16" t="s">
        <v>393</v>
      </c>
      <c r="B212" s="252">
        <v>0</v>
      </c>
      <c r="C212" s="250">
        <v>0</v>
      </c>
      <c r="D212" s="252">
        <v>0</v>
      </c>
      <c r="E212" s="25">
        <v>0</v>
      </c>
    </row>
    <row r="213" spans="1:5" x14ac:dyDescent="0.25">
      <c r="A213" s="16" t="s">
        <v>394</v>
      </c>
      <c r="B213" s="252">
        <v>0</v>
      </c>
      <c r="C213" s="250">
        <v>0</v>
      </c>
      <c r="D213" s="252">
        <v>0</v>
      </c>
      <c r="E213" s="25">
        <v>0</v>
      </c>
    </row>
    <row r="214" spans="1:5" x14ac:dyDescent="0.25">
      <c r="A214" s="16" t="s">
        <v>395</v>
      </c>
      <c r="B214" s="252">
        <v>0</v>
      </c>
      <c r="C214" s="250">
        <v>0</v>
      </c>
      <c r="D214" s="252">
        <v>0</v>
      </c>
      <c r="E214" s="25">
        <v>0</v>
      </c>
    </row>
    <row r="215" spans="1:5" x14ac:dyDescent="0.25">
      <c r="A215" s="16" t="s">
        <v>396</v>
      </c>
      <c r="B215" s="252">
        <v>0</v>
      </c>
      <c r="C215" s="250">
        <v>0</v>
      </c>
      <c r="D215" s="252">
        <v>0</v>
      </c>
      <c r="E215" s="25">
        <v>0</v>
      </c>
    </row>
    <row r="216" spans="1:5" x14ac:dyDescent="0.25">
      <c r="A216" s="16" t="s">
        <v>397</v>
      </c>
      <c r="B216" s="252">
        <v>0</v>
      </c>
      <c r="C216" s="250">
        <v>0</v>
      </c>
      <c r="D216" s="252">
        <v>0</v>
      </c>
      <c r="E216" s="25">
        <v>0</v>
      </c>
    </row>
    <row r="217" spans="1:5" x14ac:dyDescent="0.25">
      <c r="A217" s="16" t="s">
        <v>398</v>
      </c>
      <c r="B217" s="252">
        <v>0</v>
      </c>
      <c r="C217" s="250">
        <v>0</v>
      </c>
      <c r="D217" s="252">
        <v>0</v>
      </c>
      <c r="E217" s="25">
        <v>0</v>
      </c>
    </row>
    <row r="218" spans="1:5" x14ac:dyDescent="0.25">
      <c r="A218" s="16" t="s">
        <v>399</v>
      </c>
      <c r="B218" s="252">
        <v>0</v>
      </c>
      <c r="C218" s="250">
        <v>0</v>
      </c>
      <c r="D218" s="252">
        <v>0</v>
      </c>
      <c r="E218" s="25">
        <v>0</v>
      </c>
    </row>
    <row r="219" spans="1:5" x14ac:dyDescent="0.25">
      <c r="A219" s="16" t="s">
        <v>400</v>
      </c>
      <c r="B219" s="252">
        <v>0</v>
      </c>
      <c r="C219" s="250">
        <v>0</v>
      </c>
      <c r="D219" s="252">
        <v>0</v>
      </c>
      <c r="E219" s="25">
        <v>0</v>
      </c>
    </row>
    <row r="220" spans="1:5" x14ac:dyDescent="0.25">
      <c r="A220" s="16" t="s">
        <v>228</v>
      </c>
      <c r="B220" s="25">
        <v>0</v>
      </c>
      <c r="C220" s="224">
        <v>0</v>
      </c>
      <c r="D220" s="25">
        <v>0</v>
      </c>
      <c r="E220" s="25">
        <v>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401</v>
      </c>
      <c r="B222" s="37"/>
      <c r="C222" s="37"/>
      <c r="D222" s="37"/>
      <c r="E222" s="37"/>
    </row>
    <row r="223" spans="1:5" x14ac:dyDescent="0.25">
      <c r="A223" s="21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42"/>
      <c r="C224" s="41"/>
      <c r="D224" s="42"/>
      <c r="E224" s="16"/>
    </row>
    <row r="225" spans="1:6" x14ac:dyDescent="0.25">
      <c r="A225" s="16" t="s">
        <v>393</v>
      </c>
      <c r="B225" s="252">
        <v>0</v>
      </c>
      <c r="C225" s="250">
        <v>0</v>
      </c>
      <c r="D225" s="252">
        <v>0</v>
      </c>
      <c r="E225" s="25">
        <v>0</v>
      </c>
    </row>
    <row r="226" spans="1:6" x14ac:dyDescent="0.25">
      <c r="A226" s="16" t="s">
        <v>394</v>
      </c>
      <c r="B226" s="252">
        <v>0</v>
      </c>
      <c r="C226" s="250">
        <v>0</v>
      </c>
      <c r="D226" s="252">
        <v>0</v>
      </c>
      <c r="E226" s="25">
        <v>0</v>
      </c>
    </row>
    <row r="227" spans="1:6" x14ac:dyDescent="0.25">
      <c r="A227" s="16" t="s">
        <v>395</v>
      </c>
      <c r="B227" s="252">
        <v>0</v>
      </c>
      <c r="C227" s="250">
        <v>0</v>
      </c>
      <c r="D227" s="252">
        <v>0</v>
      </c>
      <c r="E227" s="25">
        <v>0</v>
      </c>
    </row>
    <row r="228" spans="1:6" x14ac:dyDescent="0.25">
      <c r="A228" s="16" t="s">
        <v>396</v>
      </c>
      <c r="B228" s="252">
        <v>0</v>
      </c>
      <c r="C228" s="250">
        <v>0</v>
      </c>
      <c r="D228" s="252">
        <v>0</v>
      </c>
      <c r="E228" s="25">
        <v>0</v>
      </c>
    </row>
    <row r="229" spans="1:6" x14ac:dyDescent="0.25">
      <c r="A229" s="16" t="s">
        <v>397</v>
      </c>
      <c r="B229" s="252">
        <v>0</v>
      </c>
      <c r="C229" s="250">
        <v>0</v>
      </c>
      <c r="D229" s="252">
        <v>0</v>
      </c>
      <c r="E229" s="25">
        <v>0</v>
      </c>
    </row>
    <row r="230" spans="1:6" x14ac:dyDescent="0.25">
      <c r="A230" s="16" t="s">
        <v>398</v>
      </c>
      <c r="B230" s="252">
        <v>0</v>
      </c>
      <c r="C230" s="250">
        <v>0</v>
      </c>
      <c r="D230" s="252">
        <v>0</v>
      </c>
      <c r="E230" s="25">
        <v>0</v>
      </c>
    </row>
    <row r="231" spans="1:6" x14ac:dyDescent="0.25">
      <c r="A231" s="16" t="s">
        <v>399</v>
      </c>
      <c r="B231" s="252">
        <v>0</v>
      </c>
      <c r="C231" s="250">
        <v>0</v>
      </c>
      <c r="D231" s="252">
        <v>0</v>
      </c>
      <c r="E231" s="25">
        <v>0</v>
      </c>
    </row>
    <row r="232" spans="1:6" x14ac:dyDescent="0.25">
      <c r="A232" s="16" t="s">
        <v>400</v>
      </c>
      <c r="B232" s="252">
        <v>0</v>
      </c>
      <c r="C232" s="250">
        <v>0</v>
      </c>
      <c r="D232" s="252">
        <v>0</v>
      </c>
      <c r="E232" s="25">
        <v>0</v>
      </c>
    </row>
    <row r="233" spans="1:6" x14ac:dyDescent="0.25">
      <c r="A233" s="16" t="s">
        <v>228</v>
      </c>
      <c r="B233" s="25">
        <v>0</v>
      </c>
      <c r="C233" s="224">
        <v>0</v>
      </c>
      <c r="D233" s="25">
        <v>0</v>
      </c>
      <c r="E233" s="25">
        <v>0</v>
      </c>
    </row>
    <row r="234" spans="1:6" x14ac:dyDescent="0.25">
      <c r="A234" s="16"/>
      <c r="B234" s="16"/>
      <c r="C234" s="22"/>
      <c r="D234" s="16"/>
      <c r="E234" s="16"/>
      <c r="F234" s="11">
        <v>0</v>
      </c>
    </row>
    <row r="235" spans="1:6" x14ac:dyDescent="0.25">
      <c r="A235" s="30" t="s">
        <v>402</v>
      </c>
      <c r="B235" s="30"/>
      <c r="C235" s="30"/>
      <c r="D235" s="30"/>
      <c r="E235" s="30"/>
    </row>
    <row r="236" spans="1:6" x14ac:dyDescent="0.25">
      <c r="A236" s="30"/>
      <c r="B236" s="326" t="s">
        <v>403</v>
      </c>
      <c r="C236" s="326"/>
      <c r="D236" s="30"/>
      <c r="E236" s="30"/>
    </row>
    <row r="237" spans="1:6" x14ac:dyDescent="0.25">
      <c r="A237" s="43" t="s">
        <v>403</v>
      </c>
      <c r="B237" s="30"/>
      <c r="C237" s="250">
        <v>3312322.74</v>
      </c>
      <c r="D237" s="32">
        <v>3312322.74</v>
      </c>
      <c r="E237" s="30"/>
    </row>
    <row r="238" spans="1:6" x14ac:dyDescent="0.25">
      <c r="A238" s="34" t="s">
        <v>404</v>
      </c>
      <c r="B238" s="34"/>
      <c r="C238" s="34"/>
      <c r="D238" s="34"/>
      <c r="E238" s="34"/>
    </row>
    <row r="239" spans="1:6" x14ac:dyDescent="0.25">
      <c r="A239" s="16" t="s">
        <v>405</v>
      </c>
      <c r="B239" s="35" t="s">
        <v>297</v>
      </c>
      <c r="C239" s="250">
        <v>30972163.560000002</v>
      </c>
      <c r="D239" s="16"/>
      <c r="E239" s="16"/>
    </row>
    <row r="240" spans="1:6" x14ac:dyDescent="0.25">
      <c r="A240" s="16" t="s">
        <v>406</v>
      </c>
      <c r="B240" s="35" t="s">
        <v>297</v>
      </c>
      <c r="C240" s="250">
        <v>1439817020.3800001</v>
      </c>
      <c r="D240" s="16"/>
      <c r="E240" s="16"/>
    </row>
    <row r="241" spans="1:5" x14ac:dyDescent="0.25">
      <c r="A241" s="16" t="s">
        <v>407</v>
      </c>
      <c r="B241" s="35" t="s">
        <v>297</v>
      </c>
      <c r="C241" s="250">
        <v>0</v>
      </c>
      <c r="D241" s="16"/>
      <c r="E241" s="16"/>
    </row>
    <row r="242" spans="1:5" x14ac:dyDescent="0.25">
      <c r="A242" s="16" t="s">
        <v>408</v>
      </c>
      <c r="B242" s="35" t="s">
        <v>297</v>
      </c>
      <c r="C242" s="250">
        <v>84196230.609999999</v>
      </c>
      <c r="D242" s="16"/>
      <c r="E242" s="16"/>
    </row>
    <row r="243" spans="1:5" x14ac:dyDescent="0.25">
      <c r="A243" s="16" t="s">
        <v>409</v>
      </c>
      <c r="B243" s="35" t="s">
        <v>297</v>
      </c>
      <c r="C243" s="250">
        <v>382984371.20999998</v>
      </c>
      <c r="D243" s="16"/>
      <c r="E243" s="16"/>
    </row>
    <row r="244" spans="1:5" x14ac:dyDescent="0.25">
      <c r="A244" s="16" t="s">
        <v>410</v>
      </c>
      <c r="B244" s="35" t="s">
        <v>297</v>
      </c>
      <c r="C244" s="250">
        <v>0</v>
      </c>
      <c r="D244" s="16"/>
      <c r="E244" s="16"/>
    </row>
    <row r="245" spans="1:5" x14ac:dyDescent="0.25">
      <c r="A245" s="16" t="s">
        <v>411</v>
      </c>
      <c r="B245" s="16"/>
      <c r="C245" s="22"/>
      <c r="D245" s="25">
        <v>1937969785.76</v>
      </c>
      <c r="E245" s="16"/>
    </row>
    <row r="246" spans="1:5" x14ac:dyDescent="0.25">
      <c r="A246" s="34" t="s">
        <v>412</v>
      </c>
      <c r="B246" s="34"/>
      <c r="C246" s="34"/>
      <c r="D246" s="34"/>
      <c r="E246" s="34"/>
    </row>
    <row r="247" spans="1:5" x14ac:dyDescent="0.25">
      <c r="A247" s="21" t="s">
        <v>413</v>
      </c>
      <c r="B247" s="35" t="s">
        <v>297</v>
      </c>
      <c r="C247" s="250">
        <v>25392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414</v>
      </c>
      <c r="B249" s="35" t="s">
        <v>297</v>
      </c>
      <c r="C249" s="250">
        <v>5477226.4500000002</v>
      </c>
      <c r="D249" s="16"/>
      <c r="E249" s="16"/>
    </row>
    <row r="250" spans="1:5" x14ac:dyDescent="0.25">
      <c r="A250" s="21" t="s">
        <v>415</v>
      </c>
      <c r="B250" s="35" t="s">
        <v>297</v>
      </c>
      <c r="C250" s="250">
        <v>26376840.899999999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416</v>
      </c>
      <c r="B252" s="16"/>
      <c r="C252" s="22"/>
      <c r="D252" s="25">
        <v>31854067.349999998</v>
      </c>
      <c r="E252" s="16"/>
    </row>
    <row r="253" spans="1:5" x14ac:dyDescent="0.25">
      <c r="A253" s="34" t="s">
        <v>417</v>
      </c>
      <c r="B253" s="34"/>
      <c r="C253" s="34"/>
      <c r="D253" s="34"/>
      <c r="E253" s="34"/>
    </row>
    <row r="254" spans="1:5" x14ac:dyDescent="0.25">
      <c r="A254" s="16" t="s">
        <v>418</v>
      </c>
      <c r="B254" s="35" t="s">
        <v>297</v>
      </c>
      <c r="C254" s="250">
        <v>22746316.150000002</v>
      </c>
      <c r="D254" s="16"/>
      <c r="E254" s="16"/>
    </row>
    <row r="255" spans="1:5" x14ac:dyDescent="0.25">
      <c r="A255" s="16" t="s">
        <v>417</v>
      </c>
      <c r="B255" s="35" t="s">
        <v>297</v>
      </c>
      <c r="C255" s="250">
        <v>0</v>
      </c>
      <c r="D255" s="16"/>
      <c r="E255" s="16"/>
    </row>
    <row r="256" spans="1:5" x14ac:dyDescent="0.25">
      <c r="A256" s="16" t="s">
        <v>419</v>
      </c>
      <c r="B256" s="16"/>
      <c r="C256" s="22"/>
      <c r="D256" s="25">
        <v>22746316.150000002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420</v>
      </c>
      <c r="B258" s="16"/>
      <c r="C258" s="22"/>
      <c r="D258" s="25">
        <v>1995882492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421</v>
      </c>
      <c r="B264" s="30"/>
      <c r="C264" s="30"/>
      <c r="D264" s="30"/>
      <c r="E264" s="30"/>
    </row>
    <row r="265" spans="1:5" x14ac:dyDescent="0.25">
      <c r="A265" s="34" t="s">
        <v>422</v>
      </c>
      <c r="B265" s="34"/>
      <c r="C265" s="34" t="s">
        <v>423</v>
      </c>
      <c r="D265" s="253">
        <v>0</v>
      </c>
      <c r="E265" s="34"/>
    </row>
    <row r="266" spans="1:5" x14ac:dyDescent="0.25">
      <c r="A266" s="16" t="s">
        <v>424</v>
      </c>
      <c r="B266" s="35" t="s">
        <v>297</v>
      </c>
      <c r="C266" s="250">
        <v>48797277.020000003</v>
      </c>
      <c r="D266" s="16" t="s">
        <v>246</v>
      </c>
      <c r="E266" s="16"/>
    </row>
    <row r="267" spans="1:5" x14ac:dyDescent="0.25">
      <c r="A267" s="16" t="s">
        <v>425</v>
      </c>
      <c r="B267" s="35" t="s">
        <v>297</v>
      </c>
      <c r="C267" s="250">
        <v>0</v>
      </c>
      <c r="D267" s="16"/>
      <c r="E267" s="16"/>
    </row>
    <row r="268" spans="1:5" x14ac:dyDescent="0.25">
      <c r="A268" s="16" t="s">
        <v>426</v>
      </c>
      <c r="B268" s="35" t="s">
        <v>297</v>
      </c>
      <c r="C268" s="250">
        <v>909160306.78999996</v>
      </c>
      <c r="D268" s="16" t="s">
        <v>246</v>
      </c>
      <c r="E268" s="16"/>
    </row>
    <row r="269" spans="1:5" x14ac:dyDescent="0.25">
      <c r="A269" s="16" t="s">
        <v>427</v>
      </c>
      <c r="B269" s="35" t="s">
        <v>297</v>
      </c>
      <c r="C269" s="250">
        <v>474319300</v>
      </c>
      <c r="D269" s="16" t="s">
        <v>246</v>
      </c>
      <c r="E269" s="16"/>
    </row>
    <row r="270" spans="1:5" x14ac:dyDescent="0.25">
      <c r="A270" s="16" t="s">
        <v>428</v>
      </c>
      <c r="B270" s="35" t="s">
        <v>297</v>
      </c>
      <c r="C270" s="250">
        <v>0</v>
      </c>
      <c r="D270" s="16"/>
      <c r="E270" s="16"/>
    </row>
    <row r="271" spans="1:5" x14ac:dyDescent="0.25">
      <c r="A271" s="16" t="s">
        <v>429</v>
      </c>
      <c r="B271" s="35" t="s">
        <v>297</v>
      </c>
      <c r="C271" s="250">
        <v>96288222.960000008</v>
      </c>
      <c r="D271" s="16" t="s">
        <v>246</v>
      </c>
      <c r="E271" s="16"/>
    </row>
    <row r="272" spans="1:5" x14ac:dyDescent="0.25">
      <c r="A272" s="16" t="s">
        <v>430</v>
      </c>
      <c r="B272" s="35" t="s">
        <v>297</v>
      </c>
      <c r="C272" s="250">
        <v>0</v>
      </c>
      <c r="D272" s="16"/>
      <c r="E272" s="16"/>
    </row>
    <row r="273" spans="1:5" x14ac:dyDescent="0.25">
      <c r="A273" s="16" t="s">
        <v>431</v>
      </c>
      <c r="B273" s="35" t="s">
        <v>297</v>
      </c>
      <c r="C273" s="250">
        <v>28268797.399999999</v>
      </c>
      <c r="D273" s="16" t="s">
        <v>246</v>
      </c>
      <c r="E273" s="16"/>
    </row>
    <row r="274" spans="1:5" x14ac:dyDescent="0.25">
      <c r="A274" s="16" t="s">
        <v>432</v>
      </c>
      <c r="B274" s="35" t="s">
        <v>297</v>
      </c>
      <c r="C274" s="250">
        <v>52149569.82</v>
      </c>
      <c r="D274" s="16" t="s">
        <v>246</v>
      </c>
      <c r="E274" s="16"/>
    </row>
    <row r="275" spans="1:5" x14ac:dyDescent="0.25">
      <c r="A275" s="16" t="s">
        <v>433</v>
      </c>
      <c r="B275" s="35" t="s">
        <v>297</v>
      </c>
      <c r="C275" s="250">
        <v>26366518.02</v>
      </c>
      <c r="D275" s="16" t="s">
        <v>246</v>
      </c>
      <c r="E275" s="16"/>
    </row>
    <row r="276" spans="1:5" x14ac:dyDescent="0.25">
      <c r="A276" s="16" t="s">
        <v>434</v>
      </c>
      <c r="B276" s="16"/>
      <c r="C276" s="22"/>
      <c r="D276" s="25">
        <v>686711392.00999999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297</v>
      </c>
      <c r="C278" s="250">
        <v>0</v>
      </c>
      <c r="D278" s="16"/>
      <c r="E278" s="16"/>
    </row>
    <row r="279" spans="1:5" x14ac:dyDescent="0.25">
      <c r="A279" s="16" t="s">
        <v>425</v>
      </c>
      <c r="B279" s="35" t="s">
        <v>297</v>
      </c>
      <c r="C279" s="250">
        <v>1610744271.05</v>
      </c>
      <c r="D279" s="16" t="s">
        <v>246</v>
      </c>
      <c r="E279" s="16"/>
    </row>
    <row r="280" spans="1:5" x14ac:dyDescent="0.25">
      <c r="A280" s="16" t="s">
        <v>436</v>
      </c>
      <c r="B280" s="35" t="s">
        <v>297</v>
      </c>
      <c r="C280" s="250">
        <v>2934312.54</v>
      </c>
      <c r="D280" s="16" t="s">
        <v>246</v>
      </c>
      <c r="E280" s="16"/>
    </row>
    <row r="281" spans="1:5" x14ac:dyDescent="0.25">
      <c r="A281" s="16" t="s">
        <v>437</v>
      </c>
      <c r="B281" s="16"/>
      <c r="C281" s="22"/>
      <c r="D281" s="25">
        <v>1613678583.5899999</v>
      </c>
      <c r="E281" s="16" t="s">
        <v>246</v>
      </c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392</v>
      </c>
      <c r="B283" s="35" t="s">
        <v>297</v>
      </c>
      <c r="C283" s="250">
        <v>0</v>
      </c>
      <c r="D283" s="16"/>
      <c r="E283" s="16"/>
    </row>
    <row r="284" spans="1:5" x14ac:dyDescent="0.25">
      <c r="A284" s="16" t="s">
        <v>393</v>
      </c>
      <c r="B284" s="35" t="s">
        <v>297</v>
      </c>
      <c r="C284" s="250">
        <v>0</v>
      </c>
      <c r="D284" s="16"/>
      <c r="E284" s="16"/>
    </row>
    <row r="285" spans="1:5" x14ac:dyDescent="0.25">
      <c r="A285" s="16" t="s">
        <v>394</v>
      </c>
      <c r="B285" s="35" t="s">
        <v>297</v>
      </c>
      <c r="C285" s="250">
        <v>0</v>
      </c>
      <c r="D285" s="16"/>
      <c r="E285" s="16"/>
    </row>
    <row r="286" spans="1:5" x14ac:dyDescent="0.25">
      <c r="A286" s="16" t="s">
        <v>439</v>
      </c>
      <c r="B286" s="35" t="s">
        <v>297</v>
      </c>
      <c r="C286" s="250">
        <v>0</v>
      </c>
      <c r="D286" s="16"/>
      <c r="E286" s="16"/>
    </row>
    <row r="287" spans="1:5" x14ac:dyDescent="0.25">
      <c r="A287" s="16" t="s">
        <v>440</v>
      </c>
      <c r="B287" s="35" t="s">
        <v>297</v>
      </c>
      <c r="C287" s="250">
        <v>0</v>
      </c>
      <c r="D287" s="16"/>
      <c r="E287" s="16"/>
    </row>
    <row r="288" spans="1:5" x14ac:dyDescent="0.25">
      <c r="A288" s="16" t="s">
        <v>441</v>
      </c>
      <c r="B288" s="35" t="s">
        <v>297</v>
      </c>
      <c r="C288" s="250">
        <v>0</v>
      </c>
      <c r="D288" s="16"/>
      <c r="E288" s="16"/>
    </row>
    <row r="289" spans="1:5" x14ac:dyDescent="0.25">
      <c r="A289" s="16" t="s">
        <v>399</v>
      </c>
      <c r="B289" s="35" t="s">
        <v>297</v>
      </c>
      <c r="C289" s="250">
        <v>0</v>
      </c>
      <c r="D289" s="16"/>
      <c r="E289" s="16"/>
    </row>
    <row r="290" spans="1:5" x14ac:dyDescent="0.25">
      <c r="A290" s="16" t="s">
        <v>400</v>
      </c>
      <c r="B290" s="35" t="s">
        <v>297</v>
      </c>
      <c r="C290" s="250">
        <v>0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0</v>
      </c>
      <c r="E291" s="16"/>
    </row>
    <row r="292" spans="1:5" x14ac:dyDescent="0.25">
      <c r="A292" s="16" t="s">
        <v>443</v>
      </c>
      <c r="B292" s="35" t="s">
        <v>297</v>
      </c>
      <c r="C292" s="250">
        <v>0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0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297</v>
      </c>
      <c r="C295" s="250">
        <v>0</v>
      </c>
      <c r="D295" s="16"/>
      <c r="E295" s="16"/>
    </row>
    <row r="296" spans="1:5" x14ac:dyDescent="0.25">
      <c r="A296" s="16" t="s">
        <v>447</v>
      </c>
      <c r="B296" s="35" t="s">
        <v>297</v>
      </c>
      <c r="C296" s="250">
        <v>0</v>
      </c>
      <c r="D296" s="16"/>
      <c r="E296" s="16"/>
    </row>
    <row r="297" spans="1:5" x14ac:dyDescent="0.25">
      <c r="A297" s="16" t="s">
        <v>448</v>
      </c>
      <c r="B297" s="35" t="s">
        <v>297</v>
      </c>
      <c r="C297" s="250">
        <v>0</v>
      </c>
      <c r="D297" s="16"/>
      <c r="E297" s="16"/>
    </row>
    <row r="298" spans="1:5" x14ac:dyDescent="0.25">
      <c r="A298" s="16" t="s">
        <v>436</v>
      </c>
      <c r="B298" s="35" t="s">
        <v>297</v>
      </c>
      <c r="C298" s="250">
        <v>373026926.56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373026926.56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297</v>
      </c>
      <c r="C302" s="250">
        <v>5670000</v>
      </c>
      <c r="D302" s="16"/>
      <c r="E302" s="16"/>
    </row>
    <row r="303" spans="1:5" x14ac:dyDescent="0.25">
      <c r="A303" s="16" t="s">
        <v>452</v>
      </c>
      <c r="B303" s="35" t="s">
        <v>297</v>
      </c>
      <c r="C303" s="250">
        <v>0</v>
      </c>
      <c r="D303" s="16"/>
      <c r="E303" s="16"/>
    </row>
    <row r="304" spans="1:5" x14ac:dyDescent="0.25">
      <c r="A304" s="16" t="s">
        <v>453</v>
      </c>
      <c r="B304" s="35" t="s">
        <v>297</v>
      </c>
      <c r="C304" s="250">
        <v>0</v>
      </c>
      <c r="D304" s="16"/>
      <c r="E304" s="16"/>
    </row>
    <row r="305" spans="1:6" x14ac:dyDescent="0.25">
      <c r="A305" s="16" t="s">
        <v>454</v>
      </c>
      <c r="B305" s="35" t="s">
        <v>297</v>
      </c>
      <c r="C305" s="250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5670000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2679086902.1599998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2679086902.1599998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297</v>
      </c>
      <c r="C314" s="250">
        <v>0</v>
      </c>
      <c r="D314" s="16"/>
      <c r="E314" s="16"/>
    </row>
    <row r="315" spans="1:6" x14ac:dyDescent="0.25">
      <c r="A315" s="16" t="s">
        <v>460</v>
      </c>
      <c r="B315" s="35" t="s">
        <v>297</v>
      </c>
      <c r="C315" s="250">
        <v>139683868.37</v>
      </c>
      <c r="D315" s="16"/>
      <c r="E315" s="16"/>
    </row>
    <row r="316" spans="1:6" x14ac:dyDescent="0.25">
      <c r="A316" s="16" t="s">
        <v>461</v>
      </c>
      <c r="B316" s="35" t="s">
        <v>297</v>
      </c>
      <c r="C316" s="250">
        <v>161609390.50999999</v>
      </c>
      <c r="D316" s="16"/>
      <c r="E316" s="16"/>
    </row>
    <row r="317" spans="1:6" x14ac:dyDescent="0.25">
      <c r="A317" s="16" t="s">
        <v>462</v>
      </c>
      <c r="B317" s="35" t="s">
        <v>297</v>
      </c>
      <c r="C317" s="250">
        <v>14041517.67</v>
      </c>
      <c r="D317" s="16"/>
      <c r="E317" s="16"/>
    </row>
    <row r="318" spans="1:6" x14ac:dyDescent="0.25">
      <c r="A318" s="16" t="s">
        <v>463</v>
      </c>
      <c r="B318" s="35" t="s">
        <v>297</v>
      </c>
      <c r="C318" s="250" t="s">
        <v>464</v>
      </c>
      <c r="D318" s="16"/>
      <c r="E318" s="16"/>
    </row>
    <row r="319" spans="1:6" x14ac:dyDescent="0.25">
      <c r="A319" s="16" t="s">
        <v>465</v>
      </c>
      <c r="B319" s="35" t="s">
        <v>297</v>
      </c>
      <c r="C319" s="250" t="s">
        <v>464</v>
      </c>
      <c r="D319" s="16"/>
      <c r="E319" s="16"/>
    </row>
    <row r="320" spans="1:6" x14ac:dyDescent="0.25">
      <c r="A320" s="16" t="s">
        <v>466</v>
      </c>
      <c r="B320" s="35" t="s">
        <v>297</v>
      </c>
      <c r="C320" s="250">
        <v>0</v>
      </c>
      <c r="D320" s="16"/>
      <c r="E320" s="16"/>
    </row>
    <row r="321" spans="1:5" x14ac:dyDescent="0.25">
      <c r="A321" s="16" t="s">
        <v>467</v>
      </c>
      <c r="B321" s="35" t="s">
        <v>297</v>
      </c>
      <c r="C321" s="250">
        <v>0</v>
      </c>
      <c r="D321" s="16"/>
      <c r="E321" s="16"/>
    </row>
    <row r="322" spans="1:5" x14ac:dyDescent="0.25">
      <c r="A322" s="16" t="s">
        <v>468</v>
      </c>
      <c r="B322" s="35" t="s">
        <v>297</v>
      </c>
      <c r="C322" s="250">
        <v>354337009.75</v>
      </c>
      <c r="D322" s="16"/>
      <c r="E322" s="16"/>
    </row>
    <row r="323" spans="1:5" x14ac:dyDescent="0.25">
      <c r="A323" s="16" t="s">
        <v>469</v>
      </c>
      <c r="B323" s="35" t="s">
        <v>297</v>
      </c>
      <c r="C323" s="250">
        <v>20119496.23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689791282.52999997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297</v>
      </c>
      <c r="C326" s="250">
        <v>0</v>
      </c>
      <c r="D326" s="16"/>
      <c r="E326" s="16"/>
    </row>
    <row r="327" spans="1:5" x14ac:dyDescent="0.25">
      <c r="A327" s="16" t="s">
        <v>473</v>
      </c>
      <c r="B327" s="35" t="s">
        <v>297</v>
      </c>
      <c r="C327" s="250">
        <v>0</v>
      </c>
      <c r="D327" s="16"/>
      <c r="E327" s="16"/>
    </row>
    <row r="328" spans="1:5" x14ac:dyDescent="0.25">
      <c r="A328" s="16" t="s">
        <v>474</v>
      </c>
      <c r="B328" s="35" t="s">
        <v>297</v>
      </c>
      <c r="C328" s="250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297</v>
      </c>
      <c r="C331" s="250">
        <v>0</v>
      </c>
      <c r="D331" s="16"/>
      <c r="E331" s="16"/>
    </row>
    <row r="332" spans="1:5" x14ac:dyDescent="0.25">
      <c r="A332" s="16" t="s">
        <v>478</v>
      </c>
      <c r="B332" s="35" t="s">
        <v>297</v>
      </c>
      <c r="C332" s="250">
        <v>0</v>
      </c>
      <c r="D332" s="16"/>
      <c r="E332" s="16"/>
    </row>
    <row r="333" spans="1:5" x14ac:dyDescent="0.25">
      <c r="A333" s="16" t="s">
        <v>479</v>
      </c>
      <c r="B333" s="35" t="s">
        <v>297</v>
      </c>
      <c r="C333" s="250">
        <v>0</v>
      </c>
      <c r="D333" s="16"/>
      <c r="E333" s="16"/>
    </row>
    <row r="334" spans="1:5" x14ac:dyDescent="0.25">
      <c r="A334" s="21" t="s">
        <v>480</v>
      </c>
      <c r="B334" s="35" t="s">
        <v>297</v>
      </c>
      <c r="C334" s="250">
        <v>71597649.260000005</v>
      </c>
      <c r="D334" s="16"/>
      <c r="E334" s="16"/>
    </row>
    <row r="335" spans="1:5" x14ac:dyDescent="0.25">
      <c r="A335" s="16" t="s">
        <v>481</v>
      </c>
      <c r="B335" s="35" t="s">
        <v>297</v>
      </c>
      <c r="C335" s="250">
        <v>899539510.21000004</v>
      </c>
      <c r="D335" s="16"/>
      <c r="E335" s="16"/>
    </row>
    <row r="336" spans="1:5" x14ac:dyDescent="0.25">
      <c r="A336" s="21" t="s">
        <v>482</v>
      </c>
      <c r="B336" s="35" t="s">
        <v>297</v>
      </c>
      <c r="C336" s="250">
        <v>0</v>
      </c>
      <c r="D336" s="16"/>
      <c r="E336" s="16"/>
    </row>
    <row r="337" spans="1:5" x14ac:dyDescent="0.25">
      <c r="A337" s="21" t="s">
        <v>483</v>
      </c>
      <c r="B337" s="35" t="s">
        <v>297</v>
      </c>
      <c r="C337" s="262">
        <v>0</v>
      </c>
      <c r="D337" s="16"/>
      <c r="E337" s="16"/>
    </row>
    <row r="338" spans="1:5" x14ac:dyDescent="0.25">
      <c r="A338" s="16" t="s">
        <v>484</v>
      </c>
      <c r="B338" s="35" t="s">
        <v>297</v>
      </c>
      <c r="C338" s="250">
        <v>73519996.370000005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v>1044657155.84</v>
      </c>
      <c r="E339" s="16"/>
    </row>
    <row r="340" spans="1:5" x14ac:dyDescent="0.25">
      <c r="A340" s="16" t="s">
        <v>485</v>
      </c>
      <c r="B340" s="16"/>
      <c r="C340" s="22"/>
      <c r="D340" s="25">
        <v>20119496.23</v>
      </c>
      <c r="E340" s="16"/>
    </row>
    <row r="341" spans="1:5" x14ac:dyDescent="0.25">
      <c r="A341" s="16" t="s">
        <v>486</v>
      </c>
      <c r="B341" s="16"/>
      <c r="C341" s="22"/>
      <c r="D341" s="25">
        <v>1024537659.61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297</v>
      </c>
      <c r="C343" s="254">
        <v>3181374252.0799999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297</v>
      </c>
      <c r="C345" s="251">
        <v>0</v>
      </c>
      <c r="D345" s="16"/>
      <c r="E345" s="16"/>
    </row>
    <row r="346" spans="1:5" x14ac:dyDescent="0.25">
      <c r="A346" s="16" t="s">
        <v>489</v>
      </c>
      <c r="B346" s="35" t="s">
        <v>297</v>
      </c>
      <c r="C346" s="251">
        <v>0</v>
      </c>
      <c r="D346" s="16"/>
      <c r="E346" s="16"/>
    </row>
    <row r="347" spans="1:5" x14ac:dyDescent="0.25">
      <c r="A347" s="16" t="s">
        <v>490</v>
      </c>
      <c r="B347" s="35" t="s">
        <v>297</v>
      </c>
      <c r="C347" s="251">
        <v>0</v>
      </c>
      <c r="D347" s="16"/>
      <c r="E347" s="16"/>
    </row>
    <row r="348" spans="1:5" x14ac:dyDescent="0.25">
      <c r="A348" s="16" t="s">
        <v>491</v>
      </c>
      <c r="B348" s="35" t="s">
        <v>297</v>
      </c>
      <c r="C348" s="251">
        <v>0</v>
      </c>
      <c r="D348" s="16"/>
      <c r="E348" s="16"/>
    </row>
    <row r="349" spans="1:5" x14ac:dyDescent="0.25">
      <c r="A349" s="16" t="s">
        <v>492</v>
      </c>
      <c r="B349" s="35" t="s">
        <v>297</v>
      </c>
      <c r="C349" s="251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4895703194.2199993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2679086902.1599998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297</v>
      </c>
      <c r="C358" s="251">
        <v>2346401860.7800002</v>
      </c>
      <c r="D358" s="16"/>
      <c r="E358" s="16"/>
    </row>
    <row r="359" spans="1:5" x14ac:dyDescent="0.25">
      <c r="A359" s="16" t="s">
        <v>498</v>
      </c>
      <c r="B359" s="35" t="s">
        <v>297</v>
      </c>
      <c r="C359" s="251">
        <v>1261061534.1000001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3607463394.8800001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403</v>
      </c>
      <c r="B362" s="34"/>
      <c r="C362" s="250">
        <v>3312322.7399999998</v>
      </c>
      <c r="D362" s="16"/>
      <c r="E362" s="34"/>
    </row>
    <row r="363" spans="1:5" x14ac:dyDescent="0.25">
      <c r="A363" s="16" t="s">
        <v>501</v>
      </c>
      <c r="B363" s="35" t="s">
        <v>297</v>
      </c>
      <c r="C363" s="250">
        <v>1937969785.76</v>
      </c>
      <c r="D363" s="16"/>
      <c r="E363" s="16"/>
    </row>
    <row r="364" spans="1:5" x14ac:dyDescent="0.25">
      <c r="A364" s="16" t="s">
        <v>502</v>
      </c>
      <c r="B364" s="35" t="s">
        <v>297</v>
      </c>
      <c r="C364" s="250">
        <v>31854067.349999998</v>
      </c>
      <c r="D364" s="16"/>
      <c r="E364" s="16"/>
    </row>
    <row r="365" spans="1:5" x14ac:dyDescent="0.25">
      <c r="A365" s="16" t="s">
        <v>503</v>
      </c>
      <c r="B365" s="35" t="s">
        <v>297</v>
      </c>
      <c r="C365" s="250">
        <v>22746316.150000002</v>
      </c>
      <c r="D365" s="16"/>
      <c r="E365" s="16"/>
    </row>
    <row r="366" spans="1:5" x14ac:dyDescent="0.25">
      <c r="A366" s="16" t="s">
        <v>420</v>
      </c>
      <c r="B366" s="16"/>
      <c r="C366" s="22"/>
      <c r="D366" s="25">
        <v>1995882492</v>
      </c>
      <c r="E366" s="16"/>
    </row>
    <row r="367" spans="1:5" x14ac:dyDescent="0.25">
      <c r="A367" s="16" t="s">
        <v>504</v>
      </c>
      <c r="B367" s="16"/>
      <c r="C367" s="22"/>
      <c r="D367" s="25">
        <v>1611580902.8800001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297</v>
      </c>
      <c r="C370" s="250">
        <v>0</v>
      </c>
      <c r="D370" s="25">
        <v>0</v>
      </c>
      <c r="E370" s="25"/>
    </row>
    <row r="371" spans="1:6" x14ac:dyDescent="0.25">
      <c r="A371" s="46" t="s">
        <v>508</v>
      </c>
      <c r="B371" s="32" t="s">
        <v>297</v>
      </c>
      <c r="C371" s="250">
        <v>0</v>
      </c>
      <c r="D371" s="25">
        <v>0</v>
      </c>
      <c r="E371" s="25"/>
    </row>
    <row r="372" spans="1:6" x14ac:dyDescent="0.25">
      <c r="A372" s="46" t="s">
        <v>509</v>
      </c>
      <c r="B372" s="32" t="s">
        <v>297</v>
      </c>
      <c r="C372" s="250">
        <v>600000</v>
      </c>
      <c r="D372" s="25">
        <v>0</v>
      </c>
      <c r="E372" s="25"/>
    </row>
    <row r="373" spans="1:6" x14ac:dyDescent="0.25">
      <c r="A373" s="46" t="s">
        <v>510</v>
      </c>
      <c r="B373" s="32" t="s">
        <v>297</v>
      </c>
      <c r="C373" s="250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297</v>
      </c>
      <c r="C374" s="250">
        <v>249269324.34</v>
      </c>
      <c r="D374" s="25">
        <v>0</v>
      </c>
      <c r="E374" s="25"/>
    </row>
    <row r="375" spans="1:6" x14ac:dyDescent="0.25">
      <c r="A375" s="46" t="s">
        <v>512</v>
      </c>
      <c r="B375" s="32" t="s">
        <v>297</v>
      </c>
      <c r="C375" s="250">
        <v>1288707.45</v>
      </c>
      <c r="D375" s="25">
        <v>0</v>
      </c>
      <c r="E375" s="25"/>
    </row>
    <row r="376" spans="1:6" x14ac:dyDescent="0.25">
      <c r="A376" s="46" t="s">
        <v>513</v>
      </c>
      <c r="B376" s="32" t="s">
        <v>297</v>
      </c>
      <c r="C376" s="250">
        <v>46612694.909999996</v>
      </c>
      <c r="D376" s="25">
        <v>0</v>
      </c>
      <c r="E376" s="25"/>
    </row>
    <row r="377" spans="1:6" x14ac:dyDescent="0.25">
      <c r="A377" s="46" t="s">
        <v>514</v>
      </c>
      <c r="B377" s="32" t="s">
        <v>297</v>
      </c>
      <c r="C377" s="250">
        <v>2224686.5</v>
      </c>
      <c r="D377" s="25">
        <v>0</v>
      </c>
      <c r="E377" s="25"/>
    </row>
    <row r="378" spans="1:6" x14ac:dyDescent="0.25">
      <c r="A378" s="46" t="s">
        <v>515</v>
      </c>
      <c r="B378" s="32" t="s">
        <v>297</v>
      </c>
      <c r="C378" s="250">
        <v>11601744.26</v>
      </c>
      <c r="D378" s="25">
        <v>0</v>
      </c>
      <c r="E378" s="25"/>
    </row>
    <row r="379" spans="1:6" x14ac:dyDescent="0.25">
      <c r="A379" s="46" t="s">
        <v>516</v>
      </c>
      <c r="B379" s="32" t="s">
        <v>297</v>
      </c>
      <c r="C379" s="250">
        <v>4766415.6500000004</v>
      </c>
      <c r="D379" s="25">
        <v>0</v>
      </c>
      <c r="E379" s="25"/>
    </row>
    <row r="380" spans="1:6" x14ac:dyDescent="0.25">
      <c r="A380" s="46" t="s">
        <v>517</v>
      </c>
      <c r="B380" s="32" t="s">
        <v>297</v>
      </c>
      <c r="C380" s="255">
        <v>370043586.62000006</v>
      </c>
      <c r="D380" s="25">
        <v>0</v>
      </c>
      <c r="E380" s="204" t="s">
        <v>1055</v>
      </c>
      <c r="F380" s="47"/>
    </row>
    <row r="381" spans="1:6" x14ac:dyDescent="0.25">
      <c r="A381" s="48" t="s">
        <v>518</v>
      </c>
      <c r="B381" s="35"/>
      <c r="C381" s="35"/>
      <c r="D381" s="25">
        <v>686407159.73000002</v>
      </c>
      <c r="E381" s="25"/>
      <c r="F381" s="47"/>
    </row>
    <row r="382" spans="1:6" x14ac:dyDescent="0.25">
      <c r="A382" s="43" t="s">
        <v>519</v>
      </c>
      <c r="B382" s="35" t="s">
        <v>297</v>
      </c>
      <c r="C382" s="250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686407159.73000002</v>
      </c>
      <c r="E383" s="16"/>
    </row>
    <row r="384" spans="1:6" x14ac:dyDescent="0.25">
      <c r="A384" s="16" t="s">
        <v>521</v>
      </c>
      <c r="B384" s="16"/>
      <c r="C384" s="22"/>
      <c r="D384" s="25">
        <v>2297988062.6100001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297</v>
      </c>
      <c r="C389" s="250">
        <v>936042632.28999996</v>
      </c>
      <c r="D389" s="16"/>
      <c r="E389" s="16"/>
    </row>
    <row r="390" spans="1:5" x14ac:dyDescent="0.25">
      <c r="A390" s="16" t="s">
        <v>9</v>
      </c>
      <c r="B390" s="35" t="s">
        <v>297</v>
      </c>
      <c r="C390" s="250">
        <v>252948007.5</v>
      </c>
      <c r="D390" s="16"/>
      <c r="E390" s="16"/>
    </row>
    <row r="391" spans="1:5" x14ac:dyDescent="0.25">
      <c r="A391" s="16" t="s">
        <v>262</v>
      </c>
      <c r="B391" s="35" t="s">
        <v>297</v>
      </c>
      <c r="C391" s="250">
        <v>244469040.13</v>
      </c>
      <c r="D391" s="16"/>
      <c r="E391" s="16"/>
    </row>
    <row r="392" spans="1:5" x14ac:dyDescent="0.25">
      <c r="A392" s="16" t="s">
        <v>524</v>
      </c>
      <c r="B392" s="35" t="s">
        <v>297</v>
      </c>
      <c r="C392" s="250">
        <v>222313903.37000003</v>
      </c>
      <c r="D392" s="16"/>
      <c r="E392" s="16"/>
    </row>
    <row r="393" spans="1:5" x14ac:dyDescent="0.25">
      <c r="A393" s="16" t="s">
        <v>525</v>
      </c>
      <c r="B393" s="35" t="s">
        <v>297</v>
      </c>
      <c r="C393" s="250">
        <v>0</v>
      </c>
      <c r="D393" s="16"/>
      <c r="E393" s="16"/>
    </row>
    <row r="394" spans="1:5" x14ac:dyDescent="0.25">
      <c r="A394" s="16" t="s">
        <v>526</v>
      </c>
      <c r="B394" s="35" t="s">
        <v>297</v>
      </c>
      <c r="C394" s="250">
        <v>143819635.40000004</v>
      </c>
      <c r="D394" s="16"/>
      <c r="E394" s="16"/>
    </row>
    <row r="395" spans="1:5" x14ac:dyDescent="0.25">
      <c r="A395" s="16" t="s">
        <v>14</v>
      </c>
      <c r="B395" s="35" t="s">
        <v>297</v>
      </c>
      <c r="C395" s="250">
        <v>129507184.76000001</v>
      </c>
      <c r="D395" s="16"/>
      <c r="E395" s="16"/>
    </row>
    <row r="396" spans="1:5" x14ac:dyDescent="0.25">
      <c r="A396" s="16" t="s">
        <v>527</v>
      </c>
      <c r="B396" s="35" t="s">
        <v>297</v>
      </c>
      <c r="C396" s="250">
        <v>30814260.539999999</v>
      </c>
      <c r="D396" s="16"/>
      <c r="E396" s="16"/>
    </row>
    <row r="397" spans="1:5" x14ac:dyDescent="0.25">
      <c r="A397" s="16" t="s">
        <v>528</v>
      </c>
      <c r="B397" s="35" t="s">
        <v>297</v>
      </c>
      <c r="C397" s="250">
        <v>6285256.79</v>
      </c>
      <c r="D397" s="16"/>
      <c r="E397" s="16"/>
    </row>
    <row r="398" spans="1:5" x14ac:dyDescent="0.25">
      <c r="A398" s="16" t="s">
        <v>529</v>
      </c>
      <c r="B398" s="35" t="s">
        <v>297</v>
      </c>
      <c r="C398" s="250">
        <v>47858364.75</v>
      </c>
      <c r="D398" s="16"/>
      <c r="E398" s="16"/>
    </row>
    <row r="399" spans="1:5" x14ac:dyDescent="0.25">
      <c r="A399" s="16" t="s">
        <v>530</v>
      </c>
      <c r="B399" s="35" t="s">
        <v>297</v>
      </c>
      <c r="C399" s="250">
        <v>28184317.68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297</v>
      </c>
      <c r="C401" s="250">
        <v>5083140.04</v>
      </c>
      <c r="D401" s="25">
        <v>0</v>
      </c>
      <c r="E401" s="25"/>
    </row>
    <row r="402" spans="1:9" x14ac:dyDescent="0.25">
      <c r="A402" s="26" t="s">
        <v>269</v>
      </c>
      <c r="B402" s="32" t="s">
        <v>297</v>
      </c>
      <c r="C402" s="250">
        <v>99460448.120000005</v>
      </c>
      <c r="D402" s="25">
        <v>0</v>
      </c>
      <c r="E402" s="25"/>
    </row>
    <row r="403" spans="1:9" x14ac:dyDescent="0.25">
      <c r="A403" s="26" t="s">
        <v>532</v>
      </c>
      <c r="B403" s="32" t="s">
        <v>297</v>
      </c>
      <c r="C403" s="250">
        <v>37113010.560000002</v>
      </c>
      <c r="D403" s="25">
        <v>0</v>
      </c>
      <c r="E403" s="25"/>
      <c r="G403" s="11">
        <v>160250972.95999998</v>
      </c>
    </row>
    <row r="404" spans="1:9" x14ac:dyDescent="0.25">
      <c r="A404" s="26" t="s">
        <v>271</v>
      </c>
      <c r="B404" s="32" t="s">
        <v>297</v>
      </c>
      <c r="C404" s="250">
        <v>1780199.43</v>
      </c>
      <c r="D404" s="25">
        <v>0</v>
      </c>
      <c r="E404" s="25"/>
    </row>
    <row r="405" spans="1:9" x14ac:dyDescent="0.25">
      <c r="A405" s="26" t="s">
        <v>272</v>
      </c>
      <c r="B405" s="32" t="s">
        <v>297</v>
      </c>
      <c r="C405" s="250">
        <v>4041050.21</v>
      </c>
      <c r="D405" s="25">
        <v>0</v>
      </c>
      <c r="E405" s="25"/>
    </row>
    <row r="406" spans="1:9" x14ac:dyDescent="0.25">
      <c r="A406" s="26" t="s">
        <v>273</v>
      </c>
      <c r="B406" s="32" t="s">
        <v>297</v>
      </c>
      <c r="C406" s="250">
        <v>6285189.1299999999</v>
      </c>
      <c r="D406" s="25">
        <v>0</v>
      </c>
      <c r="E406" s="25"/>
    </row>
    <row r="407" spans="1:9" x14ac:dyDescent="0.25">
      <c r="A407" s="26" t="s">
        <v>274</v>
      </c>
      <c r="B407" s="32" t="s">
        <v>297</v>
      </c>
      <c r="C407" s="250">
        <v>11036122.41</v>
      </c>
      <c r="D407" s="25">
        <v>0</v>
      </c>
      <c r="E407" s="25"/>
    </row>
    <row r="408" spans="1:9" x14ac:dyDescent="0.25">
      <c r="A408" s="26" t="s">
        <v>275</v>
      </c>
      <c r="B408" s="32" t="s">
        <v>297</v>
      </c>
      <c r="C408" s="250">
        <v>28270923.66</v>
      </c>
      <c r="D408" s="25">
        <v>0</v>
      </c>
      <c r="E408" s="25"/>
    </row>
    <row r="409" spans="1:9" x14ac:dyDescent="0.25">
      <c r="A409" s="26" t="s">
        <v>276</v>
      </c>
      <c r="B409" s="32" t="s">
        <v>297</v>
      </c>
      <c r="C409" s="250">
        <v>0</v>
      </c>
      <c r="D409" s="25">
        <v>0</v>
      </c>
      <c r="E409" s="25"/>
    </row>
    <row r="410" spans="1:9" x14ac:dyDescent="0.25">
      <c r="A410" s="26" t="s">
        <v>277</v>
      </c>
      <c r="B410" s="32" t="s">
        <v>297</v>
      </c>
      <c r="C410" s="250">
        <v>2691108.98</v>
      </c>
      <c r="D410" s="25">
        <v>0</v>
      </c>
      <c r="E410" s="25"/>
    </row>
    <row r="411" spans="1:9" x14ac:dyDescent="0.25">
      <c r="A411" s="26" t="s">
        <v>278</v>
      </c>
      <c r="B411" s="32" t="s">
        <v>297</v>
      </c>
      <c r="C411" s="250">
        <v>1612813.98</v>
      </c>
      <c r="D411" s="25">
        <v>0</v>
      </c>
      <c r="E411" s="25"/>
    </row>
    <row r="412" spans="1:9" x14ac:dyDescent="0.25">
      <c r="A412" s="26" t="s">
        <v>279</v>
      </c>
      <c r="B412" s="32" t="s">
        <v>297</v>
      </c>
      <c r="C412" s="250">
        <v>0</v>
      </c>
      <c r="D412" s="25">
        <v>0</v>
      </c>
      <c r="E412" s="25"/>
    </row>
    <row r="413" spans="1:9" x14ac:dyDescent="0.25">
      <c r="A413" s="26" t="s">
        <v>280</v>
      </c>
      <c r="B413" s="32" t="s">
        <v>297</v>
      </c>
      <c r="C413" s="250">
        <v>17860076.449999999</v>
      </c>
      <c r="D413" s="25">
        <v>0</v>
      </c>
      <c r="E413" s="25"/>
    </row>
    <row r="414" spans="1:9" x14ac:dyDescent="0.25">
      <c r="A414" s="26" t="s">
        <v>281</v>
      </c>
      <c r="B414" s="32" t="s">
        <v>297</v>
      </c>
      <c r="C414" s="255">
        <v>47108773.199999988</v>
      </c>
      <c r="D414" s="25">
        <v>0</v>
      </c>
      <c r="E414" s="204" t="s">
        <v>1055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262342856.16999999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2304585459.3800001</v>
      </c>
      <c r="E416" s="25"/>
    </row>
    <row r="417" spans="1:13" x14ac:dyDescent="0.25">
      <c r="A417" s="25" t="s">
        <v>535</v>
      </c>
      <c r="B417" s="16"/>
      <c r="C417" s="22"/>
      <c r="D417" s="25">
        <v>-6597396.7699999809</v>
      </c>
      <c r="E417" s="25"/>
    </row>
    <row r="418" spans="1:13" x14ac:dyDescent="0.25">
      <c r="A418" s="25" t="s">
        <v>536</v>
      </c>
      <c r="B418" s="16"/>
      <c r="C418" s="255">
        <v>0</v>
      </c>
      <c r="D418" s="25">
        <v>0</v>
      </c>
      <c r="E418" s="25"/>
    </row>
    <row r="419" spans="1:13" x14ac:dyDescent="0.25">
      <c r="A419" s="46" t="s">
        <v>537</v>
      </c>
      <c r="B419" s="35" t="s">
        <v>297</v>
      </c>
      <c r="C419" s="250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0</v>
      </c>
      <c r="E420" s="25"/>
      <c r="F420" s="11">
        <v>-28184317.68</v>
      </c>
    </row>
    <row r="421" spans="1:13" x14ac:dyDescent="0.25">
      <c r="A421" s="25" t="s">
        <v>539</v>
      </c>
      <c r="B421" s="16"/>
      <c r="C421" s="22"/>
      <c r="D421" s="25">
        <v>-6597396.7699999809</v>
      </c>
      <c r="E421" s="25"/>
      <c r="F421" s="50"/>
    </row>
    <row r="422" spans="1:13" x14ac:dyDescent="0.25">
      <c r="A422" s="25" t="s">
        <v>540</v>
      </c>
      <c r="B422" s="35" t="s">
        <v>297</v>
      </c>
      <c r="C422" s="250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297</v>
      </c>
      <c r="C423" s="250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-6597396.7699999809</v>
      </c>
      <c r="E424" s="16"/>
    </row>
    <row r="425" spans="1:13" x14ac:dyDescent="0.25">
      <c r="A425" s="16"/>
      <c r="B425" s="16"/>
      <c r="C425" s="22"/>
      <c r="D425" s="25"/>
      <c r="E425" s="16"/>
    </row>
    <row r="426" spans="1:13" ht="29.25" customHeight="1" x14ac:dyDescent="0.25">
      <c r="A426" s="328" t="s">
        <v>1364</v>
      </c>
      <c r="B426" s="328"/>
      <c r="C426" s="328"/>
      <c r="D426" s="328"/>
      <c r="E426" s="328"/>
    </row>
    <row r="428" spans="1:13" x14ac:dyDescent="0.25">
      <c r="M428" s="51"/>
    </row>
    <row r="429" spans="1:13" x14ac:dyDescent="0.25">
      <c r="M429" s="51"/>
    </row>
    <row r="430" spans="1:13" x14ac:dyDescent="0.25">
      <c r="M430" s="51"/>
    </row>
    <row r="434" spans="2:7" x14ac:dyDescent="0.25">
      <c r="B434" s="52"/>
      <c r="C434" s="52"/>
      <c r="D434" s="52"/>
      <c r="E434" s="52"/>
      <c r="F434" s="52"/>
      <c r="G434" s="52"/>
    </row>
    <row r="575" spans="2:83" x14ac:dyDescent="0.25"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  <c r="BF575" s="53"/>
      <c r="BG575" s="53"/>
      <c r="BH575" s="53"/>
      <c r="BI575" s="53"/>
      <c r="BJ575" s="53"/>
      <c r="BK575" s="53"/>
      <c r="BL575" s="53"/>
      <c r="BM575" s="53"/>
      <c r="BN575" s="53"/>
      <c r="BO575" s="53"/>
      <c r="BP575" s="53"/>
      <c r="BQ575" s="53"/>
      <c r="BR575" s="53"/>
      <c r="BS575" s="53"/>
      <c r="BT575" s="53"/>
      <c r="BU575" s="53"/>
      <c r="BV575" s="53"/>
      <c r="BW575" s="53"/>
      <c r="BX575" s="53"/>
      <c r="BY575" s="53"/>
      <c r="BZ575" s="53"/>
      <c r="CA575" s="53"/>
      <c r="CB575" s="53"/>
      <c r="CC575" s="53"/>
      <c r="CD575" s="53"/>
      <c r="CE575" s="53"/>
    </row>
    <row r="579" spans="2:83" x14ac:dyDescent="0.25"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  <c r="BF579" s="53"/>
      <c r="BG579" s="53"/>
      <c r="BH579" s="53"/>
      <c r="BI579" s="53"/>
      <c r="BJ579" s="53"/>
      <c r="BK579" s="53"/>
      <c r="BL579" s="53"/>
      <c r="BM579" s="53"/>
      <c r="BN579" s="53"/>
      <c r="BO579" s="53"/>
      <c r="BP579" s="53"/>
      <c r="BQ579" s="53"/>
      <c r="BR579" s="53"/>
      <c r="BS579" s="53"/>
      <c r="BT579" s="53"/>
      <c r="BU579" s="53"/>
      <c r="BV579" s="53"/>
      <c r="BW579" s="53"/>
      <c r="BX579" s="53"/>
      <c r="BY579" s="53"/>
      <c r="BZ579" s="53"/>
      <c r="CA579" s="53"/>
      <c r="CB579" s="53"/>
      <c r="CC579" s="53"/>
      <c r="CD579" s="53"/>
      <c r="CE579" s="53"/>
    </row>
    <row r="583" spans="2:83" x14ac:dyDescent="0.25"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  <c r="BF583" s="53"/>
      <c r="BG583" s="53"/>
      <c r="BH583" s="53"/>
      <c r="BI583" s="53"/>
      <c r="BJ583" s="53"/>
      <c r="BK583" s="53"/>
      <c r="BL583" s="53"/>
      <c r="BM583" s="53"/>
      <c r="BN583" s="53"/>
      <c r="BO583" s="53"/>
      <c r="BP583" s="53"/>
      <c r="BQ583" s="53"/>
      <c r="BR583" s="53"/>
      <c r="BS583" s="53"/>
      <c r="BT583" s="53"/>
      <c r="BU583" s="53"/>
      <c r="BV583" s="53"/>
      <c r="BW583" s="53"/>
      <c r="BX583" s="53"/>
      <c r="BY583" s="53"/>
      <c r="BZ583" s="53"/>
      <c r="CA583" s="53"/>
      <c r="CB583" s="53"/>
      <c r="CC583" s="53"/>
      <c r="CD583" s="53"/>
      <c r="CE583" s="53"/>
    </row>
    <row r="612" spans="1:14" x14ac:dyDescent="0.25">
      <c r="C612" s="11" t="s">
        <v>543</v>
      </c>
      <c r="D612" s="11">
        <f>CE90-(BE90+CD90)</f>
        <v>1892151.9415751912</v>
      </c>
      <c r="E612" s="11">
        <f>SUM(C624:D647)+SUM(C668:D713)</f>
        <v>1743756449.2503395</v>
      </c>
      <c r="F612" s="11">
        <f>CE64-(AX64+BD64+BE64+BG64+BJ64+BN64+BP64+BQ64+CB64+CC64+CD64)</f>
        <v>221129917.97000009</v>
      </c>
      <c r="G612" s="11">
        <f>CE91-(AX91+AY91+BD91+BE91+BG91+BJ91+BN91+BP91+BQ91+CB91+CC91+CD91)</f>
        <v>0</v>
      </c>
      <c r="H612" s="11">
        <f>CE60-(AX60+AY60+AZ60+BD60+BE60+BG60+BJ60+BN60+BO60+BP60+BQ60+BR60+CB60+CC60+CD60)</f>
        <v>7426.1940976849346</v>
      </c>
      <c r="I612" s="11">
        <f>CE92-(AX92+AY92+AZ92+BD92+BE92+BF92+BG92+BJ92+BN92+BO92+BP92+BQ92+BR92+CB92+CC92+CD92)</f>
        <v>470124.12480334251</v>
      </c>
      <c r="J612" s="11">
        <f>CE93-(AX93+AY93+AZ93+BA93+BD93+BE93+BF93+BG93+BJ93+BN93+BO93+BP93+BQ93+BR93+CB93+CC93+CD93)</f>
        <v>3506342</v>
      </c>
      <c r="K612" s="11">
        <f>CE89-(AW89+AX89+AY89+AZ89+BA89+BB89+BC89+BD89+BE89+BF89+BG89+BH89+BI89+BJ89+BK89+BL89+BM89+BN89+BO89+BP89+BQ89+BR89+BS89+BT89+BU89+BV89+BW89+BX89+CB89+CC89+CD89)</f>
        <v>3856376018.7300005</v>
      </c>
      <c r="L612" s="11">
        <f>CE94-(AW94+AX94+AY94+AZ94+BA94+BB94+BC94+BD94+BE94+BF94+BG94+BH94+BI94+BJ94+BK94+BL94+BM94+BN94+BO94+BP94+BQ94+BR94+BS94+BT94+BU94+BV94+BW94+BX94+BY94+BZ94+CA94+CB94+CC94+CD94)</f>
        <v>1369.4677005605081</v>
      </c>
    </row>
    <row r="613" spans="1:14" s="202" customFormat="1" ht="12.6" customHeight="1" x14ac:dyDescent="0.2">
      <c r="A613" s="211"/>
      <c r="C613" s="209" t="s">
        <v>544</v>
      </c>
      <c r="D613" s="216" t="s">
        <v>545</v>
      </c>
      <c r="E613" s="218" t="s">
        <v>546</v>
      </c>
      <c r="F613" s="218" t="s">
        <v>547</v>
      </c>
      <c r="G613" s="216" t="s">
        <v>548</v>
      </c>
      <c r="H613" s="221" t="s">
        <v>549</v>
      </c>
      <c r="I613" s="216" t="s">
        <v>550</v>
      </c>
      <c r="J613" s="216" t="s">
        <v>551</v>
      </c>
      <c r="K613" s="216" t="s">
        <v>552</v>
      </c>
      <c r="L613" s="222" t="s">
        <v>553</v>
      </c>
    </row>
    <row r="614" spans="1:14" s="202" customFormat="1" ht="12.6" customHeight="1" x14ac:dyDescent="0.2">
      <c r="A614" s="211">
        <v>8430</v>
      </c>
      <c r="B614" s="202" t="s">
        <v>165</v>
      </c>
      <c r="C614" s="209">
        <f>BE85</f>
        <v>86890545.350000009</v>
      </c>
      <c r="D614" s="217"/>
      <c r="E614" s="219"/>
      <c r="F614" s="220"/>
      <c r="G614" s="217"/>
      <c r="H614" s="220"/>
      <c r="I614" s="217"/>
      <c r="J614" s="217"/>
      <c r="K614" s="209"/>
      <c r="L614" s="210"/>
      <c r="N614" s="20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82327939.219999999</v>
      </c>
      <c r="D615" s="216">
        <f>SUM(C614:C615)</f>
        <v>169218484.56999999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0" t="s">
        <v>557</v>
      </c>
      <c r="C616" s="216">
        <f>AX85</f>
        <v>1544578.3300000003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170</v>
      </c>
      <c r="C617" s="216">
        <f>BJ85</f>
        <v>12765712.510000002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5691673.5399999991</v>
      </c>
      <c r="D618" s="216">
        <f>(D615/D612)*BG90</f>
        <v>191697.79962366159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36045435.399999999</v>
      </c>
      <c r="D619" s="216">
        <f>(D615/D612)*BN90</f>
        <v>2143392.3955403711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88695873.5</v>
      </c>
      <c r="D620" s="216">
        <f>(D615/D612)*CC90</f>
        <v>6441832.6345184101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11777311.880000001</v>
      </c>
      <c r="D621" s="216">
        <f>(D615/D612)*BP90</f>
        <v>268118.90997838246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5" t="s">
        <v>568</v>
      </c>
      <c r="C622" s="216">
        <f>CB85</f>
        <v>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0" t="s">
        <v>570</v>
      </c>
      <c r="C623" s="216">
        <f>BQ85</f>
        <v>12356222.120000001</v>
      </c>
      <c r="D623" s="216">
        <f>(D615/D612)*BQ90</f>
        <v>0</v>
      </c>
      <c r="E623" s="218">
        <f>SUM(C616:D623)</f>
        <v>177921849.01966083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164</v>
      </c>
      <c r="C624" s="216">
        <f>BD85</f>
        <v>5158272.9200000009</v>
      </c>
      <c r="D624" s="216">
        <f>(D615/D612)*BD90</f>
        <v>0</v>
      </c>
      <c r="E624" s="218">
        <f>(E623/E612)*SUM(C624:D624)</f>
        <v>526317.45452124614</v>
      </c>
      <c r="F624" s="218">
        <f>SUM(C624:E624)</f>
        <v>5684590.3745212471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160</v>
      </c>
      <c r="C625" s="216">
        <f>AY85</f>
        <v>19761593.710000001</v>
      </c>
      <c r="D625" s="216">
        <f>(D615/D612)*AY90</f>
        <v>5047560.1934349639</v>
      </c>
      <c r="E625" s="218">
        <f>(E623/E612)*SUM(C625:D625)</f>
        <v>2531368.7223982178</v>
      </c>
      <c r="F625" s="218">
        <f>(F624/F612)*AY64</f>
        <v>100740.21353491989</v>
      </c>
      <c r="G625" s="216">
        <f>SUM(C625:F625)</f>
        <v>27441262.839368105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177</v>
      </c>
      <c r="C626" s="216">
        <f>BR85</f>
        <v>26032764.699999999</v>
      </c>
      <c r="D626" s="216">
        <f>(D615/D612)*BR90</f>
        <v>5107.0675265261889</v>
      </c>
      <c r="E626" s="218">
        <f>(E623/E612)*SUM(C626:D626)</f>
        <v>2656739.3006097819</v>
      </c>
      <c r="F626" s="218">
        <f>(F624/F612)*BR64</f>
        <v>6008.764897928736</v>
      </c>
      <c r="G626" s="216" t="e">
        <f>(G625/G612)*BR91</f>
        <v>#DIV/0!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5" t="s">
        <v>575</v>
      </c>
      <c r="C627" s="216">
        <f>BO85</f>
        <v>2316032.7599999998</v>
      </c>
      <c r="D627" s="216">
        <f>(D615/D612)*BO90</f>
        <v>62732.447548975688</v>
      </c>
      <c r="E627" s="218">
        <f>(E623/E612)*SUM(C627:D627)</f>
        <v>242714.11543320981</v>
      </c>
      <c r="F627" s="218">
        <f>(F624/F612)*BO64</f>
        <v>6948.4504262239743</v>
      </c>
      <c r="G627" s="216" t="e">
        <f>(G625/G612)*BO91</f>
        <v>#DIV/0!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0" t="s">
        <v>161</v>
      </c>
      <c r="C628" s="216">
        <f>AZ85</f>
        <v>586969.89999999991</v>
      </c>
      <c r="D628" s="216">
        <f>(D615/D612)*AZ90</f>
        <v>144358.3331964206</v>
      </c>
      <c r="E628" s="218">
        <f>(E623/E612)*SUM(C628:D628)</f>
        <v>74620.09476525725</v>
      </c>
      <c r="F628" s="218">
        <f>(F624/F612)*AZ64</f>
        <v>2970.4793933783067</v>
      </c>
      <c r="G628" s="216" t="e">
        <f>(G625/G612)*AZ91</f>
        <v>#DIV/0!</v>
      </c>
      <c r="H628" s="218" t="e">
        <f>SUM(C626:G628)</f>
        <v>#DIV/0!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166</v>
      </c>
      <c r="C629" s="216">
        <f>BF85</f>
        <v>20114287.860000003</v>
      </c>
      <c r="D629" s="216">
        <f>(D615/D612)*BF90</f>
        <v>836458.06070117082</v>
      </c>
      <c r="E629" s="218">
        <f>(E623/E612)*SUM(C629:D629)</f>
        <v>2137681.2422140744</v>
      </c>
      <c r="F629" s="218">
        <f>(F624/F612)*BF64</f>
        <v>30632.439838130351</v>
      </c>
      <c r="G629" s="216" t="e">
        <f>(G625/G612)*BF91</f>
        <v>#DIV/0!</v>
      </c>
      <c r="H629" s="218" t="e">
        <f>(H628/H612)*BF60</f>
        <v>#DIV/0!</v>
      </c>
      <c r="I629" s="216" t="e">
        <f>SUM(C629:H629)</f>
        <v>#DIV/0!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4725630.74</v>
      </c>
      <c r="D630" s="216">
        <f>(D615/D612)*BA90</f>
        <v>117917.5558340797</v>
      </c>
      <c r="E630" s="218">
        <f>(E623/E612)*SUM(C630:D630)</f>
        <v>494204.9498835188</v>
      </c>
      <c r="F630" s="218">
        <f>(F624/F612)*BA64</f>
        <v>3911.8088853569225</v>
      </c>
      <c r="G630" s="216" t="e">
        <f>(G625/G612)*BA91</f>
        <v>#DIV/0!</v>
      </c>
      <c r="H630" s="218" t="e">
        <f>(H628/H612)*BA60</f>
        <v>#DIV/0!</v>
      </c>
      <c r="I630" s="216" t="e">
        <f>(I629/I612)*BA92</f>
        <v>#DIV/0!</v>
      </c>
      <c r="J630" s="216" t="e">
        <f>SUM(C630:I630)</f>
        <v>#DIV/0!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180094480.78999996</v>
      </c>
      <c r="D631" s="216">
        <f>(D615/D612)*AW90</f>
        <v>1553090.8067214857</v>
      </c>
      <c r="E631" s="218">
        <f>(E623/E612)*SUM(C631:D631)</f>
        <v>18534166.180325374</v>
      </c>
      <c r="F631" s="218">
        <f>(F624/F612)*AW64</f>
        <v>619413.99935140344</v>
      </c>
      <c r="G631" s="216" t="e">
        <f>(G625/G612)*AW91</f>
        <v>#DIV/0!</v>
      </c>
      <c r="H631" s="218" t="e">
        <f>(H628/H612)*AW60</f>
        <v>#DIV/0!</v>
      </c>
      <c r="I631" s="216" t="e">
        <f>(I629/I612)*AW92</f>
        <v>#DIV/0!</v>
      </c>
      <c r="J631" s="216" t="e">
        <f>(J630/J612)*AW93</f>
        <v>#DIV/0!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28963313.200000003</v>
      </c>
      <c r="D632" s="216">
        <f>(D615/D612)*BB90</f>
        <v>1761919.4217595675</v>
      </c>
      <c r="E632" s="218">
        <f>(E623/E612)*SUM(C632:D632)</f>
        <v>3135007.8745072773</v>
      </c>
      <c r="F632" s="218">
        <f>(F624/F612)*BB64</f>
        <v>7569.9496756410699</v>
      </c>
      <c r="G632" s="216" t="e">
        <f>(G625/G612)*BB91</f>
        <v>#DIV/0!</v>
      </c>
      <c r="H632" s="218" t="e">
        <f>(H628/H612)*BB60</f>
        <v>#DIV/0!</v>
      </c>
      <c r="I632" s="216" t="e">
        <f>(I629/I612)*BB92</f>
        <v>#DIV/0!</v>
      </c>
      <c r="J632" s="216" t="e">
        <f>(J630/J612)*BB93</f>
        <v>#DIV/0!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437028.64</v>
      </c>
      <c r="D633" s="216">
        <f>(D615/D612)*BC90</f>
        <v>89907.486577593241</v>
      </c>
      <c r="E633" s="218">
        <f>(E623/E612)*SUM(C633:D633)</f>
        <v>53765.220479183947</v>
      </c>
      <c r="F633" s="218">
        <f>(F624/F612)*BC64</f>
        <v>0</v>
      </c>
      <c r="G633" s="216" t="e">
        <f>(G625/G612)*BC91</f>
        <v>#DIV/0!</v>
      </c>
      <c r="H633" s="218" t="e">
        <f>(H628/H612)*BC60</f>
        <v>#DIV/0!</v>
      </c>
      <c r="I633" s="216" t="e">
        <f>(I629/I612)*BC92</f>
        <v>#DIV/0!</v>
      </c>
      <c r="J633" s="216" t="e">
        <f>(J630/J612)*BC93</f>
        <v>#DIV/0!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8928038.5800000001</v>
      </c>
      <c r="D634" s="216">
        <f>(D615/D612)*BI90</f>
        <v>210561.20630885215</v>
      </c>
      <c r="E634" s="218">
        <f>(E623/E612)*SUM(C634:D634)</f>
        <v>932444.76436475141</v>
      </c>
      <c r="F634" s="218">
        <f>(F624/F612)*BI64</f>
        <v>6007.1489548929731</v>
      </c>
      <c r="G634" s="216" t="e">
        <f>(G625/G612)*BI91</f>
        <v>#DIV/0!</v>
      </c>
      <c r="H634" s="218" t="e">
        <f>(H628/H612)*BI60</f>
        <v>#DIV/0!</v>
      </c>
      <c r="I634" s="216" t="e">
        <f>(I629/I612)*BI92</f>
        <v>#DIV/0!</v>
      </c>
      <c r="J634" s="216" t="e">
        <f>(J630/J612)*BI93</f>
        <v>#DIV/0!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18224175.32</v>
      </c>
      <c r="D635" s="216">
        <f>(D615/D612)*BK90</f>
        <v>0</v>
      </c>
      <c r="E635" s="218">
        <f>(E623/E612)*SUM(C635:D635)</f>
        <v>1859479.2702770201</v>
      </c>
      <c r="F635" s="218">
        <f>(F624/F612)*BK64</f>
        <v>3438.2763931799841</v>
      </c>
      <c r="G635" s="216" t="e">
        <f>(G625/G612)*BK91</f>
        <v>#DIV/0!</v>
      </c>
      <c r="H635" s="218" t="e">
        <f>(H628/H612)*BK60</f>
        <v>#DIV/0!</v>
      </c>
      <c r="I635" s="216" t="e">
        <f>(I629/I612)*BK92</f>
        <v>#DIV/0!</v>
      </c>
      <c r="J635" s="216" t="e">
        <f>(J630/J612)*BK93</f>
        <v>#DIV/0!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110688107.7</v>
      </c>
      <c r="D636" s="216">
        <f>(D615/D612)*BH90</f>
        <v>1388094.7731857612</v>
      </c>
      <c r="E636" s="218">
        <f>(E623/E612)*SUM(C636:D636)</f>
        <v>11435544.902904227</v>
      </c>
      <c r="F636" s="218">
        <f>(F624/F612)*BH64</f>
        <v>8349.9095433646435</v>
      </c>
      <c r="G636" s="216" t="e">
        <f>(G625/G612)*BH91</f>
        <v>#DIV/0!</v>
      </c>
      <c r="H636" s="218" t="e">
        <f>(H628/H612)*BH60</f>
        <v>#DIV/0!</v>
      </c>
      <c r="I636" s="216" t="e">
        <f>(I629/I612)*BH92</f>
        <v>#DIV/0!</v>
      </c>
      <c r="J636" s="216" t="e">
        <f>(J630/J612)*BH93</f>
        <v>#DIV/0!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172</v>
      </c>
      <c r="C637" s="216">
        <f>BL85</f>
        <v>11173635.010000002</v>
      </c>
      <c r="D637" s="216">
        <f>(D615/D612)*BL90</f>
        <v>494931.72541915887</v>
      </c>
      <c r="E637" s="218">
        <f>(E623/E612)*SUM(C637:D637)</f>
        <v>1190586.5465716959</v>
      </c>
      <c r="F637" s="218">
        <f>(F624/F612)*BL64</f>
        <v>835.58290979756055</v>
      </c>
      <c r="G637" s="216" t="e">
        <f>(G625/G612)*BL91</f>
        <v>#DIV/0!</v>
      </c>
      <c r="H637" s="218" t="e">
        <f>(H628/H612)*BL60</f>
        <v>#DIV/0!</v>
      </c>
      <c r="I637" s="216" t="e">
        <f>(I629/I612)*BL92</f>
        <v>#DIV/0!</v>
      </c>
      <c r="J637" s="216" t="e">
        <f>(J630/J612)*BL93</f>
        <v>#DIV/0!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 t="e">
        <f>(G625/G612)*BM91</f>
        <v>#DIV/0!</v>
      </c>
      <c r="H638" s="218" t="e">
        <f>(H628/H612)*BM60</f>
        <v>#DIV/0!</v>
      </c>
      <c r="I638" s="216" t="e">
        <f>(I629/I612)*BM92</f>
        <v>#DIV/0!</v>
      </c>
      <c r="J638" s="216" t="e">
        <f>(J630/J612)*BM93</f>
        <v>#DIV/0!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39962</v>
      </c>
      <c r="D639" s="216">
        <f>(D615/D612)*BS90</f>
        <v>65904.536264059774</v>
      </c>
      <c r="E639" s="218">
        <f>(E623/E612)*SUM(C639:D639)</f>
        <v>10801.949945192338</v>
      </c>
      <c r="F639" s="218">
        <f>(F624/F612)*BS64</f>
        <v>0</v>
      </c>
      <c r="G639" s="216" t="e">
        <f>(G625/G612)*BS91</f>
        <v>#DIV/0!</v>
      </c>
      <c r="H639" s="218" t="e">
        <f>(H628/H612)*BS60</f>
        <v>#DIV/0!</v>
      </c>
      <c r="I639" s="216" t="e">
        <f>(I629/I612)*BS92</f>
        <v>#DIV/0!</v>
      </c>
      <c r="J639" s="216" t="e">
        <f>(J630/J612)*BS93</f>
        <v>#DIV/0!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1147249.9399999997</v>
      </c>
      <c r="D640" s="216">
        <f>(D615/D612)*BT90</f>
        <v>514553.06600623019</v>
      </c>
      <c r="E640" s="218">
        <f>(E623/E612)*SUM(C640:D640)</f>
        <v>169559.83942721545</v>
      </c>
      <c r="F640" s="218">
        <f>(F624/F612)*BT64</f>
        <v>298.59958912617947</v>
      </c>
      <c r="G640" s="216" t="e">
        <f>(G625/G612)*BT91</f>
        <v>#DIV/0!</v>
      </c>
      <c r="H640" s="218" t="e">
        <f>(H628/H612)*BT60</f>
        <v>#DIV/0!</v>
      </c>
      <c r="I640" s="216" t="e">
        <f>(I629/I612)*BT92</f>
        <v>#DIV/0!</v>
      </c>
      <c r="J640" s="216" t="e">
        <f>(J630/J612)*BT93</f>
        <v>#DIV/0!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1583308.1</v>
      </c>
      <c r="D641" s="216">
        <f>(D615/D612)*BU90</f>
        <v>574790.68437977566</v>
      </c>
      <c r="E641" s="218">
        <f>(E623/E612)*SUM(C641:D641)</f>
        <v>220198.71309953078</v>
      </c>
      <c r="F641" s="218">
        <f>(F624/F612)*BU64</f>
        <v>5.48844794997364</v>
      </c>
      <c r="G641" s="216" t="e">
        <f>(G625/G612)*BU91</f>
        <v>#DIV/0!</v>
      </c>
      <c r="H641" s="218" t="e">
        <f>(H628/H612)*BU60</f>
        <v>#DIV/0!</v>
      </c>
      <c r="I641" s="216" t="e">
        <f>(I629/I612)*BU92</f>
        <v>#DIV/0!</v>
      </c>
      <c r="J641" s="216" t="e">
        <f>(J630/J612)*BU93</f>
        <v>#DIV/0!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3927245.9600000004</v>
      </c>
      <c r="D642" s="216">
        <f>(D615/D612)*BV90</f>
        <v>39338.473322893944</v>
      </c>
      <c r="E642" s="218">
        <f>(E623/E612)*SUM(C642:D642)</f>
        <v>404725.11913737684</v>
      </c>
      <c r="F642" s="218">
        <f>(F624/F612)*BV64</f>
        <v>1265.2396950747477</v>
      </c>
      <c r="G642" s="216" t="e">
        <f>(G625/G612)*BV91</f>
        <v>#DIV/0!</v>
      </c>
      <c r="H642" s="218" t="e">
        <f>(H628/H612)*BV60</f>
        <v>#DIV/0!</v>
      </c>
      <c r="I642" s="216" t="e">
        <f>(I629/I612)*BV92</f>
        <v>#DIV/0!</v>
      </c>
      <c r="J642" s="216" t="e">
        <f>(J630/J612)*BV93</f>
        <v>#DIV/0!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40414289.469999991</v>
      </c>
      <c r="D643" s="216">
        <f>(D615/D612)*BW90</f>
        <v>2918875.2177521824</v>
      </c>
      <c r="E643" s="218">
        <f>(E623/E612)*SUM(C643:D643)</f>
        <v>4421441.3018704075</v>
      </c>
      <c r="F643" s="218">
        <f>(F624/F612)*BW64</f>
        <v>18825.551790259789</v>
      </c>
      <c r="G643" s="216" t="e">
        <f>(G625/G612)*BW91</f>
        <v>#DIV/0!</v>
      </c>
      <c r="H643" s="218" t="e">
        <f>(H628/H612)*BW60</f>
        <v>#DIV/0!</v>
      </c>
      <c r="I643" s="216" t="e">
        <f>(I629/I612)*BW92</f>
        <v>#DIV/0!</v>
      </c>
      <c r="J643" s="216" t="e">
        <f>(J630/J612)*BW93</f>
        <v>#DIV/0!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21557166</v>
      </c>
      <c r="D644" s="216">
        <f>(D615/D612)*BX90</f>
        <v>594532.74939606909</v>
      </c>
      <c r="E644" s="218">
        <f>(E623/E612)*SUM(C644:D644)</f>
        <v>2260218.8523021401</v>
      </c>
      <c r="F644" s="218">
        <f>(F624/F612)*BX64</f>
        <v>5406.6284301528549</v>
      </c>
      <c r="G644" s="216" t="e">
        <f>(G625/G612)*BX91</f>
        <v>#DIV/0!</v>
      </c>
      <c r="H644" s="218" t="e">
        <f>(H628/H612)*BX60</f>
        <v>#DIV/0!</v>
      </c>
      <c r="I644" s="216" t="e">
        <f>(I629/I612)*BX92</f>
        <v>#DIV/0!</v>
      </c>
      <c r="J644" s="216" t="e">
        <f>(J630/J612)*BX93</f>
        <v>#DIV/0!</v>
      </c>
      <c r="K644" s="202" t="e">
        <f>SUM(C631:J644)</f>
        <v>#DIV/0!</v>
      </c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17505168.459999997</v>
      </c>
      <c r="D645" s="216">
        <f>(D615/D612)*BY90</f>
        <v>506409.119737676</v>
      </c>
      <c r="E645" s="218">
        <f>(E623/E612)*SUM(C645:D645)</f>
        <v>1837787.1451748384</v>
      </c>
      <c r="F645" s="218">
        <f>(F624/F612)*BY64</f>
        <v>1656.3809433915226</v>
      </c>
      <c r="G645" s="216" t="e">
        <f>(G625/G612)*BY91</f>
        <v>#DIV/0!</v>
      </c>
      <c r="H645" s="218" t="e">
        <f>(H628/H612)*BY60</f>
        <v>#DIV/0!</v>
      </c>
      <c r="I645" s="216" t="e">
        <f>(I629/I612)*BY92</f>
        <v>#DIV/0!</v>
      </c>
      <c r="J645" s="216" t="e">
        <f>(J630/J612)*BY93</f>
        <v>#DIV/0!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8774349.9000000004</v>
      </c>
      <c r="D646" s="216">
        <f>(D615/D612)*BZ90</f>
        <v>12853.821679683593</v>
      </c>
      <c r="E646" s="218">
        <f>(E623/E612)*SUM(C646:D646)</f>
        <v>896590.53851576173</v>
      </c>
      <c r="F646" s="218">
        <f>(F624/F612)*BZ64</f>
        <v>106.08899963629375</v>
      </c>
      <c r="G646" s="216" t="e">
        <f>(G625/G612)*BZ91</f>
        <v>#DIV/0!</v>
      </c>
      <c r="H646" s="218" t="e">
        <f>(H628/H612)*BZ60</f>
        <v>#DIV/0!</v>
      </c>
      <c r="I646" s="216" t="e">
        <f>(I629/I612)*BZ92</f>
        <v>#DIV/0!</v>
      </c>
      <c r="J646" s="216" t="e">
        <f>(J630/J612)*BZ93</f>
        <v>#DIV/0!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0</v>
      </c>
      <c r="D647" s="216">
        <f>(D615/D612)*CA90</f>
        <v>0</v>
      </c>
      <c r="E647" s="218">
        <f>(E623/E612)*SUM(C647:D647)</f>
        <v>0</v>
      </c>
      <c r="F647" s="218">
        <f>(F624/F612)*CA64</f>
        <v>0</v>
      </c>
      <c r="G647" s="216" t="e">
        <f>(G625/G612)*CA91</f>
        <v>#DIV/0!</v>
      </c>
      <c r="H647" s="218" t="e">
        <f>(H628/H612)*CA60</f>
        <v>#DIV/0!</v>
      </c>
      <c r="I647" s="216" t="e">
        <f>(I629/I612)*CA92</f>
        <v>#DIV/0!</v>
      </c>
      <c r="J647" s="216" t="e">
        <f>(J630/J612)*CA93</f>
        <v>#DIV/0!</v>
      </c>
      <c r="K647" s="218">
        <v>0</v>
      </c>
      <c r="L647" s="218" t="e">
        <f>SUM(C645:K647)</f>
        <v>#DIV/0!</v>
      </c>
      <c r="N647" s="212" t="s">
        <v>613</v>
      </c>
    </row>
    <row r="648" spans="1:14" s="202" customFormat="1" ht="12.6" customHeight="1" x14ac:dyDescent="0.2">
      <c r="A648" s="211"/>
      <c r="B648" s="215"/>
      <c r="C648" s="216">
        <f>SUM(C614:C647)</f>
        <v>870248363.51000035</v>
      </c>
      <c r="D648" s="216"/>
      <c r="E648" s="218"/>
      <c r="F648" s="218"/>
      <c r="G648" s="216"/>
      <c r="H648" s="218"/>
      <c r="I648" s="216"/>
      <c r="J648" s="216"/>
      <c r="K648" s="218"/>
      <c r="L648" s="218"/>
      <c r="N648" s="212"/>
    </row>
    <row r="649" spans="1:14" s="202" customFormat="1" ht="12.6" customHeight="1" x14ac:dyDescent="0.2">
      <c r="A649" s="211"/>
      <c r="B649" s="211"/>
      <c r="L649" s="214"/>
    </row>
    <row r="666" spans="1:14" x14ac:dyDescent="0.25">
      <c r="C666" s="11" t="s">
        <v>614</v>
      </c>
      <c r="M666" s="11" t="s">
        <v>615</v>
      </c>
    </row>
    <row r="667" spans="1:14" s="202" customFormat="1" ht="12.6" customHeight="1" x14ac:dyDescent="0.2">
      <c r="C667" s="209" t="s">
        <v>544</v>
      </c>
      <c r="D667" s="202" t="s">
        <v>545</v>
      </c>
      <c r="E667" s="202" t="s">
        <v>546</v>
      </c>
      <c r="F667" s="202" t="s">
        <v>547</v>
      </c>
      <c r="G667" s="202" t="s">
        <v>548</v>
      </c>
      <c r="H667" s="202" t="s">
        <v>549</v>
      </c>
      <c r="I667" s="202" t="s">
        <v>550</v>
      </c>
      <c r="J667" s="202" t="s">
        <v>551</v>
      </c>
      <c r="K667" s="202" t="s">
        <v>552</v>
      </c>
      <c r="L667" s="202" t="s">
        <v>553</v>
      </c>
      <c r="M667" s="209" t="s">
        <v>616</v>
      </c>
    </row>
    <row r="668" spans="1:14" s="202" customFormat="1" ht="12.6" customHeight="1" x14ac:dyDescent="0.2">
      <c r="A668" s="202">
        <v>6010</v>
      </c>
      <c r="B668" s="202" t="s">
        <v>341</v>
      </c>
      <c r="C668" s="209">
        <f>C85</f>
        <v>105954230.2</v>
      </c>
      <c r="D668" s="209">
        <f>(D615/D612)*C90</f>
        <v>13171019.238947056</v>
      </c>
      <c r="E668" s="210">
        <f>(E623/E612)*SUM(C668:D668)</f>
        <v>12154784.949594157</v>
      </c>
      <c r="F668" s="209">
        <f>(F624/F612)*C64</f>
        <v>134505.86948980295</v>
      </c>
      <c r="G668" s="209" t="e">
        <f>(G625/G612)*C91</f>
        <v>#DIV/0!</v>
      </c>
      <c r="H668" s="209" t="e">
        <f>(H628/H612)*C60</f>
        <v>#DIV/0!</v>
      </c>
      <c r="I668" s="209" t="e">
        <f>(I629/I612)*C92</f>
        <v>#DIV/0!</v>
      </c>
      <c r="J668" s="209" t="e">
        <f>(J630/J612)*C93</f>
        <v>#DIV/0!</v>
      </c>
      <c r="K668" s="209" t="e">
        <f>(K644/K612)*C89</f>
        <v>#DIV/0!</v>
      </c>
      <c r="L668" s="210" t="e">
        <f>(L647/L612)*C94</f>
        <v>#DIV/0!</v>
      </c>
      <c r="M668" s="209" t="e">
        <f t="shared" ref="M668:M713" si="0">ROUND(SUM(D668:L668),0)</f>
        <v>#DIV/0!</v>
      </c>
      <c r="N668" s="202" t="s">
        <v>617</v>
      </c>
    </row>
    <row r="669" spans="1:14" s="202" customFormat="1" ht="12.6" customHeight="1" x14ac:dyDescent="0.2">
      <c r="A669" s="211">
        <v>6030</v>
      </c>
      <c r="B669" s="210" t="s">
        <v>342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 t="e">
        <f>(G625/G612)*D91</f>
        <v>#DIV/0!</v>
      </c>
      <c r="H669" s="218" t="e">
        <f>(H628/H612)*D60</f>
        <v>#DIV/0!</v>
      </c>
      <c r="I669" s="216" t="e">
        <f>(I629/I612)*D92</f>
        <v>#DIV/0!</v>
      </c>
      <c r="J669" s="216" t="e">
        <f>(J630/J612)*D93</f>
        <v>#DIV/0!</v>
      </c>
      <c r="K669" s="216" t="e">
        <f>(K644/K612)*D89</f>
        <v>#DIV/0!</v>
      </c>
      <c r="L669" s="216" t="e">
        <f>(L647/L612)*D94</f>
        <v>#DIV/0!</v>
      </c>
      <c r="M669" s="202" t="e">
        <f t="shared" si="0"/>
        <v>#DIV/0!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122710279.75</v>
      </c>
      <c r="D670" s="216">
        <f>(D615/D612)*E90</f>
        <v>29670068.902398523</v>
      </c>
      <c r="E670" s="218">
        <f>(E623/E612)*SUM(C670:D670)</f>
        <v>15547924.36647388</v>
      </c>
      <c r="F670" s="218">
        <f>(F624/F612)*E64</f>
        <v>122179.18660347548</v>
      </c>
      <c r="G670" s="216" t="e">
        <f>(G625/G612)*E91</f>
        <v>#DIV/0!</v>
      </c>
      <c r="H670" s="218" t="e">
        <f>(H628/H612)*E60</f>
        <v>#DIV/0!</v>
      </c>
      <c r="I670" s="216" t="e">
        <f>(I629/I612)*E92</f>
        <v>#DIV/0!</v>
      </c>
      <c r="J670" s="216" t="e">
        <f>(J630/J612)*E93</f>
        <v>#DIV/0!</v>
      </c>
      <c r="K670" s="216" t="e">
        <f>(K644/K612)*E89</f>
        <v>#DIV/0!</v>
      </c>
      <c r="L670" s="216" t="e">
        <f>(L647/L612)*E94</f>
        <v>#DIV/0!</v>
      </c>
      <c r="M670" s="202" t="e">
        <f t="shared" si="0"/>
        <v>#DIV/0!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 t="e">
        <f>(G625/G612)*F91</f>
        <v>#DIV/0!</v>
      </c>
      <c r="H671" s="218" t="e">
        <f>(H628/H612)*F60</f>
        <v>#DIV/0!</v>
      </c>
      <c r="I671" s="216" t="e">
        <f>(I629/I612)*F92</f>
        <v>#DIV/0!</v>
      </c>
      <c r="J671" s="216" t="e">
        <f>(J630/J612)*F93</f>
        <v>#DIV/0!</v>
      </c>
      <c r="K671" s="216" t="e">
        <f>(K644/K612)*F89</f>
        <v>#DIV/0!</v>
      </c>
      <c r="L671" s="216" t="e">
        <f>(L647/L612)*F94</f>
        <v>#DIV/0!</v>
      </c>
      <c r="M671" s="202" t="e">
        <f t="shared" si="0"/>
        <v>#DIV/0!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7231899.0799999991</v>
      </c>
      <c r="D672" s="216">
        <f>(D615/D612)*G90</f>
        <v>1904343.606089789</v>
      </c>
      <c r="E672" s="218">
        <f>(E623/E612)*SUM(C672:D672)</f>
        <v>932204.26080734178</v>
      </c>
      <c r="F672" s="218">
        <f>(F624/F612)*G64</f>
        <v>4863.0096144704794</v>
      </c>
      <c r="G672" s="216" t="e">
        <f>(G625/G612)*G91</f>
        <v>#DIV/0!</v>
      </c>
      <c r="H672" s="218" t="e">
        <f>(H628/H612)*G60</f>
        <v>#DIV/0!</v>
      </c>
      <c r="I672" s="216" t="e">
        <f>(I629/I612)*G92</f>
        <v>#DIV/0!</v>
      </c>
      <c r="J672" s="216" t="e">
        <f>(J630/J612)*G93</f>
        <v>#DIV/0!</v>
      </c>
      <c r="K672" s="216" t="e">
        <f>(K644/K612)*G89</f>
        <v>#DIV/0!</v>
      </c>
      <c r="L672" s="216" t="e">
        <f>(L647/L612)*G94</f>
        <v>#DIV/0!</v>
      </c>
      <c r="M672" s="202" t="e">
        <f t="shared" si="0"/>
        <v>#DIV/0!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24889423.630000003</v>
      </c>
      <c r="D673" s="216">
        <f>(D615/D612)*H90</f>
        <v>5415813.9412934082</v>
      </c>
      <c r="E673" s="218">
        <f>(E623/E612)*SUM(C673:D673)</f>
        <v>3092154.2432044824</v>
      </c>
      <c r="F673" s="218">
        <f>(F624/F612)*H64</f>
        <v>3343.2329271767826</v>
      </c>
      <c r="G673" s="216" t="e">
        <f>(G625/G612)*H91</f>
        <v>#DIV/0!</v>
      </c>
      <c r="H673" s="218" t="e">
        <f>(H628/H612)*H60</f>
        <v>#DIV/0!</v>
      </c>
      <c r="I673" s="216" t="e">
        <f>(I629/I612)*H92</f>
        <v>#DIV/0!</v>
      </c>
      <c r="J673" s="216" t="e">
        <f>(J630/J612)*H93</f>
        <v>#DIV/0!</v>
      </c>
      <c r="K673" s="216" t="e">
        <f>(K644/K612)*H89</f>
        <v>#DIV/0!</v>
      </c>
      <c r="L673" s="216" t="e">
        <f>(L647/L612)*H94</f>
        <v>#DIV/0!</v>
      </c>
      <c r="M673" s="202" t="e">
        <f t="shared" si="0"/>
        <v>#DIV/0!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 t="e">
        <f>(G625/G612)*I91</f>
        <v>#DIV/0!</v>
      </c>
      <c r="H674" s="218" t="e">
        <f>(H628/H612)*I60</f>
        <v>#DIV/0!</v>
      </c>
      <c r="I674" s="216" t="e">
        <f>(I629/I612)*I92</f>
        <v>#DIV/0!</v>
      </c>
      <c r="J674" s="216" t="e">
        <f>(J630/J612)*I93</f>
        <v>#DIV/0!</v>
      </c>
      <c r="K674" s="216" t="e">
        <f>(K644/K612)*I89</f>
        <v>#DIV/0!</v>
      </c>
      <c r="L674" s="216" t="e">
        <f>(L647/L612)*I94</f>
        <v>#DIV/0!</v>
      </c>
      <c r="M674" s="202" t="e">
        <f t="shared" si="0"/>
        <v>#DIV/0!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123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 t="e">
        <f>(G625/G612)*J91</f>
        <v>#DIV/0!</v>
      </c>
      <c r="H675" s="218" t="e">
        <f>(H628/H612)*J60</f>
        <v>#DIV/0!</v>
      </c>
      <c r="I675" s="216" t="e">
        <f>(I629/I612)*J92</f>
        <v>#DIV/0!</v>
      </c>
      <c r="J675" s="216" t="e">
        <f>(J630/J612)*J93</f>
        <v>#DIV/0!</v>
      </c>
      <c r="K675" s="216" t="e">
        <f>(K644/K612)*J89</f>
        <v>#DIV/0!</v>
      </c>
      <c r="L675" s="216" t="e">
        <f>(L647/L612)*J94</f>
        <v>#DIV/0!</v>
      </c>
      <c r="M675" s="202" t="e">
        <f t="shared" si="0"/>
        <v>#DIV/0!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347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 t="e">
        <f>(G625/G612)*K91</f>
        <v>#DIV/0!</v>
      </c>
      <c r="H676" s="218" t="e">
        <f>(H628/H612)*K60</f>
        <v>#DIV/0!</v>
      </c>
      <c r="I676" s="216" t="e">
        <f>(I629/I612)*K92</f>
        <v>#DIV/0!</v>
      </c>
      <c r="J676" s="216" t="e">
        <f>(J630/J612)*K93</f>
        <v>#DIV/0!</v>
      </c>
      <c r="K676" s="216" t="e">
        <f>(K644/K612)*K89</f>
        <v>#DIV/0!</v>
      </c>
      <c r="L676" s="216" t="e">
        <f>(L647/L612)*K94</f>
        <v>#DIV/0!</v>
      </c>
      <c r="M676" s="202" t="e">
        <f t="shared" si="0"/>
        <v>#DIV/0!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348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 t="e">
        <f>(G625/G612)*L91</f>
        <v>#DIV/0!</v>
      </c>
      <c r="H677" s="218" t="e">
        <f>(H628/H612)*L60</f>
        <v>#DIV/0!</v>
      </c>
      <c r="I677" s="216" t="e">
        <f>(I629/I612)*L92</f>
        <v>#DIV/0!</v>
      </c>
      <c r="J677" s="216" t="e">
        <f>(J630/J612)*L93</f>
        <v>#DIV/0!</v>
      </c>
      <c r="K677" s="216" t="e">
        <f>(K644/K612)*L89</f>
        <v>#DIV/0!</v>
      </c>
      <c r="L677" s="216" t="e">
        <f>(L647/L612)*L94</f>
        <v>#DIV/0!</v>
      </c>
      <c r="M677" s="202" t="e">
        <f t="shared" si="0"/>
        <v>#DIV/0!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 t="e">
        <f>(G625/G612)*M91</f>
        <v>#DIV/0!</v>
      </c>
      <c r="H678" s="218" t="e">
        <f>(H628/H612)*M60</f>
        <v>#DIV/0!</v>
      </c>
      <c r="I678" s="216" t="e">
        <f>(I629/I612)*M92</f>
        <v>#DIV/0!</v>
      </c>
      <c r="J678" s="216" t="e">
        <f>(J630/J612)*M93</f>
        <v>#DIV/0!</v>
      </c>
      <c r="K678" s="216" t="e">
        <f>(K644/K612)*M89</f>
        <v>#DIV/0!</v>
      </c>
      <c r="L678" s="216" t="e">
        <f>(L647/L612)*M94</f>
        <v>#DIV/0!</v>
      </c>
      <c r="M678" s="202" t="e">
        <f t="shared" si="0"/>
        <v>#DIV/0!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 t="e">
        <f>(G625/G612)*N91</f>
        <v>#DIV/0!</v>
      </c>
      <c r="H679" s="218" t="e">
        <f>(H628/H612)*N60</f>
        <v>#DIV/0!</v>
      </c>
      <c r="I679" s="216" t="e">
        <f>(I629/I612)*N92</f>
        <v>#DIV/0!</v>
      </c>
      <c r="J679" s="216" t="e">
        <f>(J630/J612)*N93</f>
        <v>#DIV/0!</v>
      </c>
      <c r="K679" s="216" t="e">
        <f>(K644/K612)*N89</f>
        <v>#DIV/0!</v>
      </c>
      <c r="L679" s="216" t="e">
        <f>(L647/L612)*N94</f>
        <v>#DIV/0!</v>
      </c>
      <c r="M679" s="202" t="e">
        <f t="shared" si="0"/>
        <v>#DIV/0!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 t="e">
        <f>(G625/G612)*O91</f>
        <v>#DIV/0!</v>
      </c>
      <c r="H680" s="218" t="e">
        <f>(H628/H612)*O60</f>
        <v>#DIV/0!</v>
      </c>
      <c r="I680" s="216" t="e">
        <f>(I629/I612)*O92</f>
        <v>#DIV/0!</v>
      </c>
      <c r="J680" s="216" t="e">
        <f>(J630/J612)*O93</f>
        <v>#DIV/0!</v>
      </c>
      <c r="K680" s="216" t="e">
        <f>(K644/K612)*O89</f>
        <v>#DIV/0!</v>
      </c>
      <c r="L680" s="216" t="e">
        <f>(L647/L612)*O94</f>
        <v>#DIV/0!</v>
      </c>
      <c r="M680" s="202" t="e">
        <f t="shared" si="0"/>
        <v>#DIV/0!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85902261.470000014</v>
      </c>
      <c r="D681" s="216">
        <f>(D615/D612)*P90</f>
        <v>16768865.664855195</v>
      </c>
      <c r="E681" s="218">
        <f>(E623/E612)*SUM(C681:D681)</f>
        <v>10475910.663223345</v>
      </c>
      <c r="F681" s="218">
        <f>(F624/F612)*P64</f>
        <v>864333.51713230356</v>
      </c>
      <c r="G681" s="216" t="e">
        <f>(G625/G612)*P91</f>
        <v>#DIV/0!</v>
      </c>
      <c r="H681" s="218" t="e">
        <f>(H628/H612)*P60</f>
        <v>#DIV/0!</v>
      </c>
      <c r="I681" s="216" t="e">
        <f>(I629/I612)*P92</f>
        <v>#DIV/0!</v>
      </c>
      <c r="J681" s="216" t="e">
        <f>(J630/J612)*P93</f>
        <v>#DIV/0!</v>
      </c>
      <c r="K681" s="216" t="e">
        <f>(K644/K612)*P89</f>
        <v>#DIV/0!</v>
      </c>
      <c r="L681" s="216" t="e">
        <f>(L647/L612)*P94</f>
        <v>#DIV/0!</v>
      </c>
      <c r="M681" s="202" t="e">
        <f t="shared" si="0"/>
        <v>#DIV/0!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18521667.489999998</v>
      </c>
      <c r="D682" s="216">
        <f>(D615/D612)*Q90</f>
        <v>1831553.1269259404</v>
      </c>
      <c r="E682" s="218">
        <f>(E623/E612)*SUM(C682:D682)</f>
        <v>2076713.5497766188</v>
      </c>
      <c r="F682" s="218">
        <f>(F624/F612)*Q64</f>
        <v>12108.767081048156</v>
      </c>
      <c r="G682" s="216" t="e">
        <f>(G625/G612)*Q91</f>
        <v>#DIV/0!</v>
      </c>
      <c r="H682" s="218" t="e">
        <f>(H628/H612)*Q60</f>
        <v>#DIV/0!</v>
      </c>
      <c r="I682" s="216" t="e">
        <f>(I629/I612)*Q92</f>
        <v>#DIV/0!</v>
      </c>
      <c r="J682" s="216" t="e">
        <f>(J630/J612)*Q93</f>
        <v>#DIV/0!</v>
      </c>
      <c r="K682" s="216" t="e">
        <f>(K644/K612)*Q89</f>
        <v>#DIV/0!</v>
      </c>
      <c r="L682" s="216" t="e">
        <f>(L647/L612)*Q94</f>
        <v>#DIV/0!</v>
      </c>
      <c r="M682" s="202" t="e">
        <f t="shared" si="0"/>
        <v>#DIV/0!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131</v>
      </c>
      <c r="C683" s="216">
        <f>R85</f>
        <v>9753497.5600000005</v>
      </c>
      <c r="D683" s="216">
        <f>(D615/D612)*R90</f>
        <v>1083195.7836768443</v>
      </c>
      <c r="E683" s="218">
        <f>(E623/E612)*SUM(C683:D683)</f>
        <v>1105707.4614949469</v>
      </c>
      <c r="F683" s="218">
        <f>(F624/F612)*R64</f>
        <v>60325.95404736312</v>
      </c>
      <c r="G683" s="216" t="e">
        <f>(G625/G612)*R91</f>
        <v>#DIV/0!</v>
      </c>
      <c r="H683" s="218" t="e">
        <f>(H628/H612)*R60</f>
        <v>#DIV/0!</v>
      </c>
      <c r="I683" s="216" t="e">
        <f>(I629/I612)*R92</f>
        <v>#DIV/0!</v>
      </c>
      <c r="J683" s="216" t="e">
        <f>(J630/J612)*R93</f>
        <v>#DIV/0!</v>
      </c>
      <c r="K683" s="216" t="e">
        <f>(K644/K612)*R89</f>
        <v>#DIV/0!</v>
      </c>
      <c r="L683" s="216" t="e">
        <f>(L647/L612)*R94</f>
        <v>#DIV/0!</v>
      </c>
      <c r="M683" s="202" t="e">
        <f t="shared" si="0"/>
        <v>#DIV/0!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19781757.270000003</v>
      </c>
      <c r="D684" s="216">
        <f>(D615/D612)*S90</f>
        <v>5799578.4981160145</v>
      </c>
      <c r="E684" s="218">
        <f>(E623/E612)*SUM(C684:D684)</f>
        <v>2610157.2626227243</v>
      </c>
      <c r="F684" s="218">
        <f>(F624/F612)*S64</f>
        <v>-9486.1935908593932</v>
      </c>
      <c r="G684" s="216" t="e">
        <f>(G625/G612)*S91</f>
        <v>#DIV/0!</v>
      </c>
      <c r="H684" s="218" t="e">
        <f>(H628/H612)*S60</f>
        <v>#DIV/0!</v>
      </c>
      <c r="I684" s="216" t="e">
        <f>(I629/I612)*S92</f>
        <v>#DIV/0!</v>
      </c>
      <c r="J684" s="216" t="e">
        <f>(J630/J612)*S93</f>
        <v>#DIV/0!</v>
      </c>
      <c r="K684" s="216" t="e">
        <f>(K644/K612)*S89</f>
        <v>#DIV/0!</v>
      </c>
      <c r="L684" s="216" t="e">
        <f>(L647/L612)*S94</f>
        <v>#DIV/0!</v>
      </c>
      <c r="M684" s="202" t="e">
        <f t="shared" si="0"/>
        <v>#DIV/0!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2577556.0699999998</v>
      </c>
      <c r="D685" s="216">
        <f>(D615/D612)*T90</f>
        <v>66478.777497880583</v>
      </c>
      <c r="E685" s="218">
        <f>(E623/E612)*SUM(C685:D685)</f>
        <v>269780.54712943634</v>
      </c>
      <c r="F685" s="218">
        <f>(F624/F612)*T64</f>
        <v>4286.9529145880342</v>
      </c>
      <c r="G685" s="216" t="e">
        <f>(G625/G612)*T91</f>
        <v>#DIV/0!</v>
      </c>
      <c r="H685" s="218" t="e">
        <f>(H628/H612)*T60</f>
        <v>#DIV/0!</v>
      </c>
      <c r="I685" s="216" t="e">
        <f>(I629/I612)*T92</f>
        <v>#DIV/0!</v>
      </c>
      <c r="J685" s="216" t="e">
        <f>(J630/J612)*T93</f>
        <v>#DIV/0!</v>
      </c>
      <c r="K685" s="216" t="e">
        <f>(K644/K612)*T89</f>
        <v>#DIV/0!</v>
      </c>
      <c r="L685" s="216" t="e">
        <f>(L647/L612)*T94</f>
        <v>#DIV/0!</v>
      </c>
      <c r="M685" s="202" t="e">
        <f t="shared" si="0"/>
        <v>#DIV/0!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134</v>
      </c>
      <c r="C686" s="216">
        <f>U85</f>
        <v>66710262.359999999</v>
      </c>
      <c r="D686" s="216">
        <f>(D615/D612)*U90</f>
        <v>7038319.7807462038</v>
      </c>
      <c r="E686" s="218">
        <f>(E623/E612)*SUM(C686:D686)</f>
        <v>7524837.6014328003</v>
      </c>
      <c r="F686" s="218">
        <f>(F624/F612)*U64</f>
        <v>309007.93683152425</v>
      </c>
      <c r="G686" s="216" t="e">
        <f>(G625/G612)*U91</f>
        <v>#DIV/0!</v>
      </c>
      <c r="H686" s="218" t="e">
        <f>(H628/H612)*U60</f>
        <v>#DIV/0!</v>
      </c>
      <c r="I686" s="216" t="e">
        <f>(I629/I612)*U92</f>
        <v>#DIV/0!</v>
      </c>
      <c r="J686" s="216" t="e">
        <f>(J630/J612)*U93</f>
        <v>#DIV/0!</v>
      </c>
      <c r="K686" s="216" t="e">
        <f>(K644/K612)*U89</f>
        <v>#DIV/0!</v>
      </c>
      <c r="L686" s="216" t="e">
        <f>(L647/L612)*U94</f>
        <v>#DIV/0!</v>
      </c>
      <c r="M686" s="202" t="e">
        <f t="shared" si="0"/>
        <v>#DIV/0!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11833010.430000002</v>
      </c>
      <c r="D687" s="216">
        <f>(D615/D612)*V90</f>
        <v>1436843.1847261866</v>
      </c>
      <c r="E687" s="218">
        <f>(E623/E612)*SUM(C687:D687)</f>
        <v>1353971.704229299</v>
      </c>
      <c r="F687" s="218">
        <f>(F624/F612)*V64</f>
        <v>13377.611670998896</v>
      </c>
      <c r="G687" s="216" t="e">
        <f>(G625/G612)*V91</f>
        <v>#DIV/0!</v>
      </c>
      <c r="H687" s="218" t="e">
        <f>(H628/H612)*V60</f>
        <v>#DIV/0!</v>
      </c>
      <c r="I687" s="216" t="e">
        <f>(I629/I612)*V92</f>
        <v>#DIV/0!</v>
      </c>
      <c r="J687" s="216" t="e">
        <f>(J630/J612)*V93</f>
        <v>#DIV/0!</v>
      </c>
      <c r="K687" s="216" t="e">
        <f>(K644/K612)*V89</f>
        <v>#DIV/0!</v>
      </c>
      <c r="L687" s="216" t="e">
        <f>(L647/L612)*V94</f>
        <v>#DIV/0!</v>
      </c>
      <c r="M687" s="202" t="e">
        <f t="shared" si="0"/>
        <v>#DIV/0!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3914266.2199999997</v>
      </c>
      <c r="D688" s="216">
        <f>(D615/D612)*W90</f>
        <v>1684943.4801203313</v>
      </c>
      <c r="E688" s="218">
        <f>(E623/E612)*SUM(C688:D688)</f>
        <v>571307.84710360027</v>
      </c>
      <c r="F688" s="218">
        <f>(F624/F612)*W64</f>
        <v>2179.7066405178825</v>
      </c>
      <c r="G688" s="216" t="e">
        <f>(G625/G612)*W91</f>
        <v>#DIV/0!</v>
      </c>
      <c r="H688" s="218" t="e">
        <f>(H628/H612)*W60</f>
        <v>#DIV/0!</v>
      </c>
      <c r="I688" s="216" t="e">
        <f>(I629/I612)*W92</f>
        <v>#DIV/0!</v>
      </c>
      <c r="J688" s="216" t="e">
        <f>(J630/J612)*W93</f>
        <v>#DIV/0!</v>
      </c>
      <c r="K688" s="216" t="e">
        <f>(K644/K612)*W89</f>
        <v>#DIV/0!</v>
      </c>
      <c r="L688" s="216" t="e">
        <f>(L647/L612)*W94</f>
        <v>#DIV/0!</v>
      </c>
      <c r="M688" s="202" t="e">
        <f t="shared" si="0"/>
        <v>#DIV/0!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3245430.82</v>
      </c>
      <c r="D689" s="216">
        <f>(D615/D612)*X90</f>
        <v>460490.58788519201</v>
      </c>
      <c r="E689" s="218">
        <f>(E623/E612)*SUM(C689:D689)</f>
        <v>378128.71717030561</v>
      </c>
      <c r="F689" s="218">
        <f>(F624/F612)*X64</f>
        <v>2513.5065898005928</v>
      </c>
      <c r="G689" s="216" t="e">
        <f>(G625/G612)*X91</f>
        <v>#DIV/0!</v>
      </c>
      <c r="H689" s="218" t="e">
        <f>(H628/H612)*X60</f>
        <v>#DIV/0!</v>
      </c>
      <c r="I689" s="216" t="e">
        <f>(I629/I612)*X92</f>
        <v>#DIV/0!</v>
      </c>
      <c r="J689" s="216" t="e">
        <f>(J630/J612)*X93</f>
        <v>#DIV/0!</v>
      </c>
      <c r="K689" s="216" t="e">
        <f>(K644/K612)*X89</f>
        <v>#DIV/0!</v>
      </c>
      <c r="L689" s="216" t="e">
        <f>(L647/L612)*X94</f>
        <v>#DIV/0!</v>
      </c>
      <c r="M689" s="202" t="e">
        <f t="shared" si="0"/>
        <v>#DIV/0!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33779611.679999992</v>
      </c>
      <c r="D690" s="216">
        <f>(D615/D612)*Y90</f>
        <v>6534743.4075411661</v>
      </c>
      <c r="E690" s="218">
        <f>(E623/E612)*SUM(C690:D690)</f>
        <v>4113421.1158296573</v>
      </c>
      <c r="F690" s="218">
        <f>(F624/F612)*Y64</f>
        <v>173496.49884413264</v>
      </c>
      <c r="G690" s="216" t="e">
        <f>(G625/G612)*Y91</f>
        <v>#DIV/0!</v>
      </c>
      <c r="H690" s="218" t="e">
        <f>(H628/H612)*Y60</f>
        <v>#DIV/0!</v>
      </c>
      <c r="I690" s="216" t="e">
        <f>(I629/I612)*Y92</f>
        <v>#DIV/0!</v>
      </c>
      <c r="J690" s="216" t="e">
        <f>(J630/J612)*Y93</f>
        <v>#DIV/0!</v>
      </c>
      <c r="K690" s="216" t="e">
        <f>(K644/K612)*Y89</f>
        <v>#DIV/0!</v>
      </c>
      <c r="L690" s="216" t="e">
        <f>(L647/L612)*Y94</f>
        <v>#DIV/0!</v>
      </c>
      <c r="M690" s="202" t="e">
        <f t="shared" si="0"/>
        <v>#DIV/0!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3203329.98</v>
      </c>
      <c r="D691" s="216">
        <f>(D615/D612)*Z90</f>
        <v>54551.505062217177</v>
      </c>
      <c r="E691" s="218">
        <f>(E623/E612)*SUM(C691:D691)</f>
        <v>332413.56495535001</v>
      </c>
      <c r="F691" s="218">
        <f>(F624/F612)*Z64</f>
        <v>4875.863122550044</v>
      </c>
      <c r="G691" s="216" t="e">
        <f>(G625/G612)*Z91</f>
        <v>#DIV/0!</v>
      </c>
      <c r="H691" s="218" t="e">
        <f>(H628/H612)*Z60</f>
        <v>#DIV/0!</v>
      </c>
      <c r="I691" s="216" t="e">
        <f>(I629/I612)*Z92</f>
        <v>#DIV/0!</v>
      </c>
      <c r="J691" s="216" t="e">
        <f>(J630/J612)*Z93</f>
        <v>#DIV/0!</v>
      </c>
      <c r="K691" s="216" t="e">
        <f>(K644/K612)*Z89</f>
        <v>#DIV/0!</v>
      </c>
      <c r="L691" s="216" t="e">
        <f>(L647/L612)*Z94</f>
        <v>#DIV/0!</v>
      </c>
      <c r="M691" s="202" t="e">
        <f t="shared" si="0"/>
        <v>#DIV/0!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1736157.0299999998</v>
      </c>
      <c r="D692" s="216">
        <f>(D615/D612)*AA90</f>
        <v>210317.68548861632</v>
      </c>
      <c r="E692" s="218">
        <f>(E623/E612)*SUM(C692:D692)</f>
        <v>198605.93524895053</v>
      </c>
      <c r="F692" s="218">
        <f>(F624/F612)*AA64</f>
        <v>17386.965829171626</v>
      </c>
      <c r="G692" s="216" t="e">
        <f>(G625/G612)*AA91</f>
        <v>#DIV/0!</v>
      </c>
      <c r="H692" s="218" t="e">
        <f>(H628/H612)*AA60</f>
        <v>#DIV/0!</v>
      </c>
      <c r="I692" s="216" t="e">
        <f>(I629/I612)*AA92</f>
        <v>#DIV/0!</v>
      </c>
      <c r="J692" s="216" t="e">
        <f>(J630/J612)*AA93</f>
        <v>#DIV/0!</v>
      </c>
      <c r="K692" s="216" t="e">
        <f>(K644/K612)*AA89</f>
        <v>#DIV/0!</v>
      </c>
      <c r="L692" s="216" t="e">
        <f>(L647/L612)*AA94</f>
        <v>#DIV/0!</v>
      </c>
      <c r="M692" s="202" t="e">
        <f t="shared" si="0"/>
        <v>#DIV/0!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140</v>
      </c>
      <c r="C693" s="216">
        <f>AB85</f>
        <v>137112268.64000002</v>
      </c>
      <c r="D693" s="216">
        <f>(D615/D612)*AB90</f>
        <v>4205664.8965904089</v>
      </c>
      <c r="E693" s="218">
        <f>(E623/E612)*SUM(C693:D693)</f>
        <v>14419185.686898649</v>
      </c>
      <c r="F693" s="218">
        <f>(F624/F612)*AB64</f>
        <v>2519730.6591850999</v>
      </c>
      <c r="G693" s="216" t="e">
        <f>(G625/G612)*AB91</f>
        <v>#DIV/0!</v>
      </c>
      <c r="H693" s="218" t="e">
        <f>(H628/H612)*AB60</f>
        <v>#DIV/0!</v>
      </c>
      <c r="I693" s="216" t="e">
        <f>(I629/I612)*AB92</f>
        <v>#DIV/0!</v>
      </c>
      <c r="J693" s="216" t="e">
        <f>(J630/J612)*AB93</f>
        <v>#DIV/0!</v>
      </c>
      <c r="K693" s="216" t="e">
        <f>(K644/K612)*AB89</f>
        <v>#DIV/0!</v>
      </c>
      <c r="L693" s="216" t="e">
        <f>(L647/L612)*AB94</f>
        <v>#DIV/0!</v>
      </c>
      <c r="M693" s="202" t="e">
        <f t="shared" si="0"/>
        <v>#DIV/0!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27959947.649999999</v>
      </c>
      <c r="D694" s="216">
        <f>(D615/D612)*AC90</f>
        <v>597649.05160648725</v>
      </c>
      <c r="E694" s="218">
        <f>(E623/E612)*SUM(C694:D694)</f>
        <v>2913836.0525588198</v>
      </c>
      <c r="F694" s="218">
        <f>(F624/F612)*AC64</f>
        <v>86188.254465880091</v>
      </c>
      <c r="G694" s="216" t="e">
        <f>(G625/G612)*AC91</f>
        <v>#DIV/0!</v>
      </c>
      <c r="H694" s="218" t="e">
        <f>(H628/H612)*AC60</f>
        <v>#DIV/0!</v>
      </c>
      <c r="I694" s="216" t="e">
        <f>(I629/I612)*AC92</f>
        <v>#DIV/0!</v>
      </c>
      <c r="J694" s="216" t="e">
        <f>(J630/J612)*AC93</f>
        <v>#DIV/0!</v>
      </c>
      <c r="K694" s="216" t="e">
        <f>(K644/K612)*AC89</f>
        <v>#DIV/0!</v>
      </c>
      <c r="L694" s="216" t="e">
        <f>(L647/L612)*AC94</f>
        <v>#DIV/0!</v>
      </c>
      <c r="M694" s="202" t="e">
        <f t="shared" si="0"/>
        <v>#DIV/0!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142</v>
      </c>
      <c r="C695" s="216">
        <f>AD85</f>
        <v>7556216.5000000009</v>
      </c>
      <c r="D695" s="216">
        <f>(D615/D612)*AD90</f>
        <v>466121.66652138799</v>
      </c>
      <c r="E695" s="218">
        <f>(E623/E612)*SUM(C695:D695)</f>
        <v>818548.50811425794</v>
      </c>
      <c r="F695" s="218">
        <f>(F624/F612)*AD64</f>
        <v>32487.183059100065</v>
      </c>
      <c r="G695" s="216" t="e">
        <f>(G625/G612)*AD91</f>
        <v>#DIV/0!</v>
      </c>
      <c r="H695" s="218" t="e">
        <f>(H628/H612)*AD60</f>
        <v>#DIV/0!</v>
      </c>
      <c r="I695" s="216" t="e">
        <f>(I629/I612)*AD92</f>
        <v>#DIV/0!</v>
      </c>
      <c r="J695" s="216" t="e">
        <f>(J630/J612)*AD93</f>
        <v>#DIV/0!</v>
      </c>
      <c r="K695" s="216" t="e">
        <f>(K644/K612)*AD89</f>
        <v>#DIV/0!</v>
      </c>
      <c r="L695" s="216" t="e">
        <f>(L647/L612)*AD94</f>
        <v>#DIV/0!</v>
      </c>
      <c r="M695" s="202" t="e">
        <f t="shared" si="0"/>
        <v>#DIV/0!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17940074.179999996</v>
      </c>
      <c r="D696" s="216">
        <f>(D615/D612)*AE90</f>
        <v>3866019.7434605099</v>
      </c>
      <c r="E696" s="218">
        <f>(E623/E612)*SUM(C696:D696)</f>
        <v>2224955.5277208835</v>
      </c>
      <c r="F696" s="218">
        <f>(F624/F612)*AE64</f>
        <v>1918.3536900345007</v>
      </c>
      <c r="G696" s="216" t="e">
        <f>(G625/G612)*AE91</f>
        <v>#DIV/0!</v>
      </c>
      <c r="H696" s="218" t="e">
        <f>(H628/H612)*AE60</f>
        <v>#DIV/0!</v>
      </c>
      <c r="I696" s="216" t="e">
        <f>(I629/I612)*AE92</f>
        <v>#DIV/0!</v>
      </c>
      <c r="J696" s="216" t="e">
        <f>(J630/J612)*AE93</f>
        <v>#DIV/0!</v>
      </c>
      <c r="K696" s="216" t="e">
        <f>(K644/K612)*AE89</f>
        <v>#DIV/0!</v>
      </c>
      <c r="L696" s="216" t="e">
        <f>(L647/L612)*AE94</f>
        <v>#DIV/0!</v>
      </c>
      <c r="M696" s="202" t="e">
        <f t="shared" si="0"/>
        <v>#DIV/0!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27353203.77</v>
      </c>
      <c r="D697" s="216">
        <f>(D615/D612)*AF90</f>
        <v>5510388.7013655948</v>
      </c>
      <c r="E697" s="218">
        <f>(E623/E612)*SUM(C697:D697)</f>
        <v>3353192.5518886121</v>
      </c>
      <c r="F697" s="218">
        <f>(F624/F612)*AF64</f>
        <v>5159.9721808076456</v>
      </c>
      <c r="G697" s="216" t="e">
        <f>(G625/G612)*AF91</f>
        <v>#DIV/0!</v>
      </c>
      <c r="H697" s="218" t="e">
        <f>(H628/H612)*AF60</f>
        <v>#DIV/0!</v>
      </c>
      <c r="I697" s="216" t="e">
        <f>(I629/I612)*AF92</f>
        <v>#DIV/0!</v>
      </c>
      <c r="J697" s="216" t="e">
        <f>(J630/J612)*AF93</f>
        <v>#DIV/0!</v>
      </c>
      <c r="K697" s="216" t="e">
        <f>(K644/K612)*AF89</f>
        <v>#DIV/0!</v>
      </c>
      <c r="L697" s="216" t="e">
        <f>(L647/L612)*AF94</f>
        <v>#DIV/0!</v>
      </c>
      <c r="M697" s="202" t="e">
        <f t="shared" si="0"/>
        <v>#DIV/0!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45113126.439999998</v>
      </c>
      <c r="D698" s="216">
        <f>(D615/D612)*AG90</f>
        <v>6863619.67242584</v>
      </c>
      <c r="E698" s="218">
        <f>(E623/E612)*SUM(C698:D698)</f>
        <v>5303377.5320653319</v>
      </c>
      <c r="F698" s="218">
        <f>(F624/F612)*AG64</f>
        <v>59986.183129437137</v>
      </c>
      <c r="G698" s="216" t="e">
        <f>(G625/G612)*AG91</f>
        <v>#DIV/0!</v>
      </c>
      <c r="H698" s="218" t="e">
        <f>(H628/H612)*AG60</f>
        <v>#DIV/0!</v>
      </c>
      <c r="I698" s="216" t="e">
        <f>(I629/I612)*AG92</f>
        <v>#DIV/0!</v>
      </c>
      <c r="J698" s="216" t="e">
        <f>(J630/J612)*AG93</f>
        <v>#DIV/0!</v>
      </c>
      <c r="K698" s="216" t="e">
        <f>(K644/K612)*AG89</f>
        <v>#DIV/0!</v>
      </c>
      <c r="L698" s="216" t="e">
        <f>(L647/L612)*AG94</f>
        <v>#DIV/0!</v>
      </c>
      <c r="M698" s="202" t="e">
        <f t="shared" si="0"/>
        <v>#DIV/0!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144</v>
      </c>
      <c r="C699" s="216">
        <f>AH85</f>
        <v>6944800.7699999996</v>
      </c>
      <c r="D699" s="216">
        <f>(D615/D612)*AH90</f>
        <v>156970.62472465527</v>
      </c>
      <c r="E699" s="218">
        <f>(E623/E612)*SUM(C699:D699)</f>
        <v>724619.71303823125</v>
      </c>
      <c r="F699" s="218">
        <f>(F624/F612)*AH64</f>
        <v>3011.9746305817239</v>
      </c>
      <c r="G699" s="216" t="e">
        <f>(G625/G612)*AH91</f>
        <v>#DIV/0!</v>
      </c>
      <c r="H699" s="218" t="e">
        <f>(H628/H612)*AH60</f>
        <v>#DIV/0!</v>
      </c>
      <c r="I699" s="216" t="e">
        <f>(I629/I612)*AH92</f>
        <v>#DIV/0!</v>
      </c>
      <c r="J699" s="216" t="e">
        <f>(J630/J612)*AH93</f>
        <v>#DIV/0!</v>
      </c>
      <c r="K699" s="216" t="e">
        <f>(K644/K612)*AH89</f>
        <v>#DIV/0!</v>
      </c>
      <c r="L699" s="216" t="e">
        <f>(L647/L612)*AH94</f>
        <v>#DIV/0!</v>
      </c>
      <c r="M699" s="202" t="e">
        <f t="shared" si="0"/>
        <v>#DIV/0!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 t="e">
        <f>(G625/G612)*AI91</f>
        <v>#DIV/0!</v>
      </c>
      <c r="H700" s="218" t="e">
        <f>(H628/H612)*AI60</f>
        <v>#DIV/0!</v>
      </c>
      <c r="I700" s="216" t="e">
        <f>(I629/I612)*AI92</f>
        <v>#DIV/0!</v>
      </c>
      <c r="J700" s="216" t="e">
        <f>(J630/J612)*AI93</f>
        <v>#DIV/0!</v>
      </c>
      <c r="K700" s="216" t="e">
        <f>(K644/K612)*AI89</f>
        <v>#DIV/0!</v>
      </c>
      <c r="L700" s="216" t="e">
        <f>(L647/L612)*AI94</f>
        <v>#DIV/0!</v>
      </c>
      <c r="M700" s="202" t="e">
        <f t="shared" si="0"/>
        <v>#DIV/0!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146</v>
      </c>
      <c r="C701" s="216">
        <f>AJ85</f>
        <v>213226563.00000003</v>
      </c>
      <c r="D701" s="216">
        <f>(D615/D612)*AJ90</f>
        <v>26081351.614425011</v>
      </c>
      <c r="E701" s="218">
        <f>(E623/E612)*SUM(C701:D701)</f>
        <v>24417461.894717246</v>
      </c>
      <c r="F701" s="218">
        <f>(F624/F612)*AJ64</f>
        <v>114220.69363057063</v>
      </c>
      <c r="G701" s="216" t="e">
        <f>(G625/G612)*AJ91</f>
        <v>#DIV/0!</v>
      </c>
      <c r="H701" s="218" t="e">
        <f>(H628/H612)*AJ60</f>
        <v>#DIV/0!</v>
      </c>
      <c r="I701" s="216" t="e">
        <f>(I629/I612)*AJ92</f>
        <v>#DIV/0!</v>
      </c>
      <c r="J701" s="216" t="e">
        <f>(J630/J612)*AJ93</f>
        <v>#DIV/0!</v>
      </c>
      <c r="K701" s="216" t="e">
        <f>(K644/K612)*AJ89</f>
        <v>#DIV/0!</v>
      </c>
      <c r="L701" s="216" t="e">
        <f>(L647/L612)*AJ94</f>
        <v>#DIV/0!</v>
      </c>
      <c r="M701" s="202" t="e">
        <f t="shared" si="0"/>
        <v>#DIV/0!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4990343.9399999995</v>
      </c>
      <c r="D702" s="216">
        <f>(D615/D612)*AK90</f>
        <v>1036604.382210414</v>
      </c>
      <c r="E702" s="218">
        <f>(E623/E612)*SUM(C702:D702)</f>
        <v>614951.58334446547</v>
      </c>
      <c r="F702" s="218">
        <f>(F624/F612)*AK64</f>
        <v>2717.474282252279</v>
      </c>
      <c r="G702" s="216" t="e">
        <f>(G625/G612)*AK91</f>
        <v>#DIV/0!</v>
      </c>
      <c r="H702" s="218" t="e">
        <f>(H628/H612)*AK60</f>
        <v>#DIV/0!</v>
      </c>
      <c r="I702" s="216" t="e">
        <f>(I629/I612)*AK92</f>
        <v>#DIV/0!</v>
      </c>
      <c r="J702" s="216" t="e">
        <f>(J630/J612)*AK93</f>
        <v>#DIV/0!</v>
      </c>
      <c r="K702" s="216" t="e">
        <f>(K644/K612)*AK89</f>
        <v>#DIV/0!</v>
      </c>
      <c r="L702" s="216" t="e">
        <f>(L647/L612)*AK94</f>
        <v>#DIV/0!</v>
      </c>
      <c r="M702" s="202" t="e">
        <f t="shared" si="0"/>
        <v>#DIV/0!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3408951.73</v>
      </c>
      <c r="D703" s="216">
        <f>(D615/D612)*AL90</f>
        <v>225007.08125776265</v>
      </c>
      <c r="E703" s="218">
        <f>(E623/E612)*SUM(C703:D703)</f>
        <v>370786.11020376929</v>
      </c>
      <c r="F703" s="218">
        <f>(F624/F612)*AL64</f>
        <v>1113.3852657808447</v>
      </c>
      <c r="G703" s="216" t="e">
        <f>(G625/G612)*AL91</f>
        <v>#DIV/0!</v>
      </c>
      <c r="H703" s="218" t="e">
        <f>(H628/H612)*AL60</f>
        <v>#DIV/0!</v>
      </c>
      <c r="I703" s="216" t="e">
        <f>(I629/I612)*AL92</f>
        <v>#DIV/0!</v>
      </c>
      <c r="J703" s="216" t="e">
        <f>(J630/J612)*AL93</f>
        <v>#DIV/0!</v>
      </c>
      <c r="K703" s="216" t="e">
        <f>(K644/K612)*AL89</f>
        <v>#DIV/0!</v>
      </c>
      <c r="L703" s="216" t="e">
        <f>(L647/L612)*AL94</f>
        <v>#DIV/0!</v>
      </c>
      <c r="M703" s="202" t="e">
        <f t="shared" si="0"/>
        <v>#DIV/0!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3714714.14</v>
      </c>
      <c r="D704" s="216">
        <f>(D615/D612)*AM90</f>
        <v>786552.3582393598</v>
      </c>
      <c r="E704" s="218">
        <f>(E623/E612)*SUM(C704:D704)</f>
        <v>459280.68603921455</v>
      </c>
      <c r="F704" s="218">
        <f>(F624/F612)*AM64</f>
        <v>286.51394961928906</v>
      </c>
      <c r="G704" s="216" t="e">
        <f>(G625/G612)*AM91</f>
        <v>#DIV/0!</v>
      </c>
      <c r="H704" s="218" t="e">
        <f>(H628/H612)*AM60</f>
        <v>#DIV/0!</v>
      </c>
      <c r="I704" s="216" t="e">
        <f>(I629/I612)*AM92</f>
        <v>#DIV/0!</v>
      </c>
      <c r="J704" s="216" t="e">
        <f>(J630/J612)*AM93</f>
        <v>#DIV/0!</v>
      </c>
      <c r="K704" s="216" t="e">
        <f>(K644/K612)*AM89</f>
        <v>#DIV/0!</v>
      </c>
      <c r="L704" s="216" t="e">
        <f>(L647/L612)*AM94</f>
        <v>#DIV/0!</v>
      </c>
      <c r="M704" s="202" t="e">
        <f t="shared" si="0"/>
        <v>#DIV/0!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 t="e">
        <f>(G625/G612)*AN91</f>
        <v>#DIV/0!</v>
      </c>
      <c r="H705" s="218" t="e">
        <f>(H628/H612)*AN60</f>
        <v>#DIV/0!</v>
      </c>
      <c r="I705" s="216" t="e">
        <f>(I629/I612)*AN92</f>
        <v>#DIV/0!</v>
      </c>
      <c r="J705" s="216" t="e">
        <f>(J630/J612)*AN93</f>
        <v>#DIV/0!</v>
      </c>
      <c r="K705" s="216" t="e">
        <f>(K644/K612)*AN89</f>
        <v>#DIV/0!</v>
      </c>
      <c r="L705" s="216" t="e">
        <f>(L647/L612)*AN94</f>
        <v>#DIV/0!</v>
      </c>
      <c r="M705" s="202" t="e">
        <f t="shared" si="0"/>
        <v>#DIV/0!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 t="e">
        <f>(G625/G612)*AO91</f>
        <v>#DIV/0!</v>
      </c>
      <c r="H706" s="218" t="e">
        <f>(H628/H612)*AO60</f>
        <v>#DIV/0!</v>
      </c>
      <c r="I706" s="216" t="e">
        <f>(I629/I612)*AO92</f>
        <v>#DIV/0!</v>
      </c>
      <c r="J706" s="216" t="e">
        <f>(J630/J612)*AO93</f>
        <v>#DIV/0!</v>
      </c>
      <c r="K706" s="216" t="e">
        <f>(K644/K612)*AO89</f>
        <v>#DIV/0!</v>
      </c>
      <c r="L706" s="216" t="e">
        <f>(L647/L612)*AO94</f>
        <v>#DIV/0!</v>
      </c>
      <c r="M706" s="202" t="e">
        <f t="shared" si="0"/>
        <v>#DIV/0!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 t="e">
        <f>(G625/G612)*AP91</f>
        <v>#DIV/0!</v>
      </c>
      <c r="H707" s="218" t="e">
        <f>(H628/H612)*AP60</f>
        <v>#DIV/0!</v>
      </c>
      <c r="I707" s="216" t="e">
        <f>(I629/I612)*AP92</f>
        <v>#DIV/0!</v>
      </c>
      <c r="J707" s="216" t="e">
        <f>(J630/J612)*AP93</f>
        <v>#DIV/0!</v>
      </c>
      <c r="K707" s="216" t="e">
        <f>(K644/K612)*AP89</f>
        <v>#DIV/0!</v>
      </c>
      <c r="L707" s="216" t="e">
        <f>(L647/L612)*AP94</f>
        <v>#DIV/0!</v>
      </c>
      <c r="M707" s="202" t="e">
        <f t="shared" si="0"/>
        <v>#DIV/0!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 t="e">
        <f>(G625/G612)*AQ91</f>
        <v>#DIV/0!</v>
      </c>
      <c r="H708" s="218" t="e">
        <f>(H628/H612)*AQ60</f>
        <v>#DIV/0!</v>
      </c>
      <c r="I708" s="216" t="e">
        <f>(I629/I612)*AQ92</f>
        <v>#DIV/0!</v>
      </c>
      <c r="J708" s="216" t="e">
        <f>(J630/J612)*AQ93</f>
        <v>#DIV/0!</v>
      </c>
      <c r="K708" s="216" t="e">
        <f>(K644/K612)*AQ89</f>
        <v>#DIV/0!</v>
      </c>
      <c r="L708" s="216" t="e">
        <f>(L647/L612)*AQ94</f>
        <v>#DIV/0!</v>
      </c>
      <c r="M708" s="202" t="e">
        <f t="shared" si="0"/>
        <v>#DIV/0!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22087210.420000006</v>
      </c>
      <c r="D709" s="216">
        <f>(D615/D612)*AR90</f>
        <v>79548.46276579547</v>
      </c>
      <c r="E709" s="218">
        <f>(E623/E612)*SUM(C709:D709)</f>
        <v>2261755.4927984527</v>
      </c>
      <c r="F709" s="218">
        <f>(F624/F612)*AR64</f>
        <v>290841.38080152124</v>
      </c>
      <c r="G709" s="216" t="e">
        <f>(G625/G612)*AR91</f>
        <v>#DIV/0!</v>
      </c>
      <c r="H709" s="218" t="e">
        <f>(H628/H612)*AR60</f>
        <v>#DIV/0!</v>
      </c>
      <c r="I709" s="216" t="e">
        <f>(I629/I612)*AR92</f>
        <v>#DIV/0!</v>
      </c>
      <c r="J709" s="216" t="e">
        <f>(J630/J612)*AR93</f>
        <v>#DIV/0!</v>
      </c>
      <c r="K709" s="216" t="e">
        <f>(K644/K612)*AR89</f>
        <v>#DIV/0!</v>
      </c>
      <c r="L709" s="216" t="e">
        <f>(L647/L612)*AR94</f>
        <v>#DIV/0!</v>
      </c>
      <c r="M709" s="202" t="e">
        <f t="shared" si="0"/>
        <v>#DIV/0!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154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 t="e">
        <f>(G625/G612)*AS91</f>
        <v>#DIV/0!</v>
      </c>
      <c r="H710" s="218" t="e">
        <f>(H628/H612)*AS60</f>
        <v>#DIV/0!</v>
      </c>
      <c r="I710" s="216" t="e">
        <f>(I629/I612)*AS92</f>
        <v>#DIV/0!</v>
      </c>
      <c r="J710" s="216" t="e">
        <f>(J630/J612)*AS93</f>
        <v>#DIV/0!</v>
      </c>
      <c r="K710" s="216" t="e">
        <f>(K644/K612)*AS89</f>
        <v>#DIV/0!</v>
      </c>
      <c r="L710" s="216" t="e">
        <f>(L647/L612)*AS94</f>
        <v>#DIV/0!</v>
      </c>
      <c r="M710" s="202" t="e">
        <f t="shared" si="0"/>
        <v>#DIV/0!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3582128.9900000007</v>
      </c>
      <c r="D711" s="216">
        <f>(D615/D612)*AT90</f>
        <v>99662.407427485305</v>
      </c>
      <c r="E711" s="218">
        <f>(E623/E612)*SUM(C711:D711)</f>
        <v>375666.6439379201</v>
      </c>
      <c r="F711" s="218">
        <f>(F624/F612)*AT64</f>
        <v>199.93631817761118</v>
      </c>
      <c r="G711" s="216" t="e">
        <f>(G625/G612)*AT91</f>
        <v>#DIV/0!</v>
      </c>
      <c r="H711" s="218" t="e">
        <f>(H628/H612)*AT60</f>
        <v>#DIV/0!</v>
      </c>
      <c r="I711" s="216" t="e">
        <f>(I629/I612)*AT92</f>
        <v>#DIV/0!</v>
      </c>
      <c r="J711" s="216" t="e">
        <f>(J630/J612)*AT93</f>
        <v>#DIV/0!</v>
      </c>
      <c r="K711" s="216" t="e">
        <f>(K644/K612)*AT89</f>
        <v>#DIV/0!</v>
      </c>
      <c r="L711" s="216" t="e">
        <f>(L647/L612)*AT94</f>
        <v>#DIV/0!</v>
      </c>
      <c r="M711" s="202" t="e">
        <f t="shared" si="0"/>
        <v>#DIV/0!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 t="e">
        <f>(G625/G612)*AU91</f>
        <v>#DIV/0!</v>
      </c>
      <c r="H712" s="218" t="e">
        <f>(H628/H612)*AU60</f>
        <v>#DIV/0!</v>
      </c>
      <c r="I712" s="216" t="e">
        <f>(I629/I612)*AU92</f>
        <v>#DIV/0!</v>
      </c>
      <c r="J712" s="216" t="e">
        <f>(J630/J612)*AU93</f>
        <v>#DIV/0!</v>
      </c>
      <c r="K712" s="216" t="e">
        <f>(K644/K612)*AU89</f>
        <v>#DIV/0!</v>
      </c>
      <c r="L712" s="216" t="e">
        <f>(L647/L612)*AU94</f>
        <v>#DIV/0!</v>
      </c>
      <c r="M712" s="202" t="e">
        <f t="shared" si="0"/>
        <v>#DIV/0!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8695743.5499999989</v>
      </c>
      <c r="D713" s="216">
        <f>(D615/D612)*AV90</f>
        <v>127258.24919478351</v>
      </c>
      <c r="E713" s="218">
        <f>(E623/E612)*SUM(C713:D713)</f>
        <v>900243.14731074206</v>
      </c>
      <c r="F713" s="218">
        <f>(F624/F612)*AV64</f>
        <v>23039.022484507768</v>
      </c>
      <c r="G713" s="216" t="e">
        <f>(G625/G612)*AV91</f>
        <v>#DIV/0!</v>
      </c>
      <c r="H713" s="218" t="e">
        <f>(H628/H612)*AV60</f>
        <v>#DIV/0!</v>
      </c>
      <c r="I713" s="216" t="e">
        <f>(I629/I612)*AV92</f>
        <v>#DIV/0!</v>
      </c>
      <c r="J713" s="216" t="e">
        <f>(J630/J612)*AV93</f>
        <v>#DIV/0!</v>
      </c>
      <c r="K713" s="216" t="e">
        <f>(K644/K612)*AV89</f>
        <v>#DIV/0!</v>
      </c>
      <c r="L713" s="216" t="e">
        <f>(L647/L612)*AV94</f>
        <v>#DIV/0!</v>
      </c>
      <c r="M713" s="202" t="e">
        <f t="shared" si="0"/>
        <v>#DIV/0!</v>
      </c>
      <c r="N713" s="210" t="s">
        <v>696</v>
      </c>
    </row>
    <row r="714" spans="1:14" s="202" customFormat="1" ht="12.6" customHeight="1" x14ac:dyDescent="0.2">
      <c r="A714" s="211"/>
      <c r="B714" s="210"/>
      <c r="C714" s="216"/>
      <c r="D714" s="216"/>
      <c r="E714" s="218"/>
      <c r="F714" s="218"/>
      <c r="G714" s="216"/>
      <c r="H714" s="218"/>
      <c r="I714" s="216"/>
      <c r="J714" s="216"/>
      <c r="K714" s="216"/>
      <c r="L714" s="216"/>
      <c r="N714" s="212"/>
    </row>
    <row r="715" spans="1:14" s="202" customFormat="1" ht="12.6" customHeight="1" x14ac:dyDescent="0.2">
      <c r="C715" s="202">
        <f>SUM(C614:C647)+SUM(C668:C713)</f>
        <v>1921678298.2700005</v>
      </c>
      <c r="D715" s="202">
        <f>SUM(D616:D647)+SUM(D668:D713)</f>
        <v>169218484.56999999</v>
      </c>
      <c r="E715" s="202">
        <f>SUM(E624:E647)+SUM(E668:E713)</f>
        <v>177921849.01966077</v>
      </c>
      <c r="F715" s="202">
        <f>SUM(F625:F648)+SUM(F668:F713)</f>
        <v>5684590.3745212452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02" t="s">
        <v>697</v>
      </c>
    </row>
    <row r="716" spans="1:14" s="202" customFormat="1" ht="12.6" customHeight="1" x14ac:dyDescent="0.2">
      <c r="C716" s="213">
        <f>CE85</f>
        <v>1921678298.2700002</v>
      </c>
      <c r="D716" s="202">
        <f>D615</f>
        <v>169218484.56999999</v>
      </c>
      <c r="E716" s="202">
        <f>E623</f>
        <v>177921849.01966083</v>
      </c>
      <c r="F716" s="202">
        <f>F624</f>
        <v>5684590.3745212471</v>
      </c>
      <c r="G716" s="202">
        <f>G625</f>
        <v>27441262.839368105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870248363.51000035</v>
      </c>
      <c r="N716" s="210" t="s">
        <v>698</v>
      </c>
    </row>
    <row r="717" spans="1:14" s="202" customFormat="1" ht="12.6" customHeight="1" x14ac:dyDescent="0.2">
      <c r="C717" s="213"/>
      <c r="N717" s="210"/>
    </row>
  </sheetData>
  <sheetProtection algorithmName="SHA-512" hashValue="xfPMbGV6igSOubdOeQUtszQ4myGh+4CicrMSj7zEM0F75nOHoWGPIX6J6Dha1oXSncyq9XDk6sXN1cgiMYfaBg==" saltValue="EurDsxENx2fNjGPymvnYc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customFormat="1" ht="15.75" customHeight="1" x14ac:dyDescent="0.25">
      <c r="A2" s="11" t="str">
        <f>MONTH(data!C96) &amp; "-" &amp; DAY(data!C96)</f>
        <v>9-30</v>
      </c>
      <c r="B2" s="201" t="str">
        <f>RIGHT(data!C97, 3)</f>
        <v>014</v>
      </c>
      <c r="C2" s="11" t="str">
        <f>SUBSTITUTE(LEFT(data!C98,49),",","")</f>
        <v>Seattle Children's Hospital</v>
      </c>
      <c r="D2" s="11" t="str">
        <f>LEFT(data!C99, 49)</f>
        <v>PO Box 5371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98145-5005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/>
      </c>
      <c r="K2" s="11" t="str">
        <f>LEFT(data!C107, 49)</f>
        <v>206-987-2000</v>
      </c>
      <c r="L2" s="11" t="str">
        <f>LEFT(data!C108, 49)</f>
        <v/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K23" sqref="K23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1070</v>
      </c>
      <c r="B1" s="12" t="s">
        <v>1071</v>
      </c>
      <c r="C1" s="12" t="s">
        <v>1072</v>
      </c>
      <c r="D1" s="12" t="s">
        <v>1073</v>
      </c>
      <c r="E1" s="12" t="s">
        <v>1074</v>
      </c>
      <c r="F1" s="12" t="s">
        <v>1075</v>
      </c>
      <c r="G1" s="12" t="s">
        <v>1076</v>
      </c>
      <c r="H1" s="12" t="s">
        <v>1077</v>
      </c>
      <c r="I1" s="12" t="s">
        <v>1078</v>
      </c>
      <c r="J1" s="12" t="s">
        <v>1079</v>
      </c>
      <c r="K1" s="12" t="s">
        <v>1080</v>
      </c>
      <c r="L1" s="12" t="s">
        <v>1081</v>
      </c>
      <c r="M1" s="12" t="s">
        <v>1082</v>
      </c>
      <c r="N1" s="12" t="s">
        <v>1083</v>
      </c>
      <c r="O1" s="12" t="s">
        <v>1084</v>
      </c>
      <c r="P1" s="12" t="s">
        <v>1085</v>
      </c>
      <c r="Q1" s="12" t="s">
        <v>1086</v>
      </c>
      <c r="R1" s="12" t="s">
        <v>1087</v>
      </c>
      <c r="S1" s="12" t="s">
        <v>1088</v>
      </c>
      <c r="T1" s="12" t="s">
        <v>1089</v>
      </c>
      <c r="U1" s="12" t="s">
        <v>1090</v>
      </c>
      <c r="V1" s="12" t="s">
        <v>1091</v>
      </c>
      <c r="W1" s="12" t="s">
        <v>1092</v>
      </c>
      <c r="X1" s="12" t="s">
        <v>1093</v>
      </c>
      <c r="Y1" s="12" t="s">
        <v>1094</v>
      </c>
      <c r="Z1" s="12" t="s">
        <v>1095</v>
      </c>
      <c r="AA1" s="12" t="s">
        <v>1096</v>
      </c>
      <c r="AB1" s="12" t="s">
        <v>1097</v>
      </c>
      <c r="AC1" s="12" t="s">
        <v>1098</v>
      </c>
      <c r="AD1" s="12" t="s">
        <v>1099</v>
      </c>
      <c r="AE1" s="12" t="s">
        <v>1100</v>
      </c>
      <c r="AF1" s="12" t="s">
        <v>1101</v>
      </c>
      <c r="AG1" s="12" t="s">
        <v>1102</v>
      </c>
      <c r="AH1" s="12" t="s">
        <v>1103</v>
      </c>
      <c r="AI1" s="12" t="s">
        <v>1104</v>
      </c>
      <c r="AJ1" s="12" t="s">
        <v>1105</v>
      </c>
      <c r="AK1" s="12" t="s">
        <v>1106</v>
      </c>
      <c r="AL1" s="12" t="s">
        <v>1107</v>
      </c>
      <c r="AM1" s="12" t="s">
        <v>1108</v>
      </c>
      <c r="AN1" s="12" t="s">
        <v>1109</v>
      </c>
      <c r="AO1" s="12" t="s">
        <v>1110</v>
      </c>
      <c r="AP1" s="12" t="s">
        <v>1111</v>
      </c>
      <c r="AQ1" s="12" t="s">
        <v>1112</v>
      </c>
      <c r="AR1" s="12" t="s">
        <v>1113</v>
      </c>
      <c r="AS1" s="12" t="s">
        <v>1114</v>
      </c>
      <c r="AT1" s="12" t="s">
        <v>1115</v>
      </c>
      <c r="AU1" s="12" t="s">
        <v>1116</v>
      </c>
      <c r="AV1" s="12" t="s">
        <v>1117</v>
      </c>
      <c r="AW1" s="12" t="s">
        <v>1118</v>
      </c>
      <c r="AX1" s="12" t="s">
        <v>1119</v>
      </c>
      <c r="AY1" s="12" t="s">
        <v>1120</v>
      </c>
      <c r="AZ1" s="12" t="s">
        <v>1121</v>
      </c>
      <c r="BA1" s="12" t="s">
        <v>1122</v>
      </c>
      <c r="BB1" s="12" t="s">
        <v>1123</v>
      </c>
      <c r="BC1" s="12" t="s">
        <v>1124</v>
      </c>
      <c r="BD1" s="12" t="s">
        <v>1125</v>
      </c>
      <c r="BE1" s="12" t="s">
        <v>1126</v>
      </c>
      <c r="BF1" s="12" t="s">
        <v>1127</v>
      </c>
      <c r="BG1" s="12" t="s">
        <v>1128</v>
      </c>
      <c r="BH1" s="12" t="s">
        <v>1129</v>
      </c>
      <c r="BI1" s="12" t="s">
        <v>1130</v>
      </c>
      <c r="BJ1" s="12" t="s">
        <v>1131</v>
      </c>
      <c r="BK1" s="12" t="s">
        <v>1132</v>
      </c>
      <c r="BL1" s="12" t="s">
        <v>1133</v>
      </c>
      <c r="BM1" s="12" t="s">
        <v>1134</v>
      </c>
      <c r="BN1" s="12" t="s">
        <v>1135</v>
      </c>
      <c r="BO1" s="12" t="s">
        <v>1136</v>
      </c>
      <c r="BP1" s="12" t="s">
        <v>1137</v>
      </c>
      <c r="BQ1" s="12" t="s">
        <v>1138</v>
      </c>
      <c r="BR1" s="12" t="s">
        <v>1139</v>
      </c>
      <c r="BS1" s="12" t="s">
        <v>1140</v>
      </c>
      <c r="BT1" s="12" t="s">
        <v>1141</v>
      </c>
      <c r="BU1" s="12" t="s">
        <v>1142</v>
      </c>
      <c r="BV1" s="12" t="s">
        <v>1143</v>
      </c>
      <c r="BW1" s="12" t="s">
        <v>1144</v>
      </c>
      <c r="BX1" s="12" t="s">
        <v>1145</v>
      </c>
      <c r="BY1" s="12" t="s">
        <v>1146</v>
      </c>
      <c r="BZ1" s="12" t="s">
        <v>1147</v>
      </c>
      <c r="CA1" s="12" t="s">
        <v>1148</v>
      </c>
      <c r="CB1" s="12" t="s">
        <v>1149</v>
      </c>
      <c r="CC1" s="12" t="s">
        <v>1150</v>
      </c>
      <c r="CD1" s="12" t="s">
        <v>1151</v>
      </c>
      <c r="CE1" s="12" t="s">
        <v>1152</v>
      </c>
      <c r="CF1" s="12" t="s">
        <v>1153</v>
      </c>
    </row>
    <row r="2" spans="1:84" s="169" customFormat="1" ht="12.6" customHeight="1" x14ac:dyDescent="0.25">
      <c r="A2" s="12" t="str">
        <f>RIGHT(data!C97,3)</f>
        <v>014</v>
      </c>
      <c r="B2" s="200" t="str">
        <f>RIGHT(data!C96,4)</f>
        <v>2024</v>
      </c>
      <c r="C2" s="12" t="s">
        <v>1154</v>
      </c>
      <c r="D2" s="199">
        <f>ROUND(N(data!C181),0)</f>
        <v>73574114</v>
      </c>
      <c r="E2" s="199">
        <f>ROUND(N(data!C182),0)</f>
        <v>2417852</v>
      </c>
      <c r="F2" s="199">
        <f>ROUND(N(data!C183),0)</f>
        <v>6090043</v>
      </c>
      <c r="G2" s="199">
        <f>ROUND(N(data!C184),0)</f>
        <v>130136476</v>
      </c>
      <c r="H2" s="199">
        <f>ROUND(N(data!C185),0)</f>
        <v>2715839</v>
      </c>
      <c r="I2" s="199">
        <f>ROUND(N(data!C186),0)</f>
        <v>61182354</v>
      </c>
      <c r="J2" s="199">
        <f>ROUND(N(data!C187)+N(data!C188),0)</f>
        <v>-75194</v>
      </c>
      <c r="K2" s="199">
        <f>ROUND(N(data!C191),0)</f>
        <v>30175730</v>
      </c>
      <c r="L2" s="199">
        <f>ROUND(N(data!C192),0)</f>
        <v>1452508</v>
      </c>
      <c r="M2" s="199">
        <f>ROUND(N(data!C195),0)</f>
        <v>1771251</v>
      </c>
      <c r="N2" s="199">
        <f>ROUND(N(data!C196),0)</f>
        <v>6863615</v>
      </c>
      <c r="O2" s="199">
        <f>ROUND(N(data!C199),0)</f>
        <v>0</v>
      </c>
      <c r="P2" s="199">
        <f>ROUND(N(data!C200),0)</f>
        <v>44420445</v>
      </c>
      <c r="Q2" s="199">
        <f>ROUND(N(data!C201),0)</f>
        <v>0</v>
      </c>
      <c r="R2" s="199">
        <f>ROUND(N(data!C204),0)</f>
        <v>0</v>
      </c>
      <c r="S2" s="199">
        <f>ROUND(N(data!C205),0)</f>
        <v>26218946</v>
      </c>
      <c r="T2" s="199">
        <f>ROUND(N(data!B211),0)</f>
        <v>266988313</v>
      </c>
      <c r="U2" s="199">
        <f>ROUND(N(data!C211),0)</f>
        <v>0</v>
      </c>
      <c r="V2" s="199">
        <f>ROUND(N(data!D211),0)</f>
        <v>0</v>
      </c>
      <c r="W2" s="199">
        <f>ROUND(N(data!B212),0)</f>
        <v>14662544</v>
      </c>
      <c r="X2" s="199">
        <f>ROUND(N(data!C212),0)</f>
        <v>0</v>
      </c>
      <c r="Y2" s="199">
        <f>ROUND(N(data!D212),0)</f>
        <v>0</v>
      </c>
      <c r="Z2" s="199">
        <f>ROUND(N(data!B213),0)</f>
        <v>2039356830</v>
      </c>
      <c r="AA2" s="199">
        <f>ROUND(N(data!C213),0)</f>
        <v>74194736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68561870</v>
      </c>
      <c r="AG2" s="199">
        <f>ROUND(N(data!C215),0)</f>
        <v>3362811</v>
      </c>
      <c r="AH2" s="199">
        <f>ROUND(N(data!D215),0)</f>
        <v>0</v>
      </c>
      <c r="AI2" s="199">
        <f>ROUND(N(data!B216),0)</f>
        <v>699290647</v>
      </c>
      <c r="AJ2" s="199">
        <f>ROUND(N(data!C216),0)</f>
        <v>61112075</v>
      </c>
      <c r="AK2" s="199">
        <f>ROUND(N(data!D216),0)</f>
        <v>14644886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102949957</v>
      </c>
      <c r="AP2" s="199">
        <f>ROUND(N(data!C218),0)</f>
        <v>4881</v>
      </c>
      <c r="AQ2" s="199">
        <f>ROUND(N(data!D218),0)</f>
        <v>0</v>
      </c>
      <c r="AR2" s="199">
        <f>ROUND(N(data!B219),0)</f>
        <v>122046225</v>
      </c>
      <c r="AS2" s="199">
        <f>ROUND(N(data!C219),0)</f>
        <v>153839671</v>
      </c>
      <c r="AT2" s="199">
        <f>ROUND(N(data!D219),0)</f>
        <v>129996246</v>
      </c>
      <c r="AU2" s="199">
        <v>0</v>
      </c>
      <c r="AV2" s="199">
        <v>0</v>
      </c>
      <c r="AW2" s="199">
        <v>0</v>
      </c>
      <c r="AX2" s="199">
        <f>ROUND(N(data!B225),0)</f>
        <v>11049607</v>
      </c>
      <c r="AY2" s="199">
        <f>ROUND(N(data!C225),0)</f>
        <v>748791</v>
      </c>
      <c r="AZ2" s="199">
        <f>ROUND(N(data!D225),0)</f>
        <v>0</v>
      </c>
      <c r="BA2" s="199">
        <f>ROUND(N(data!B226),0)</f>
        <v>594527427</v>
      </c>
      <c r="BB2" s="199">
        <f>ROUND(N(data!C226),0)</f>
        <v>49522410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37265794</v>
      </c>
      <c r="BH2" s="199">
        <f>ROUND(N(data!C228),0)</f>
        <v>2783005</v>
      </c>
      <c r="BI2" s="199">
        <f>ROUND(N(data!D228),0)</f>
        <v>0</v>
      </c>
      <c r="BJ2" s="199">
        <f>ROUND(N(data!B229),0)</f>
        <v>406945598</v>
      </c>
      <c r="BK2" s="199">
        <f>ROUND(N(data!C229),0)</f>
        <v>68471797</v>
      </c>
      <c r="BL2" s="199">
        <f>ROUND(N(data!D229),0)</f>
        <v>13703949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47451668</v>
      </c>
      <c r="BQ2" s="199">
        <f>ROUND(N(data!C231),0)</f>
        <v>8975444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32831787</v>
      </c>
      <c r="BW2" s="199">
        <f>ROUND(N(data!C240),0)</f>
        <v>1563475646</v>
      </c>
      <c r="BX2" s="199">
        <f>ROUND(N(data!C241),0)</f>
        <v>0</v>
      </c>
      <c r="BY2" s="199">
        <f>ROUND(N(data!C242),0)</f>
        <v>83904985</v>
      </c>
      <c r="BZ2" s="199">
        <f>ROUND(N(data!C243),0)</f>
        <v>445719579</v>
      </c>
      <c r="CA2" s="199">
        <f>ROUND(N(data!C244),0)</f>
        <v>0</v>
      </c>
      <c r="CB2" s="199">
        <f>ROUND(N(data!C247),0)</f>
        <v>29663</v>
      </c>
      <c r="CC2" s="199">
        <f>ROUND(N(data!C249),0)</f>
        <v>2787220</v>
      </c>
      <c r="CD2" s="199">
        <f>ROUND(N(data!C250),0)</f>
        <v>28708781</v>
      </c>
      <c r="CE2" s="199">
        <f>ROUND(N(data!C254)+N(data!C255),0)</f>
        <v>18303058</v>
      </c>
      <c r="CF2" s="199">
        <f>ROUND(N(data!D237),0)</f>
        <v>3373893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EB65-5580-4B96-A380-0649FF2A678A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69" customFormat="1" ht="12.6" customHeight="1" x14ac:dyDescent="0.25">
      <c r="A2" s="12" t="str">
        <f>RIGHT(data!C97,3)</f>
        <v>014</v>
      </c>
      <c r="B2" s="12" t="str">
        <f>RIGHT(data!C96,4)</f>
        <v>2024</v>
      </c>
      <c r="C2" s="12" t="s">
        <v>1154</v>
      </c>
      <c r="D2" s="198">
        <f>ROUND(N(data!C127),0)</f>
        <v>17559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110549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96</v>
      </c>
      <c r="M2" s="198">
        <f>ROUND(N(data!C133),0)</f>
        <v>0</v>
      </c>
      <c r="N2" s="198">
        <f>ROUND(N(data!C134),0)</f>
        <v>231</v>
      </c>
      <c r="O2" s="198">
        <f>ROUND(N(data!C135),0)</f>
        <v>0</v>
      </c>
      <c r="P2" s="198">
        <f>ROUND(N(data!C136),0)</f>
        <v>0</v>
      </c>
      <c r="Q2" s="198">
        <f>ROUND(N(data!C137),0)</f>
        <v>12</v>
      </c>
      <c r="R2" s="198">
        <f>ROUND(N(data!C138),0)</f>
        <v>32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407</v>
      </c>
      <c r="X2" s="198">
        <f>ROUND(N(data!C145),0)</f>
        <v>0</v>
      </c>
      <c r="Y2" s="198">
        <f>ROUND(N(data!B154),0)</f>
        <v>89</v>
      </c>
      <c r="Z2" s="198">
        <f>ROUND(N(data!B155),0)</f>
        <v>702</v>
      </c>
      <c r="AA2" s="198">
        <f>ROUND(N(data!B156),0)</f>
        <v>5048</v>
      </c>
      <c r="AB2" s="198">
        <f>ROUND(N(data!B157),0)</f>
        <v>23529573</v>
      </c>
      <c r="AC2" s="198">
        <f>ROUND(N(data!B158),0)</f>
        <v>16855452</v>
      </c>
      <c r="AD2" s="198">
        <f>ROUND(N(data!C154),0)</f>
        <v>8531</v>
      </c>
      <c r="AE2" s="198">
        <f>ROUND(N(data!C155),0)</f>
        <v>62087</v>
      </c>
      <c r="AF2" s="198">
        <f>ROUND(N(data!C156),0)</f>
        <v>227341</v>
      </c>
      <c r="AG2" s="198">
        <f>ROUND(N(data!C157),0)</f>
        <v>1318696733</v>
      </c>
      <c r="AH2" s="198">
        <f>ROUND(N(data!C158),0)</f>
        <v>759127001</v>
      </c>
      <c r="AI2" s="198">
        <f>ROUND(N(data!D154),0)</f>
        <v>8939</v>
      </c>
      <c r="AJ2" s="198">
        <f>ROUND(N(data!D155),0)</f>
        <v>47760</v>
      </c>
      <c r="AK2" s="198">
        <f>ROUND(N(data!D156),0)</f>
        <v>276908</v>
      </c>
      <c r="AL2" s="198">
        <f>ROUND(N(data!D157),0)</f>
        <v>1142566379</v>
      </c>
      <c r="AM2" s="198">
        <f>ROUND(N(data!D158),0)</f>
        <v>924639762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11A6-2804-4739-BD78-F5606B53AA53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1263</v>
      </c>
      <c r="B1" s="12" t="s">
        <v>1264</v>
      </c>
      <c r="C1" s="12" t="s">
        <v>1265</v>
      </c>
      <c r="D1" s="10" t="s">
        <v>1266</v>
      </c>
      <c r="E1" s="10" t="s">
        <v>1267</v>
      </c>
      <c r="F1" s="10" t="s">
        <v>1268</v>
      </c>
      <c r="G1" s="10" t="s">
        <v>1269</v>
      </c>
      <c r="H1" s="10" t="s">
        <v>1270</v>
      </c>
      <c r="I1" s="10" t="s">
        <v>1271</v>
      </c>
      <c r="J1" s="10" t="s">
        <v>1272</v>
      </c>
      <c r="K1" s="10" t="s">
        <v>1273</v>
      </c>
      <c r="L1" s="10" t="s">
        <v>1274</v>
      </c>
      <c r="M1" s="10" t="s">
        <v>1275</v>
      </c>
      <c r="N1" s="10" t="s">
        <v>1276</v>
      </c>
      <c r="O1" s="10" t="s">
        <v>1277</v>
      </c>
      <c r="P1" s="10" t="s">
        <v>1278</v>
      </c>
      <c r="Q1" s="10" t="s">
        <v>1279</v>
      </c>
      <c r="R1" s="10" t="s">
        <v>1280</v>
      </c>
      <c r="S1" s="10" t="s">
        <v>1281</v>
      </c>
      <c r="T1" s="10" t="s">
        <v>1282</v>
      </c>
      <c r="U1" s="10" t="s">
        <v>1283</v>
      </c>
      <c r="V1" s="10" t="s">
        <v>1284</v>
      </c>
      <c r="W1" s="10" t="s">
        <v>1285</v>
      </c>
      <c r="X1" s="10" t="s">
        <v>1286</v>
      </c>
      <c r="Y1" s="10" t="s">
        <v>1287</v>
      </c>
      <c r="Z1" s="10" t="s">
        <v>1288</v>
      </c>
      <c r="AA1" s="10" t="s">
        <v>1289</v>
      </c>
      <c r="AB1" s="10" t="s">
        <v>1290</v>
      </c>
      <c r="AC1" s="10" t="s">
        <v>1291</v>
      </c>
      <c r="AD1" s="10" t="s">
        <v>1292</v>
      </c>
      <c r="AE1" s="10" t="s">
        <v>1293</v>
      </c>
      <c r="AF1" s="10" t="s">
        <v>1294</v>
      </c>
      <c r="AG1" s="10" t="s">
        <v>1295</v>
      </c>
      <c r="AH1" s="10" t="s">
        <v>1296</v>
      </c>
      <c r="AI1" s="10" t="s">
        <v>1297</v>
      </c>
      <c r="AJ1" s="10" t="s">
        <v>1298</v>
      </c>
      <c r="AK1" s="10" t="s">
        <v>1299</v>
      </c>
      <c r="AL1" s="10" t="s">
        <v>1300</v>
      </c>
      <c r="AM1" s="10" t="s">
        <v>1301</v>
      </c>
      <c r="AN1" s="10" t="s">
        <v>1302</v>
      </c>
      <c r="AO1" s="10" t="s">
        <v>1303</v>
      </c>
      <c r="AP1" s="10" t="s">
        <v>1304</v>
      </c>
      <c r="AQ1" s="10" t="s">
        <v>1305</v>
      </c>
      <c r="AR1" s="10" t="s">
        <v>1306</v>
      </c>
      <c r="AS1" s="10" t="s">
        <v>1307</v>
      </c>
      <c r="AT1" s="10" t="s">
        <v>1308</v>
      </c>
      <c r="AU1" s="10" t="s">
        <v>1309</v>
      </c>
      <c r="AV1" s="10" t="s">
        <v>1310</v>
      </c>
      <c r="AW1" s="10" t="s">
        <v>1311</v>
      </c>
      <c r="AX1" s="10" t="s">
        <v>1312</v>
      </c>
      <c r="AY1" s="10" t="s">
        <v>1313</v>
      </c>
      <c r="AZ1" s="10" t="s">
        <v>1314</v>
      </c>
      <c r="BA1" s="10" t="s">
        <v>1315</v>
      </c>
      <c r="BB1" s="10" t="s">
        <v>1316</v>
      </c>
      <c r="BC1" s="10" t="s">
        <v>1317</v>
      </c>
      <c r="BD1" s="10" t="s">
        <v>1318</v>
      </c>
      <c r="BE1" s="10" t="s">
        <v>1319</v>
      </c>
      <c r="BF1" s="10" t="s">
        <v>1320</v>
      </c>
      <c r="BG1" s="10" t="s">
        <v>1321</v>
      </c>
      <c r="BH1" s="10" t="s">
        <v>1322</v>
      </c>
      <c r="BI1" s="10" t="s">
        <v>1323</v>
      </c>
      <c r="BJ1" s="10" t="s">
        <v>1324</v>
      </c>
      <c r="BK1" s="10" t="s">
        <v>1325</v>
      </c>
      <c r="BL1" s="10" t="s">
        <v>1326</v>
      </c>
      <c r="BM1" s="10" t="s">
        <v>1327</v>
      </c>
      <c r="BN1" s="10" t="s">
        <v>1328</v>
      </c>
      <c r="BO1" s="10" t="s">
        <v>1329</v>
      </c>
      <c r="BP1" s="10" t="s">
        <v>1330</v>
      </c>
      <c r="BQ1" s="10" t="s">
        <v>1331</v>
      </c>
      <c r="BR1" s="10" t="s">
        <v>1332</v>
      </c>
      <c r="BS1" s="10" t="s">
        <v>1333</v>
      </c>
      <c r="BT1" s="10" t="s">
        <v>1334</v>
      </c>
      <c r="BU1" s="10" t="s">
        <v>1335</v>
      </c>
      <c r="BV1" s="10" t="s">
        <v>1336</v>
      </c>
      <c r="BW1" s="10" t="s">
        <v>1337</v>
      </c>
      <c r="BX1" s="10" t="s">
        <v>1338</v>
      </c>
      <c r="BY1" s="10" t="s">
        <v>1339</v>
      </c>
      <c r="BZ1" s="10" t="s">
        <v>1340</v>
      </c>
      <c r="CA1" s="10" t="s">
        <v>1341</v>
      </c>
      <c r="CB1" s="10" t="s">
        <v>1342</v>
      </c>
      <c r="CC1" s="10" t="s">
        <v>1343</v>
      </c>
      <c r="CD1" s="10" t="s">
        <v>1344</v>
      </c>
      <c r="CE1" s="10" t="s">
        <v>1345</v>
      </c>
      <c r="CF1" s="10" t="s">
        <v>1346</v>
      </c>
      <c r="CG1" s="10" t="s">
        <v>1347</v>
      </c>
      <c r="CH1" s="10" t="s">
        <v>1348</v>
      </c>
      <c r="CI1" s="10" t="s">
        <v>1349</v>
      </c>
      <c r="CJ1" s="10" t="s">
        <v>1350</v>
      </c>
      <c r="CK1" s="10" t="s">
        <v>1351</v>
      </c>
      <c r="CL1" s="10" t="s">
        <v>1352</v>
      </c>
      <c r="CM1" s="10" t="s">
        <v>1353</v>
      </c>
      <c r="CN1" s="10" t="s">
        <v>1354</v>
      </c>
      <c r="CO1" s="10" t="s">
        <v>1355</v>
      </c>
      <c r="CP1" s="10" t="s">
        <v>1356</v>
      </c>
      <c r="CQ1" s="197" t="s">
        <v>1241</v>
      </c>
      <c r="CR1" s="197" t="s">
        <v>1242</v>
      </c>
      <c r="CS1" s="197" t="s">
        <v>1243</v>
      </c>
      <c r="CT1" s="197" t="s">
        <v>1244</v>
      </c>
      <c r="CU1" s="197" t="s">
        <v>1245</v>
      </c>
      <c r="CV1" s="197" t="s">
        <v>1246</v>
      </c>
      <c r="CW1" s="197" t="s">
        <v>1247</v>
      </c>
      <c r="CX1" s="197" t="s">
        <v>1248</v>
      </c>
      <c r="CY1" s="197" t="s">
        <v>1249</v>
      </c>
      <c r="CZ1" s="197" t="s">
        <v>1250</v>
      </c>
      <c r="DA1" s="197" t="s">
        <v>1251</v>
      </c>
      <c r="DB1" s="197" t="s">
        <v>1252</v>
      </c>
      <c r="DC1" s="197" t="s">
        <v>1253</v>
      </c>
      <c r="DD1" s="197" t="s">
        <v>1254</v>
      </c>
      <c r="DE1" s="10" t="s">
        <v>1357</v>
      </c>
      <c r="DF1" s="10" t="s">
        <v>1358</v>
      </c>
      <c r="DG1" s="10" t="s">
        <v>1359</v>
      </c>
      <c r="DH1" s="10" t="s">
        <v>1360</v>
      </c>
    </row>
    <row r="2" spans="1:112" s="169" customFormat="1" ht="12.6" customHeight="1" x14ac:dyDescent="0.25">
      <c r="A2" s="199" t="str">
        <f>RIGHT(data!C97,3)</f>
        <v>014</v>
      </c>
      <c r="B2" s="200" t="str">
        <f>RIGHT(data!C96,4)</f>
        <v>2024</v>
      </c>
      <c r="C2" s="12" t="s">
        <v>1154</v>
      </c>
      <c r="D2" s="198">
        <f>ROUND(N(data!C181),0)</f>
        <v>73574114</v>
      </c>
      <c r="E2" s="198">
        <f>ROUND(N(data!C267),0)</f>
        <v>0</v>
      </c>
      <c r="F2" s="198">
        <f>ROUND(N(data!C268),0)</f>
        <v>1027023433</v>
      </c>
      <c r="G2" s="198">
        <f>ROUND(N(data!C269),0)</f>
        <v>544843600</v>
      </c>
      <c r="H2" s="198">
        <f>ROUND(N(data!C270),0)</f>
        <v>0</v>
      </c>
      <c r="I2" s="198">
        <f>ROUND(N(data!C271),0)</f>
        <v>337494842</v>
      </c>
      <c r="J2" s="198">
        <f>ROUND(N(data!C272),0)</f>
        <v>0</v>
      </c>
      <c r="K2" s="198">
        <f>ROUND(N(data!C273),0)</f>
        <v>26232095</v>
      </c>
      <c r="L2" s="198">
        <f>ROUND(N(data!C274),0)</f>
        <v>45558938</v>
      </c>
      <c r="M2" s="198">
        <f>ROUND(N(data!C275),0)</f>
        <v>26720367</v>
      </c>
      <c r="N2" s="198">
        <f>ROUND(N(data!C278),0)</f>
        <v>0</v>
      </c>
      <c r="O2" s="198">
        <f>ROUND(N(data!C279),0)</f>
        <v>1791577735</v>
      </c>
      <c r="P2" s="198">
        <f>ROUND(N(data!C280),0)</f>
        <v>2735111</v>
      </c>
      <c r="Q2" s="198">
        <f>ROUND(N(data!C283),0)</f>
        <v>266988313</v>
      </c>
      <c r="R2" s="198">
        <f>ROUND(N(data!C284),0)</f>
        <v>14662544</v>
      </c>
      <c r="S2" s="198">
        <f>ROUND(N(data!C285),0)</f>
        <v>2113551565</v>
      </c>
      <c r="T2" s="198">
        <f>ROUND(N(data!C286),0)</f>
        <v>0</v>
      </c>
      <c r="U2" s="198">
        <f>ROUND(N(data!C287),0)</f>
        <v>71924681</v>
      </c>
      <c r="V2" s="198">
        <f>ROUND(N(data!C288),0)</f>
        <v>745757836</v>
      </c>
      <c r="W2" s="198">
        <f>ROUND(N(data!C289),0)</f>
        <v>102954838</v>
      </c>
      <c r="X2" s="198">
        <f>ROUND(N(data!C290),0)</f>
        <v>145889650</v>
      </c>
      <c r="Y2" s="198">
        <f>ROUND(N(data!C291),0)</f>
        <v>0</v>
      </c>
      <c r="Z2" s="198">
        <f>ROUND(N(data!C292),0)</f>
        <v>1214037591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532573713</v>
      </c>
      <c r="AE2" s="198">
        <f>ROUND(N(data!C302),0)</f>
        <v>5670000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141996157</v>
      </c>
      <c r="AK2" s="198">
        <f>ROUND(N(data!C316),0)</f>
        <v>181422670</v>
      </c>
      <c r="AL2" s="198">
        <f>ROUND(N(data!C317),0)</f>
        <v>13932276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515907125</v>
      </c>
      <c r="AR2" s="198">
        <f>ROUND(N(data!C323),0)</f>
        <v>21324345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206723108</v>
      </c>
      <c r="AZ2" s="198">
        <f>ROUND(N(data!C335),0)</f>
        <v>886093639</v>
      </c>
      <c r="BA2" s="198">
        <f>ROUND(N(data!C336),0)</f>
        <v>0</v>
      </c>
      <c r="BB2" s="198">
        <f>ROUND(N(data!C337),0)</f>
        <v>0</v>
      </c>
      <c r="BC2" s="198">
        <f>ROUND(N(data!C338),0)</f>
        <v>61415285</v>
      </c>
      <c r="BD2" s="198">
        <f>ROUND(N(data!C339),0)</f>
        <v>0</v>
      </c>
      <c r="BE2" s="198">
        <f>ROUND(N(data!C343),0)</f>
        <v>3575715688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8648.2099999999991</v>
      </c>
      <c r="BL2" s="198">
        <f>ROUND(N(data!C358),0)</f>
        <v>2484792685</v>
      </c>
      <c r="BM2" s="198">
        <f>ROUND(N(data!C359),0)</f>
        <v>1400469560</v>
      </c>
      <c r="BN2" s="198">
        <f>ROUND(N(data!C363),0)</f>
        <v>2125931997</v>
      </c>
      <c r="BO2" s="198">
        <f>ROUND(N(data!C364),0)</f>
        <v>31496002</v>
      </c>
      <c r="BP2" s="198">
        <f>ROUND(N(data!C365),0)</f>
        <v>18303058</v>
      </c>
      <c r="BQ2" s="198">
        <f>ROUND(N(data!D381),0)</f>
        <v>815434353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300152655</v>
      </c>
      <c r="BW2" s="198">
        <f>ROUND(N(data!C375),0)</f>
        <v>2056946</v>
      </c>
      <c r="BX2" s="198">
        <f>ROUND(N(data!C376),0)</f>
        <v>102002543</v>
      </c>
      <c r="BY2" s="198">
        <f>ROUND(N(data!C377),0)</f>
        <v>2944024</v>
      </c>
      <c r="BZ2" s="198">
        <f>ROUND(N(data!C378),0)</f>
        <v>19836692</v>
      </c>
      <c r="CA2" s="198">
        <f>ROUND(N(data!C379),0)</f>
        <v>4523843</v>
      </c>
      <c r="CB2" s="198">
        <f>ROUND(N(data!C380),0)</f>
        <v>383917649</v>
      </c>
      <c r="CC2" s="198">
        <f>ROUND(N(data!C382),0)</f>
        <v>0</v>
      </c>
      <c r="CD2" s="198">
        <f>ROUND(N(data!C389),0)</f>
        <v>994527197</v>
      </c>
      <c r="CE2" s="198">
        <f>ROUND(N(data!C390),0)</f>
        <v>273407449</v>
      </c>
      <c r="CF2" s="198">
        <f>ROUND(N(data!C391),0)</f>
        <v>227921549</v>
      </c>
      <c r="CG2" s="198">
        <f>ROUND(N(data!C392),0)</f>
        <v>242899662</v>
      </c>
      <c r="CH2" s="198">
        <f>ROUND(N(data!C393),0)</f>
        <v>0</v>
      </c>
      <c r="CI2" s="198">
        <f>ROUND(N(data!C394),0)</f>
        <v>176791546</v>
      </c>
      <c r="CJ2" s="198">
        <f>ROUND(N(data!C395),0)</f>
        <v>141473101</v>
      </c>
      <c r="CK2" s="198">
        <f>ROUND(N(data!C396),0)</f>
        <v>31628238</v>
      </c>
      <c r="CL2" s="198">
        <f>ROUND(N(data!C397),0)</f>
        <v>6863615</v>
      </c>
      <c r="CM2" s="198">
        <f>ROUND(N(data!C398),0)</f>
        <v>44420445</v>
      </c>
      <c r="CN2" s="198">
        <f>ROUND(N(data!C399),0)</f>
        <v>26218946</v>
      </c>
      <c r="CO2" s="198">
        <f>ROUND(N(data!C362),0)</f>
        <v>3373893</v>
      </c>
      <c r="CP2" s="198">
        <f>ROUND(N(data!D415),0)</f>
        <v>212483744</v>
      </c>
      <c r="CQ2" s="52">
        <f>ROUND(N(data!C401),0)</f>
        <v>3980322</v>
      </c>
      <c r="CR2" s="52">
        <f>ROUND(N(data!C402),0)</f>
        <v>33625242</v>
      </c>
      <c r="CS2" s="52">
        <f>ROUND(N(data!C403),0)</f>
        <v>39767044</v>
      </c>
      <c r="CT2" s="52">
        <f>ROUND(N(data!C404),0)</f>
        <v>1771251</v>
      </c>
      <c r="CU2" s="52">
        <f>ROUND(N(data!C405),0)</f>
        <v>3879152</v>
      </c>
      <c r="CV2" s="52">
        <f>ROUND(N(data!C406),0)</f>
        <v>8772068</v>
      </c>
      <c r="CW2" s="52">
        <f>ROUND(N(data!C407),0)</f>
        <v>14926252</v>
      </c>
      <c r="CX2" s="52">
        <f>ROUND(N(data!C408),0)</f>
        <v>29472666</v>
      </c>
      <c r="CY2" s="52">
        <f>ROUND(N(data!C409),0)</f>
        <v>0</v>
      </c>
      <c r="CZ2" s="52">
        <f>ROUND(N(data!C410),0)</f>
        <v>2566515</v>
      </c>
      <c r="DA2" s="52">
        <f>ROUND(N(data!C411),0)</f>
        <v>1767223</v>
      </c>
      <c r="DB2" s="52">
        <f>ROUND(N(data!C412),0)</f>
        <v>0</v>
      </c>
      <c r="DC2" s="52">
        <f>ROUND(N(data!C413),0)</f>
        <v>19221630</v>
      </c>
      <c r="DD2" s="52">
        <f>ROUND(N(data!C414),0)</f>
        <v>52734377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B7C0-A684-4045-8479-00A3F277A10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1226</v>
      </c>
      <c r="B1" s="12" t="s">
        <v>1227</v>
      </c>
      <c r="C1" s="10" t="s">
        <v>1228</v>
      </c>
      <c r="D1" s="12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014</v>
      </c>
      <c r="B2" s="200" t="str">
        <f>RIGHT(data!$C$96,4)</f>
        <v>2024</v>
      </c>
      <c r="C2" s="12" t="str">
        <f>data!C$55</f>
        <v>6010</v>
      </c>
      <c r="D2" s="12" t="s">
        <v>1154</v>
      </c>
      <c r="E2" s="198">
        <f>ROUND(N(data!C59), 0)</f>
        <v>28118</v>
      </c>
      <c r="F2" s="300">
        <f>ROUND(N(data!C60), 2)</f>
        <v>471.42</v>
      </c>
      <c r="G2" s="198">
        <f>ROUND(N(data!C61), 0)</f>
        <v>56621358</v>
      </c>
      <c r="H2" s="198">
        <f>ROUND(N(data!C62), 0)</f>
        <v>15565890</v>
      </c>
      <c r="I2" s="198">
        <f>ROUND(N(data!C63), 0)</f>
        <v>1254455</v>
      </c>
      <c r="J2" s="198">
        <f>ROUND(N(data!C64), 0)</f>
        <v>5384526</v>
      </c>
      <c r="K2" s="198">
        <f>ROUND(N(data!C65), 0)</f>
        <v>0</v>
      </c>
      <c r="L2" s="198">
        <f>ROUND(N(data!C66), 0)</f>
        <v>118369</v>
      </c>
      <c r="M2" s="198">
        <f>ROUND(N(data!C67), 0)</f>
        <v>15179830</v>
      </c>
      <c r="N2" s="198">
        <f>ROUND(N(data!C68), 0)</f>
        <v>10368</v>
      </c>
      <c r="O2" s="198">
        <f>ROUND(N(data!C69), 0)</f>
        <v>13465035</v>
      </c>
      <c r="P2" s="198">
        <f>ROUND(N(data!C70), 0)</f>
        <v>0</v>
      </c>
      <c r="Q2" s="198">
        <f>ROUND(N(data!C71), 0)</f>
        <v>12319782</v>
      </c>
      <c r="R2" s="198">
        <f>ROUND(N(data!C72), 0)</f>
        <v>8819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65766</v>
      </c>
      <c r="X2" s="198">
        <f>ROUND(N(data!C78), 0)</f>
        <v>0</v>
      </c>
      <c r="Y2" s="198">
        <f>ROUND(N(data!C79), 0)</f>
        <v>514385</v>
      </c>
      <c r="Z2" s="198">
        <f>ROUND(N(data!C80), 0)</f>
        <v>2392</v>
      </c>
      <c r="AA2" s="198">
        <f>ROUND(N(data!C81), 0)</f>
        <v>0</v>
      </c>
      <c r="AB2" s="198">
        <f>ROUND(N(data!C82), 0)</f>
        <v>446</v>
      </c>
      <c r="AC2" s="198">
        <f>ROUND(N(data!C83), 0)</f>
        <v>553445</v>
      </c>
      <c r="AD2" s="198">
        <f>ROUND(N(data!C84), 0)</f>
        <v>0</v>
      </c>
      <c r="AE2" s="198">
        <f>ROUND(N(data!C89), 0)</f>
        <v>672032135</v>
      </c>
      <c r="AF2" s="198">
        <f>ROUND(N(data!C87), 0)</f>
        <v>671046360</v>
      </c>
      <c r="AG2" s="198">
        <f>ROUND(N(data!C90), 0)</f>
        <v>148836</v>
      </c>
      <c r="AH2" s="198">
        <f>ROUND(N(data!C91), 0)</f>
        <v>0</v>
      </c>
      <c r="AI2" s="198">
        <f>ROUND(N(data!C92), 0)</f>
        <v>13078</v>
      </c>
      <c r="AJ2" s="198">
        <f>ROUND(N(data!C93), 0)</f>
        <v>1297639</v>
      </c>
      <c r="AK2" s="300">
        <f>ROUND(N(data!C94), 2)</f>
        <v>339.77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014</v>
      </c>
      <c r="B3" s="200" t="str">
        <f>RIGHT(data!$C$96,4)</f>
        <v>2024</v>
      </c>
      <c r="C3" s="12" t="str">
        <f>data!D$55</f>
        <v>6030</v>
      </c>
      <c r="D3" s="12" t="s">
        <v>1154</v>
      </c>
      <c r="E3" s="198">
        <f>ROUND(N(data!D59), 0)</f>
        <v>0</v>
      </c>
      <c r="F3" s="300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00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014</v>
      </c>
      <c r="B4" s="200" t="str">
        <f>RIGHT(data!$C$96,4)</f>
        <v>2024</v>
      </c>
      <c r="C4" s="12" t="str">
        <f>data!E$55</f>
        <v>6070</v>
      </c>
      <c r="D4" s="12" t="s">
        <v>1154</v>
      </c>
      <c r="E4" s="198">
        <f>ROUND(N(data!E59), 0)</f>
        <v>70194</v>
      </c>
      <c r="F4" s="300">
        <f>ROUND(N(data!E60), 2)</f>
        <v>669.62</v>
      </c>
      <c r="G4" s="198">
        <f>ROUND(N(data!E61), 0)</f>
        <v>73868290</v>
      </c>
      <c r="H4" s="198">
        <f>ROUND(N(data!E62), 0)</f>
        <v>20307278</v>
      </c>
      <c r="I4" s="198">
        <f>ROUND(N(data!E63), 0)</f>
        <v>0</v>
      </c>
      <c r="J4" s="198">
        <f>ROUND(N(data!E64), 0)</f>
        <v>4858717</v>
      </c>
      <c r="K4" s="198">
        <f>ROUND(N(data!E65), 0)</f>
        <v>0</v>
      </c>
      <c r="L4" s="198">
        <f>ROUND(N(data!E66), 0)</f>
        <v>157976</v>
      </c>
      <c r="M4" s="198">
        <f>ROUND(N(data!E67), 0)</f>
        <v>33849934</v>
      </c>
      <c r="N4" s="198">
        <f>ROUND(N(data!E68), 0)</f>
        <v>27617</v>
      </c>
      <c r="O4" s="198">
        <f>ROUND(N(data!E69), 0)</f>
        <v>2525912</v>
      </c>
      <c r="P4" s="198">
        <f>ROUND(N(data!E70), 0)</f>
        <v>0</v>
      </c>
      <c r="Q4" s="198">
        <f>ROUND(N(data!E71), 0)</f>
        <v>2320744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12701</v>
      </c>
      <c r="X4" s="198">
        <f>ROUND(N(data!E78), 0)</f>
        <v>0</v>
      </c>
      <c r="Y4" s="198">
        <f>ROUND(N(data!E79), 0)</f>
        <v>182071</v>
      </c>
      <c r="Z4" s="198">
        <f>ROUND(N(data!E80), 0)</f>
        <v>107</v>
      </c>
      <c r="AA4" s="198">
        <f>ROUND(N(data!E81), 0)</f>
        <v>0</v>
      </c>
      <c r="AB4" s="198">
        <f>ROUND(N(data!E82), 0)</f>
        <v>0</v>
      </c>
      <c r="AC4" s="198">
        <f>ROUND(N(data!E83), 0)</f>
        <v>10289</v>
      </c>
      <c r="AD4" s="198">
        <f>ROUND(N(data!E84), 0)</f>
        <v>-632522</v>
      </c>
      <c r="AE4" s="198">
        <f>ROUND(N(data!E89), 0)</f>
        <v>632241237</v>
      </c>
      <c r="AF4" s="198">
        <f>ROUND(N(data!E87), 0)</f>
        <v>577164992</v>
      </c>
      <c r="AG4" s="198">
        <f>ROUND(N(data!E90), 0)</f>
        <v>331895</v>
      </c>
      <c r="AH4" s="198">
        <f>ROUND(N(data!E91), 0)</f>
        <v>0</v>
      </c>
      <c r="AI4" s="198">
        <f>ROUND(N(data!E92), 0)</f>
        <v>65644</v>
      </c>
      <c r="AJ4" s="198">
        <f>ROUND(N(data!E93), 0)</f>
        <v>1798164</v>
      </c>
      <c r="AK4" s="300">
        <f>ROUND(N(data!E94), 2)</f>
        <v>426.41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014</v>
      </c>
      <c r="B5" s="200" t="str">
        <f>RIGHT(data!$C$96,4)</f>
        <v>2024</v>
      </c>
      <c r="C5" s="12" t="str">
        <f>data!F$55</f>
        <v>6100</v>
      </c>
      <c r="D5" s="12" t="s">
        <v>1154</v>
      </c>
      <c r="E5" s="198">
        <f>ROUND(N(data!F59), 0)</f>
        <v>0</v>
      </c>
      <c r="F5" s="300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00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014</v>
      </c>
      <c r="B6" s="200" t="str">
        <f>RIGHT(data!$C$96,4)</f>
        <v>2024</v>
      </c>
      <c r="C6" s="12" t="str">
        <f>data!G$55</f>
        <v>6120</v>
      </c>
      <c r="D6" s="12" t="s">
        <v>1154</v>
      </c>
      <c r="E6" s="198">
        <f>ROUND(N(data!G59), 0)</f>
        <v>3742</v>
      </c>
      <c r="F6" s="300">
        <f>ROUND(N(data!G60), 2)</f>
        <v>38.57</v>
      </c>
      <c r="G6" s="198">
        <f>ROUND(N(data!G61), 0)</f>
        <v>4352887</v>
      </c>
      <c r="H6" s="198">
        <f>ROUND(N(data!G62), 0)</f>
        <v>1196661</v>
      </c>
      <c r="I6" s="198">
        <f>ROUND(N(data!G63), 0)</f>
        <v>0</v>
      </c>
      <c r="J6" s="198">
        <f>ROUND(N(data!G64), 0)</f>
        <v>175370</v>
      </c>
      <c r="K6" s="198">
        <f>ROUND(N(data!G65), 0)</f>
        <v>0</v>
      </c>
      <c r="L6" s="198">
        <f>ROUND(N(data!G66), 0)</f>
        <v>11940</v>
      </c>
      <c r="M6" s="198">
        <f>ROUND(N(data!G67), 0)</f>
        <v>2099411</v>
      </c>
      <c r="N6" s="198">
        <f>ROUND(N(data!G68), 0)</f>
        <v>0</v>
      </c>
      <c r="O6" s="198">
        <f>ROUND(N(data!G69), 0)</f>
        <v>37228</v>
      </c>
      <c r="P6" s="198">
        <f>ROUND(N(data!G70), 0)</f>
        <v>0</v>
      </c>
      <c r="Q6" s="198">
        <f>ROUND(N(data!G71), 0)</f>
        <v>28804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292</v>
      </c>
      <c r="X6" s="198">
        <f>ROUND(N(data!G78), 0)</f>
        <v>0</v>
      </c>
      <c r="Y6" s="198">
        <f>ROUND(N(data!G79), 0)</f>
        <v>7000</v>
      </c>
      <c r="Z6" s="198">
        <f>ROUND(N(data!G80), 0)</f>
        <v>474</v>
      </c>
      <c r="AA6" s="198">
        <f>ROUND(N(data!G81), 0)</f>
        <v>0</v>
      </c>
      <c r="AB6" s="198">
        <f>ROUND(N(data!G82), 0)</f>
        <v>0</v>
      </c>
      <c r="AC6" s="198">
        <f>ROUND(N(data!G83), 0)</f>
        <v>657</v>
      </c>
      <c r="AD6" s="198">
        <f>ROUND(N(data!G84), 0)</f>
        <v>12373</v>
      </c>
      <c r="AE6" s="198">
        <f>ROUND(N(data!G89), 0)</f>
        <v>35521994</v>
      </c>
      <c r="AF6" s="198">
        <f>ROUND(N(data!G87), 0)</f>
        <v>33534576</v>
      </c>
      <c r="AG6" s="198">
        <f>ROUND(N(data!G90), 0)</f>
        <v>20584</v>
      </c>
      <c r="AH6" s="198">
        <f>ROUND(N(data!G91), 0)</f>
        <v>0</v>
      </c>
      <c r="AI6" s="198">
        <f>ROUND(N(data!G92), 0)</f>
        <v>5426</v>
      </c>
      <c r="AJ6" s="198">
        <f>ROUND(N(data!G93), 0)</f>
        <v>38072</v>
      </c>
      <c r="AK6" s="300">
        <f>ROUND(N(data!G94), 2)</f>
        <v>22.71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014</v>
      </c>
      <c r="B7" s="200" t="str">
        <f>RIGHT(data!$C$96,4)</f>
        <v>2024</v>
      </c>
      <c r="C7" s="12" t="str">
        <f>data!H$55</f>
        <v>6140</v>
      </c>
      <c r="D7" s="12" t="s">
        <v>1154</v>
      </c>
      <c r="E7" s="198">
        <f>ROUND(N(data!H59), 0)</f>
        <v>10122</v>
      </c>
      <c r="F7" s="300">
        <f>ROUND(N(data!H60), 2)</f>
        <v>162.69</v>
      </c>
      <c r="G7" s="198">
        <f>ROUND(N(data!H61), 0)</f>
        <v>14314160</v>
      </c>
      <c r="H7" s="198">
        <f>ROUND(N(data!H62), 0)</f>
        <v>3935134</v>
      </c>
      <c r="I7" s="198">
        <f>ROUND(N(data!H63), 0)</f>
        <v>397815</v>
      </c>
      <c r="J7" s="198">
        <f>ROUND(N(data!H64), 0)</f>
        <v>215762</v>
      </c>
      <c r="K7" s="198">
        <f>ROUND(N(data!H65), 0)</f>
        <v>0</v>
      </c>
      <c r="L7" s="198">
        <f>ROUND(N(data!H66), 0)</f>
        <v>10640</v>
      </c>
      <c r="M7" s="198">
        <f>ROUND(N(data!H67), 0)</f>
        <v>6236933</v>
      </c>
      <c r="N7" s="198">
        <f>ROUND(N(data!H68), 0)</f>
        <v>0</v>
      </c>
      <c r="O7" s="198">
        <f>ROUND(N(data!H69), 0)</f>
        <v>2077231</v>
      </c>
      <c r="P7" s="198">
        <f>ROUND(N(data!H70), 0)</f>
        <v>0</v>
      </c>
      <c r="Q7" s="198">
        <f>ROUND(N(data!H71), 0)</f>
        <v>1814854</v>
      </c>
      <c r="R7" s="198">
        <f>ROUND(N(data!H72), 0)</f>
        <v>2675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1649</v>
      </c>
      <c r="X7" s="198">
        <f>ROUND(N(data!H78), 0)</f>
        <v>0</v>
      </c>
      <c r="Y7" s="198">
        <f>ROUND(N(data!H79), 0)</f>
        <v>119440</v>
      </c>
      <c r="Z7" s="198">
        <f>ROUND(N(data!H80), 0)</f>
        <v>165</v>
      </c>
      <c r="AA7" s="198">
        <f>ROUND(N(data!H81), 0)</f>
        <v>0</v>
      </c>
      <c r="AB7" s="198">
        <f>ROUND(N(data!H82), 0)</f>
        <v>0</v>
      </c>
      <c r="AC7" s="198">
        <f>ROUND(N(data!H83), 0)</f>
        <v>138448</v>
      </c>
      <c r="AD7" s="198">
        <f>ROUND(N(data!H84), 0)</f>
        <v>0</v>
      </c>
      <c r="AE7" s="198">
        <f>ROUND(N(data!H89), 0)</f>
        <v>92394005</v>
      </c>
      <c r="AF7" s="198">
        <f>ROUND(N(data!H87), 0)</f>
        <v>92387324</v>
      </c>
      <c r="AG7" s="198">
        <f>ROUND(N(data!H90), 0)</f>
        <v>61152</v>
      </c>
      <c r="AH7" s="198">
        <f>ROUND(N(data!H91), 0)</f>
        <v>0</v>
      </c>
      <c r="AI7" s="198">
        <f>ROUND(N(data!H92), 0)</f>
        <v>13871</v>
      </c>
      <c r="AJ7" s="198">
        <f>ROUND(N(data!H93), 0)</f>
        <v>230750</v>
      </c>
      <c r="AK7" s="300">
        <f>ROUND(N(data!H94), 2)</f>
        <v>38.729999999999997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014</v>
      </c>
      <c r="B8" s="200" t="str">
        <f>RIGHT(data!$C$96,4)</f>
        <v>2024</v>
      </c>
      <c r="C8" s="12" t="str">
        <f>data!I$55</f>
        <v>6150</v>
      </c>
      <c r="D8" s="12" t="s">
        <v>1154</v>
      </c>
      <c r="E8" s="198">
        <f>ROUND(N(data!I59), 0)</f>
        <v>0</v>
      </c>
      <c r="F8" s="300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00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014</v>
      </c>
      <c r="B9" s="200" t="str">
        <f>RIGHT(data!$C$96,4)</f>
        <v>2024</v>
      </c>
      <c r="C9" s="12" t="str">
        <f>data!J$55</f>
        <v>6170</v>
      </c>
      <c r="D9" s="12" t="s">
        <v>1154</v>
      </c>
      <c r="E9" s="198">
        <f>ROUND(N(data!J59), 0)</f>
        <v>0</v>
      </c>
      <c r="F9" s="300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00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014</v>
      </c>
      <c r="B10" s="200" t="str">
        <f>RIGHT(data!$C$96,4)</f>
        <v>2024</v>
      </c>
      <c r="C10" s="12" t="str">
        <f>data!K$55</f>
        <v>6200</v>
      </c>
      <c r="D10" s="12" t="s">
        <v>1154</v>
      </c>
      <c r="E10" s="198">
        <f>ROUND(N(data!K59), 0)</f>
        <v>0</v>
      </c>
      <c r="F10" s="300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00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014</v>
      </c>
      <c r="B11" s="200" t="str">
        <f>RIGHT(data!$C$96,4)</f>
        <v>2024</v>
      </c>
      <c r="C11" s="12" t="str">
        <f>data!L$55</f>
        <v>6210</v>
      </c>
      <c r="D11" s="12" t="s">
        <v>1154</v>
      </c>
      <c r="E11" s="198">
        <f>ROUND(N(data!L59), 0)</f>
        <v>0</v>
      </c>
      <c r="F11" s="300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00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014</v>
      </c>
      <c r="B12" s="200" t="str">
        <f>RIGHT(data!$C$96,4)</f>
        <v>2024</v>
      </c>
      <c r="C12" s="12" t="str">
        <f>data!M$55</f>
        <v>6330</v>
      </c>
      <c r="D12" s="12" t="s">
        <v>1154</v>
      </c>
      <c r="E12" s="198">
        <f>ROUND(N(data!M59), 0)</f>
        <v>0</v>
      </c>
      <c r="F12" s="300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00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014</v>
      </c>
      <c r="B13" s="200" t="str">
        <f>RIGHT(data!$C$96,4)</f>
        <v>2024</v>
      </c>
      <c r="C13" s="12" t="str">
        <f>data!N$55</f>
        <v>6400</v>
      </c>
      <c r="D13" s="12" t="s">
        <v>1154</v>
      </c>
      <c r="E13" s="198">
        <f>ROUND(N(data!N59), 0)</f>
        <v>0</v>
      </c>
      <c r="F13" s="300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00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014</v>
      </c>
      <c r="B14" s="200" t="str">
        <f>RIGHT(data!$C$96,4)</f>
        <v>2024</v>
      </c>
      <c r="C14" s="12" t="str">
        <f>data!O$55</f>
        <v>7010</v>
      </c>
      <c r="D14" s="12" t="s">
        <v>1154</v>
      </c>
      <c r="E14" s="198">
        <f>ROUND(N(data!O59), 0)</f>
        <v>0</v>
      </c>
      <c r="F14" s="300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00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014</v>
      </c>
      <c r="B15" s="200" t="str">
        <f>RIGHT(data!$C$96,4)</f>
        <v>2024</v>
      </c>
      <c r="C15" s="12" t="str">
        <f>data!P$55</f>
        <v>7020</v>
      </c>
      <c r="D15" s="12" t="s">
        <v>1154</v>
      </c>
      <c r="E15" s="198">
        <f>ROUND(N(data!P59), 0)</f>
        <v>1979616</v>
      </c>
      <c r="F15" s="300">
        <f>ROUND(N(data!P60), 2)</f>
        <v>236.25</v>
      </c>
      <c r="G15" s="198">
        <f>ROUND(N(data!P61), 0)</f>
        <v>27526631</v>
      </c>
      <c r="H15" s="198">
        <f>ROUND(N(data!P62), 0)</f>
        <v>7567401</v>
      </c>
      <c r="I15" s="198">
        <f>ROUND(N(data!P63), 0)</f>
        <v>158738</v>
      </c>
      <c r="J15" s="198">
        <f>ROUND(N(data!P64), 0)</f>
        <v>37284310</v>
      </c>
      <c r="K15" s="198">
        <f>ROUND(N(data!P65), 0)</f>
        <v>0</v>
      </c>
      <c r="L15" s="198">
        <f>ROUND(N(data!P66), 0)</f>
        <v>1423241</v>
      </c>
      <c r="M15" s="198">
        <f>ROUND(N(data!P67), 0)</f>
        <v>18385177</v>
      </c>
      <c r="N15" s="198">
        <f>ROUND(N(data!P68), 0)</f>
        <v>422358</v>
      </c>
      <c r="O15" s="198">
        <f>ROUND(N(data!P69), 0)</f>
        <v>3575914</v>
      </c>
      <c r="P15" s="198">
        <f>ROUND(N(data!P70), 0)</f>
        <v>0</v>
      </c>
      <c r="Q15" s="198">
        <f>ROUND(N(data!P71), 0)</f>
        <v>1886199</v>
      </c>
      <c r="R15" s="198">
        <f>ROUND(N(data!P72), 0)</f>
        <v>15590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1463142</v>
      </c>
      <c r="X15" s="198">
        <f>ROUND(N(data!P78), 0)</f>
        <v>0</v>
      </c>
      <c r="Y15" s="198">
        <f>ROUND(N(data!P79), 0)</f>
        <v>65391</v>
      </c>
      <c r="Z15" s="198">
        <f>ROUND(N(data!P80), 0)</f>
        <v>95936</v>
      </c>
      <c r="AA15" s="198">
        <f>ROUND(N(data!P81), 0)</f>
        <v>0</v>
      </c>
      <c r="AB15" s="198">
        <f>ROUND(N(data!P82), 0)</f>
        <v>0</v>
      </c>
      <c r="AC15" s="198">
        <f>ROUND(N(data!P83), 0)</f>
        <v>49656</v>
      </c>
      <c r="AD15" s="198">
        <f>ROUND(N(data!P84), 0)</f>
        <v>0</v>
      </c>
      <c r="AE15" s="198">
        <f>ROUND(N(data!P89), 0)</f>
        <v>560907130</v>
      </c>
      <c r="AF15" s="198">
        <f>ROUND(N(data!P87), 0)</f>
        <v>295785880</v>
      </c>
      <c r="AG15" s="198">
        <f>ROUND(N(data!P90), 0)</f>
        <v>180265</v>
      </c>
      <c r="AH15" s="198">
        <f>ROUND(N(data!P91), 0)</f>
        <v>0</v>
      </c>
      <c r="AI15" s="198">
        <f>ROUND(N(data!P92), 0)</f>
        <v>30428</v>
      </c>
      <c r="AJ15" s="198">
        <f>ROUND(N(data!P93), 0)</f>
        <v>0</v>
      </c>
      <c r="AK15" s="300">
        <f>ROUND(N(data!P94), 2)</f>
        <v>68.989999999999995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014</v>
      </c>
      <c r="B16" s="200" t="str">
        <f>RIGHT(data!$C$96,4)</f>
        <v>2024</v>
      </c>
      <c r="C16" s="12" t="str">
        <f>data!Q$55</f>
        <v>7030</v>
      </c>
      <c r="D16" s="12" t="s">
        <v>1154</v>
      </c>
      <c r="E16" s="198">
        <f>ROUND(N(data!Q59), 0)</f>
        <v>1306940</v>
      </c>
      <c r="F16" s="300">
        <f>ROUND(N(data!Q60), 2)</f>
        <v>91.49</v>
      </c>
      <c r="G16" s="198">
        <f>ROUND(N(data!Q61), 0)</f>
        <v>12550366</v>
      </c>
      <c r="H16" s="198">
        <f>ROUND(N(data!Q62), 0)</f>
        <v>3450246</v>
      </c>
      <c r="I16" s="198">
        <f>ROUND(N(data!Q63), 0)</f>
        <v>0</v>
      </c>
      <c r="J16" s="198">
        <f>ROUND(N(data!Q64), 0)</f>
        <v>414244</v>
      </c>
      <c r="K16" s="198">
        <f>ROUND(N(data!Q65), 0)</f>
        <v>0</v>
      </c>
      <c r="L16" s="198">
        <f>ROUND(N(data!Q66), 0)</f>
        <v>1497</v>
      </c>
      <c r="M16" s="198">
        <f>ROUND(N(data!Q67), 0)</f>
        <v>2438853</v>
      </c>
      <c r="N16" s="198">
        <f>ROUND(N(data!Q68), 0)</f>
        <v>0</v>
      </c>
      <c r="O16" s="198">
        <f>ROUND(N(data!Q69), 0)</f>
        <v>53280</v>
      </c>
      <c r="P16" s="198">
        <f>ROUND(N(data!Q70), 0)</f>
        <v>0</v>
      </c>
      <c r="Q16" s="198">
        <f>ROUND(N(data!Q71), 0)</f>
        <v>24112</v>
      </c>
      <c r="R16" s="198">
        <f>ROUND(N(data!Q72), 0)</f>
        <v>405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422</v>
      </c>
      <c r="X16" s="198">
        <f>ROUND(N(data!Q78), 0)</f>
        <v>0</v>
      </c>
      <c r="Y16" s="198">
        <f>ROUND(N(data!Q79), 0)</f>
        <v>26138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2204</v>
      </c>
      <c r="AD16" s="198">
        <f>ROUND(N(data!Q84), 0)</f>
        <v>0</v>
      </c>
      <c r="AE16" s="198">
        <f>ROUND(N(data!Q89), 0)</f>
        <v>51724643</v>
      </c>
      <c r="AF16" s="198">
        <f>ROUND(N(data!Q87), 0)</f>
        <v>12979047</v>
      </c>
      <c r="AG16" s="198">
        <f>ROUND(N(data!Q90), 0)</f>
        <v>23913</v>
      </c>
      <c r="AH16" s="198">
        <f>ROUND(N(data!Q91), 0)</f>
        <v>0</v>
      </c>
      <c r="AI16" s="198">
        <f>ROUND(N(data!Q92), 0)</f>
        <v>3459</v>
      </c>
      <c r="AJ16" s="198">
        <f>ROUND(N(data!Q93), 0)</f>
        <v>0</v>
      </c>
      <c r="AK16" s="300">
        <f>ROUND(N(data!Q94), 2)</f>
        <v>49.32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014</v>
      </c>
      <c r="B17" s="200" t="str">
        <f>RIGHT(data!$C$96,4)</f>
        <v>2024</v>
      </c>
      <c r="C17" s="12" t="str">
        <f>data!R$55</f>
        <v>7040</v>
      </c>
      <c r="D17" s="12" t="s">
        <v>1154</v>
      </c>
      <c r="E17" s="198">
        <f>ROUND(N(data!R59), 0)</f>
        <v>2524450</v>
      </c>
      <c r="F17" s="300">
        <f>ROUND(N(data!R60), 2)</f>
        <v>45.13</v>
      </c>
      <c r="G17" s="198">
        <f>ROUND(N(data!R61), 0)</f>
        <v>4808311</v>
      </c>
      <c r="H17" s="198">
        <f>ROUND(N(data!R62), 0)</f>
        <v>1321862</v>
      </c>
      <c r="I17" s="198">
        <f>ROUND(N(data!R63), 0)</f>
        <v>1278694</v>
      </c>
      <c r="J17" s="198">
        <f>ROUND(N(data!R64), 0)</f>
        <v>2405616</v>
      </c>
      <c r="K17" s="198">
        <f>ROUND(N(data!R65), 0)</f>
        <v>0</v>
      </c>
      <c r="L17" s="198">
        <f>ROUND(N(data!R66), 0)</f>
        <v>3773</v>
      </c>
      <c r="M17" s="198">
        <f>ROUND(N(data!R67), 0)</f>
        <v>1426942</v>
      </c>
      <c r="N17" s="198">
        <f>ROUND(N(data!R68), 0)</f>
        <v>0</v>
      </c>
      <c r="O17" s="198">
        <f>ROUND(N(data!R69), 0)</f>
        <v>249512</v>
      </c>
      <c r="P17" s="198">
        <f>ROUND(N(data!R70), 0)</f>
        <v>0</v>
      </c>
      <c r="Q17" s="198">
        <f>ROUND(N(data!R71), 0)</f>
        <v>172009</v>
      </c>
      <c r="R17" s="198">
        <f>ROUND(N(data!R72), 0)</f>
        <v>810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28621</v>
      </c>
      <c r="X17" s="198">
        <f>ROUND(N(data!R78), 0)</f>
        <v>0</v>
      </c>
      <c r="Y17" s="198">
        <f>ROUND(N(data!R79), 0)</f>
        <v>25393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22679</v>
      </c>
      <c r="AD17" s="198">
        <f>ROUND(N(data!R84), 0)</f>
        <v>0</v>
      </c>
      <c r="AE17" s="198">
        <f>ROUND(N(data!R89), 0)</f>
        <v>143418979</v>
      </c>
      <c r="AF17" s="198">
        <f>ROUND(N(data!R87), 0)</f>
        <v>66689266</v>
      </c>
      <c r="AG17" s="198">
        <f>ROUND(N(data!R90), 0)</f>
        <v>13991</v>
      </c>
      <c r="AH17" s="198">
        <f>ROUND(N(data!R91), 0)</f>
        <v>0</v>
      </c>
      <c r="AI17" s="198">
        <f>ROUND(N(data!R92), 0)</f>
        <v>2227</v>
      </c>
      <c r="AJ17" s="198">
        <f>ROUND(N(data!R93), 0)</f>
        <v>0</v>
      </c>
      <c r="AK17" s="300">
        <f>ROUND(N(data!R94), 2)</f>
        <v>0.24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014</v>
      </c>
      <c r="B18" s="200" t="str">
        <f>RIGHT(data!$C$96,4)</f>
        <v>2024</v>
      </c>
      <c r="C18" s="12" t="str">
        <f>data!S$55</f>
        <v>7050</v>
      </c>
      <c r="D18" s="12" t="s">
        <v>1154</v>
      </c>
      <c r="E18" s="198">
        <f>ROUND(N(data!S59), 0)</f>
        <v>0</v>
      </c>
      <c r="F18" s="300">
        <f>ROUND(N(data!S60), 2)</f>
        <v>125.09</v>
      </c>
      <c r="G18" s="198">
        <f>ROUND(N(data!S61), 0)</f>
        <v>9473547</v>
      </c>
      <c r="H18" s="198">
        <f>ROUND(N(data!S62), 0)</f>
        <v>2604392</v>
      </c>
      <c r="I18" s="198">
        <f>ROUND(N(data!S63), 0)</f>
        <v>0</v>
      </c>
      <c r="J18" s="198">
        <f>ROUND(N(data!S64), 0)</f>
        <v>1376291</v>
      </c>
      <c r="K18" s="198">
        <f>ROUND(N(data!S65), 0)</f>
        <v>0</v>
      </c>
      <c r="L18" s="198">
        <f>ROUND(N(data!S66), 0)</f>
        <v>3283030</v>
      </c>
      <c r="M18" s="198">
        <f>ROUND(N(data!S67), 0)</f>
        <v>6644895</v>
      </c>
      <c r="N18" s="198">
        <f>ROUND(N(data!S68), 0)</f>
        <v>587598</v>
      </c>
      <c r="O18" s="198">
        <f>ROUND(N(data!S69), 0)</f>
        <v>1371491</v>
      </c>
      <c r="P18" s="198">
        <f>ROUND(N(data!S70), 0)</f>
        <v>0</v>
      </c>
      <c r="Q18" s="198">
        <f>ROUND(N(data!S71), 0)</f>
        <v>798107</v>
      </c>
      <c r="R18" s="198">
        <f>ROUND(N(data!S72), 0)</f>
        <v>144204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399796</v>
      </c>
      <c r="X18" s="198">
        <f>ROUND(N(data!S78), 0)</f>
        <v>0</v>
      </c>
      <c r="Y18" s="198">
        <f>ROUND(N(data!S79), 0)</f>
        <v>19891</v>
      </c>
      <c r="Z18" s="198">
        <f>ROUND(N(data!S80), 0)</f>
        <v>4865</v>
      </c>
      <c r="AA18" s="198">
        <f>ROUND(N(data!S81), 0)</f>
        <v>0</v>
      </c>
      <c r="AB18" s="198">
        <f>ROUND(N(data!S82), 0)</f>
        <v>0</v>
      </c>
      <c r="AC18" s="198">
        <f>ROUND(N(data!S83), 0)</f>
        <v>4628</v>
      </c>
      <c r="AD18" s="198">
        <f>ROUND(N(data!S84), 0)</f>
        <v>100</v>
      </c>
      <c r="AE18" s="198">
        <f>ROUND(N(data!S89), 0)</f>
        <v>25510632</v>
      </c>
      <c r="AF18" s="198">
        <f>ROUND(N(data!S87), 0)</f>
        <v>11752502</v>
      </c>
      <c r="AG18" s="198">
        <f>ROUND(N(data!S90), 0)</f>
        <v>65152</v>
      </c>
      <c r="AH18" s="198">
        <f>ROUND(N(data!S91), 0)</f>
        <v>0</v>
      </c>
      <c r="AI18" s="198">
        <f>ROUND(N(data!S92), 0)</f>
        <v>8109</v>
      </c>
      <c r="AJ18" s="198">
        <f>ROUND(N(data!S93), 0)</f>
        <v>29114</v>
      </c>
      <c r="AK18" s="300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014</v>
      </c>
      <c r="B19" s="200" t="str">
        <f>RIGHT(data!$C$96,4)</f>
        <v>2024</v>
      </c>
      <c r="C19" s="12" t="str">
        <f>data!T$55</f>
        <v>7060</v>
      </c>
      <c r="D19" s="12" t="s">
        <v>1154</v>
      </c>
      <c r="E19" s="198">
        <f>ROUND(N(data!T59), 0)</f>
        <v>0</v>
      </c>
      <c r="F19" s="300">
        <f>ROUND(N(data!T60), 2)</f>
        <v>12.73</v>
      </c>
      <c r="G19" s="198">
        <f>ROUND(N(data!T61), 0)</f>
        <v>1885376</v>
      </c>
      <c r="H19" s="198">
        <f>ROUND(N(data!T62), 0)</f>
        <v>518313</v>
      </c>
      <c r="I19" s="198">
        <f>ROUND(N(data!T63), 0)</f>
        <v>81208</v>
      </c>
      <c r="J19" s="198">
        <f>ROUND(N(data!T64), 0)</f>
        <v>208970</v>
      </c>
      <c r="K19" s="198">
        <f>ROUND(N(data!T65), 0)</f>
        <v>0</v>
      </c>
      <c r="L19" s="198">
        <f>ROUND(N(data!T66), 0)</f>
        <v>0</v>
      </c>
      <c r="M19" s="198">
        <f>ROUND(N(data!T67), 0)</f>
        <v>76013</v>
      </c>
      <c r="N19" s="198">
        <f>ROUND(N(data!T68), 0)</f>
        <v>0</v>
      </c>
      <c r="O19" s="198">
        <f>ROUND(N(data!T69), 0)</f>
        <v>3734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2528</v>
      </c>
      <c r="X19" s="198">
        <f>ROUND(N(data!T78), 0)</f>
        <v>0</v>
      </c>
      <c r="Y19" s="198">
        <f>ROUND(N(data!T79), 0)</f>
        <v>0</v>
      </c>
      <c r="Z19" s="198">
        <f>ROUND(N(data!T80), 0)</f>
        <v>-350</v>
      </c>
      <c r="AA19" s="198">
        <f>ROUND(N(data!T81), 0)</f>
        <v>0</v>
      </c>
      <c r="AB19" s="198">
        <f>ROUND(N(data!T82), 0)</f>
        <v>0</v>
      </c>
      <c r="AC19" s="198">
        <f>ROUND(N(data!T83), 0)</f>
        <v>1556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745</v>
      </c>
      <c r="AH19" s="198">
        <f>ROUND(N(data!T91), 0)</f>
        <v>0</v>
      </c>
      <c r="AI19" s="198">
        <f>ROUND(N(data!T92), 0)</f>
        <v>110</v>
      </c>
      <c r="AJ19" s="198">
        <f>ROUND(N(data!T93), 0)</f>
        <v>0</v>
      </c>
      <c r="AK19" s="300">
        <f>ROUND(N(data!T94), 2)</f>
        <v>10.039999999999999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014</v>
      </c>
      <c r="B20" s="200" t="str">
        <f>RIGHT(data!$C$96,4)</f>
        <v>2024</v>
      </c>
      <c r="C20" s="12" t="str">
        <f>data!U$55</f>
        <v>7070</v>
      </c>
      <c r="D20" s="12" t="s">
        <v>1154</v>
      </c>
      <c r="E20" s="198">
        <f>ROUND(N(data!U59), 0)</f>
        <v>1455386</v>
      </c>
      <c r="F20" s="300">
        <f>ROUND(N(data!U60), 2)</f>
        <v>236.66</v>
      </c>
      <c r="G20" s="198">
        <f>ROUND(N(data!U61), 0)</f>
        <v>27762318</v>
      </c>
      <c r="H20" s="198">
        <f>ROUND(N(data!U62), 0)</f>
        <v>7632194</v>
      </c>
      <c r="I20" s="198">
        <f>ROUND(N(data!U63), 0)</f>
        <v>244435</v>
      </c>
      <c r="J20" s="198">
        <f>ROUND(N(data!U64), 0)</f>
        <v>11699283</v>
      </c>
      <c r="K20" s="198">
        <f>ROUND(N(data!U65), 0)</f>
        <v>0</v>
      </c>
      <c r="L20" s="198">
        <f>ROUND(N(data!U66), 0)</f>
        <v>705746</v>
      </c>
      <c r="M20" s="198">
        <f>ROUND(N(data!U67), 0)</f>
        <v>8165688</v>
      </c>
      <c r="N20" s="198">
        <f>ROUND(N(data!U68), 0)</f>
        <v>0</v>
      </c>
      <c r="O20" s="198">
        <f>ROUND(N(data!U69), 0)</f>
        <v>21084811</v>
      </c>
      <c r="P20" s="198">
        <f>ROUND(N(data!U70), 0)</f>
        <v>3980322</v>
      </c>
      <c r="Q20" s="198">
        <f>ROUND(N(data!U71), 0)</f>
        <v>7042</v>
      </c>
      <c r="R20" s="198">
        <f>ROUND(N(data!U72), 0)</f>
        <v>146783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14926252</v>
      </c>
      <c r="W20" s="198">
        <f>ROUND(N(data!U77), 0)</f>
        <v>1630622</v>
      </c>
      <c r="X20" s="198">
        <f>ROUND(N(data!U78), 0)</f>
        <v>0</v>
      </c>
      <c r="Y20" s="198">
        <f>ROUND(N(data!U79), 0)</f>
        <v>25831</v>
      </c>
      <c r="Z20" s="198">
        <f>ROUND(N(data!U80), 0)</f>
        <v>3098</v>
      </c>
      <c r="AA20" s="198">
        <f>ROUND(N(data!U81), 0)</f>
        <v>110871</v>
      </c>
      <c r="AB20" s="198">
        <f>ROUND(N(data!U82), 0)</f>
        <v>0</v>
      </c>
      <c r="AC20" s="198">
        <f>ROUND(N(data!U83), 0)</f>
        <v>253989</v>
      </c>
      <c r="AD20" s="198">
        <f>ROUND(N(data!U84), 0)</f>
        <v>3921953</v>
      </c>
      <c r="AE20" s="198">
        <f>ROUND(N(data!U89), 0)</f>
        <v>292607232</v>
      </c>
      <c r="AF20" s="198">
        <f>ROUND(N(data!U87), 0)</f>
        <v>145155506</v>
      </c>
      <c r="AG20" s="198">
        <f>ROUND(N(data!U90), 0)</f>
        <v>80064</v>
      </c>
      <c r="AH20" s="198">
        <f>ROUND(N(data!U91), 0)</f>
        <v>0</v>
      </c>
      <c r="AI20" s="198">
        <f>ROUND(N(data!U92), 0)</f>
        <v>12415</v>
      </c>
      <c r="AJ20" s="198">
        <f>ROUND(N(data!U93), 0)</f>
        <v>0</v>
      </c>
      <c r="AK20" s="300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014</v>
      </c>
      <c r="B21" s="200" t="str">
        <f>RIGHT(data!$C$96,4)</f>
        <v>2024</v>
      </c>
      <c r="C21" s="12" t="str">
        <f>data!V$55</f>
        <v>7110</v>
      </c>
      <c r="D21" s="12" t="s">
        <v>1154</v>
      </c>
      <c r="E21" s="198">
        <f>ROUND(N(data!V59), 0)</f>
        <v>46667</v>
      </c>
      <c r="F21" s="300">
        <f>ROUND(N(data!V60), 2)</f>
        <v>64.95</v>
      </c>
      <c r="G21" s="198">
        <f>ROUND(N(data!V61), 0)</f>
        <v>7711414</v>
      </c>
      <c r="H21" s="198">
        <f>ROUND(N(data!V62), 0)</f>
        <v>2119960</v>
      </c>
      <c r="I21" s="198">
        <f>ROUND(N(data!V63), 0)</f>
        <v>0</v>
      </c>
      <c r="J21" s="198">
        <f>ROUND(N(data!V64), 0)</f>
        <v>621307</v>
      </c>
      <c r="K21" s="198">
        <f>ROUND(N(data!V65), 0)</f>
        <v>0</v>
      </c>
      <c r="L21" s="198">
        <f>ROUND(N(data!V66), 0)</f>
        <v>286641</v>
      </c>
      <c r="M21" s="198">
        <f>ROUND(N(data!V67), 0)</f>
        <v>1634213</v>
      </c>
      <c r="N21" s="198">
        <f>ROUND(N(data!V68), 0)</f>
        <v>451757</v>
      </c>
      <c r="O21" s="198">
        <f>ROUND(N(data!V69), 0)</f>
        <v>407977</v>
      </c>
      <c r="P21" s="198">
        <f>ROUND(N(data!V70), 0)</f>
        <v>0</v>
      </c>
      <c r="Q21" s="198">
        <f>ROUND(N(data!V71), 0)</f>
        <v>0</v>
      </c>
      <c r="R21" s="198">
        <f>ROUND(N(data!V72), 0)</f>
        <v>843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345685</v>
      </c>
      <c r="X21" s="198">
        <f>ROUND(N(data!V78), 0)</f>
        <v>0</v>
      </c>
      <c r="Y21" s="198">
        <f>ROUND(N(data!V79), 0)</f>
        <v>9926</v>
      </c>
      <c r="Z21" s="198">
        <f>ROUND(N(data!V80), 0)</f>
        <v>1076</v>
      </c>
      <c r="AA21" s="198">
        <f>ROUND(N(data!V81), 0)</f>
        <v>0</v>
      </c>
      <c r="AB21" s="198">
        <f>ROUND(N(data!V82), 0)</f>
        <v>6</v>
      </c>
      <c r="AC21" s="198">
        <f>ROUND(N(data!V83), 0)</f>
        <v>50440</v>
      </c>
      <c r="AD21" s="198">
        <f>ROUND(N(data!V84), 0)</f>
        <v>0</v>
      </c>
      <c r="AE21" s="198">
        <f>ROUND(N(data!V89), 0)</f>
        <v>134646307</v>
      </c>
      <c r="AF21" s="198">
        <f>ROUND(N(data!V87), 0)</f>
        <v>63993100</v>
      </c>
      <c r="AG21" s="198">
        <f>ROUND(N(data!V90), 0)</f>
        <v>16023</v>
      </c>
      <c r="AH21" s="198">
        <f>ROUND(N(data!V91), 0)</f>
        <v>0</v>
      </c>
      <c r="AI21" s="198">
        <f>ROUND(N(data!V92), 0)</f>
        <v>5541</v>
      </c>
      <c r="AJ21" s="198">
        <f>ROUND(N(data!V93), 0)</f>
        <v>49457</v>
      </c>
      <c r="AK21" s="300">
        <f>ROUND(N(data!V94), 2)</f>
        <v>1.06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014</v>
      </c>
      <c r="B22" s="200" t="str">
        <f>RIGHT(data!$C$96,4)</f>
        <v>2024</v>
      </c>
      <c r="C22" s="12" t="str">
        <f>data!W$55</f>
        <v>7120</v>
      </c>
      <c r="D22" s="12" t="s">
        <v>1154</v>
      </c>
      <c r="E22" s="198">
        <f>ROUND(N(data!W59), 0)</f>
        <v>17044</v>
      </c>
      <c r="F22" s="300">
        <f>ROUND(N(data!W60), 2)</f>
        <v>14.45</v>
      </c>
      <c r="G22" s="198">
        <f>ROUND(N(data!W61), 0)</f>
        <v>1972956</v>
      </c>
      <c r="H22" s="198">
        <f>ROUND(N(data!W62), 0)</f>
        <v>542389</v>
      </c>
      <c r="I22" s="198">
        <f>ROUND(N(data!W63), 0)</f>
        <v>0</v>
      </c>
      <c r="J22" s="198">
        <f>ROUND(N(data!W64), 0)</f>
        <v>66521</v>
      </c>
      <c r="K22" s="198">
        <f>ROUND(N(data!W65), 0)</f>
        <v>0</v>
      </c>
      <c r="L22" s="198">
        <f>ROUND(N(data!W66), 0)</f>
        <v>4201</v>
      </c>
      <c r="M22" s="198">
        <f>ROUND(N(data!W67), 0)</f>
        <v>1918212</v>
      </c>
      <c r="N22" s="198">
        <f>ROUND(N(data!W68), 0)</f>
        <v>0</v>
      </c>
      <c r="O22" s="198">
        <f>ROUND(N(data!W69), 0)</f>
        <v>754203</v>
      </c>
      <c r="P22" s="198">
        <f>ROUND(N(data!W70), 0)</f>
        <v>0</v>
      </c>
      <c r="Q22" s="198">
        <f>ROUND(N(data!W71), 0)</f>
        <v>29911</v>
      </c>
      <c r="R22" s="198">
        <f>ROUND(N(data!W72), 0)</f>
        <v>463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720029</v>
      </c>
      <c r="X22" s="198">
        <f>ROUND(N(data!W78), 0)</f>
        <v>0</v>
      </c>
      <c r="Y22" s="198">
        <f>ROUND(N(data!W79), 0)</f>
        <v>0</v>
      </c>
      <c r="Z22" s="198">
        <f>ROUND(N(data!W80), 0)</f>
        <v>200</v>
      </c>
      <c r="AA22" s="198">
        <f>ROUND(N(data!W81), 0)</f>
        <v>0</v>
      </c>
      <c r="AB22" s="198">
        <f>ROUND(N(data!W82), 0)</f>
        <v>0</v>
      </c>
      <c r="AC22" s="198">
        <f>ROUND(N(data!W83), 0)</f>
        <v>3600</v>
      </c>
      <c r="AD22" s="198">
        <f>ROUND(N(data!W84), 0)</f>
        <v>0</v>
      </c>
      <c r="AE22" s="198">
        <f>ROUND(N(data!W89), 0)</f>
        <v>67151745</v>
      </c>
      <c r="AF22" s="198">
        <f>ROUND(N(data!W87), 0)</f>
        <v>14514846</v>
      </c>
      <c r="AG22" s="198">
        <f>ROUND(N(data!W90), 0)</f>
        <v>18808</v>
      </c>
      <c r="AH22" s="198">
        <f>ROUND(N(data!W91), 0)</f>
        <v>0</v>
      </c>
      <c r="AI22" s="198">
        <f>ROUND(N(data!W92), 0)</f>
        <v>2806</v>
      </c>
      <c r="AJ22" s="198">
        <f>ROUND(N(data!W93), 0)</f>
        <v>0</v>
      </c>
      <c r="AK22" s="300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014</v>
      </c>
      <c r="B23" s="200" t="str">
        <f>RIGHT(data!$C$96,4)</f>
        <v>2024</v>
      </c>
      <c r="C23" s="12" t="str">
        <f>data!X$55</f>
        <v>7130</v>
      </c>
      <c r="D23" s="12" t="s">
        <v>1154</v>
      </c>
      <c r="E23" s="198">
        <f>ROUND(N(data!X59), 0)</f>
        <v>10491</v>
      </c>
      <c r="F23" s="300">
        <f>ROUND(N(data!X60), 2)</f>
        <v>13.48</v>
      </c>
      <c r="G23" s="198">
        <f>ROUND(N(data!X61), 0)</f>
        <v>1791837</v>
      </c>
      <c r="H23" s="198">
        <f>ROUND(N(data!X62), 0)</f>
        <v>492597</v>
      </c>
      <c r="I23" s="198">
        <f>ROUND(N(data!X63), 0)</f>
        <v>0</v>
      </c>
      <c r="J23" s="198">
        <f>ROUND(N(data!X64), 0)</f>
        <v>99578</v>
      </c>
      <c r="K23" s="198">
        <f>ROUND(N(data!X65), 0)</f>
        <v>0</v>
      </c>
      <c r="L23" s="198">
        <f>ROUND(N(data!X66), 0)</f>
        <v>3293</v>
      </c>
      <c r="M23" s="198">
        <f>ROUND(N(data!X67), 0)</f>
        <v>526534</v>
      </c>
      <c r="N23" s="198">
        <f>ROUND(N(data!X68), 0)</f>
        <v>0</v>
      </c>
      <c r="O23" s="198">
        <f>ROUND(N(data!X69), 0)</f>
        <v>617457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608289</v>
      </c>
      <c r="X23" s="198">
        <f>ROUND(N(data!X78), 0)</f>
        <v>0</v>
      </c>
      <c r="Y23" s="198">
        <f>ROUND(N(data!X79), 0)</f>
        <v>0</v>
      </c>
      <c r="Z23" s="198">
        <f>ROUND(N(data!X80), 0)</f>
        <v>575</v>
      </c>
      <c r="AA23" s="198">
        <f>ROUND(N(data!X81), 0)</f>
        <v>0</v>
      </c>
      <c r="AB23" s="198">
        <f>ROUND(N(data!X82), 0)</f>
        <v>0</v>
      </c>
      <c r="AC23" s="198">
        <f>ROUND(N(data!X83), 0)</f>
        <v>8593</v>
      </c>
      <c r="AD23" s="198">
        <f>ROUND(N(data!X84), 0)</f>
        <v>0</v>
      </c>
      <c r="AE23" s="198">
        <f>ROUND(N(data!X89), 0)</f>
        <v>38828669</v>
      </c>
      <c r="AF23" s="198">
        <f>ROUND(N(data!X87), 0)</f>
        <v>13978903</v>
      </c>
      <c r="AG23" s="198">
        <f>ROUND(N(data!X90), 0)</f>
        <v>5163</v>
      </c>
      <c r="AH23" s="198">
        <f>ROUND(N(data!X91), 0)</f>
        <v>0</v>
      </c>
      <c r="AI23" s="198">
        <f>ROUND(N(data!X92), 0)</f>
        <v>454</v>
      </c>
      <c r="AJ23" s="198">
        <f>ROUND(N(data!X93), 0)</f>
        <v>0</v>
      </c>
      <c r="AK23" s="300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014</v>
      </c>
      <c r="B24" s="200" t="str">
        <f>RIGHT(data!$C$96,4)</f>
        <v>2024</v>
      </c>
      <c r="C24" s="12" t="str">
        <f>data!Y$55</f>
        <v>7140</v>
      </c>
      <c r="D24" s="12" t="s">
        <v>1154</v>
      </c>
      <c r="E24" s="198">
        <f>ROUND(N(data!Y59), 0)</f>
        <v>297233</v>
      </c>
      <c r="F24" s="300">
        <f>ROUND(N(data!Y60), 2)</f>
        <v>126.16</v>
      </c>
      <c r="G24" s="198">
        <f>ROUND(N(data!Y61), 0)</f>
        <v>15048647</v>
      </c>
      <c r="H24" s="198">
        <f>ROUND(N(data!Y62), 0)</f>
        <v>4137053</v>
      </c>
      <c r="I24" s="198">
        <f>ROUND(N(data!Y63), 0)</f>
        <v>1198394</v>
      </c>
      <c r="J24" s="198">
        <f>ROUND(N(data!Y64), 0)</f>
        <v>5593995</v>
      </c>
      <c r="K24" s="198">
        <f>ROUND(N(data!Y65), 0)</f>
        <v>0</v>
      </c>
      <c r="L24" s="198">
        <f>ROUND(N(data!Y66), 0)</f>
        <v>506140</v>
      </c>
      <c r="M24" s="198">
        <f>ROUND(N(data!Y67), 0)</f>
        <v>7004728</v>
      </c>
      <c r="N24" s="198">
        <f>ROUND(N(data!Y68), 0)</f>
        <v>0</v>
      </c>
      <c r="O24" s="198">
        <f>ROUND(N(data!Y69), 0)</f>
        <v>3436211</v>
      </c>
      <c r="P24" s="198">
        <f>ROUND(N(data!Y70), 0)</f>
        <v>0</v>
      </c>
      <c r="Q24" s="198">
        <f>ROUND(N(data!Y71), 0)</f>
        <v>1126315</v>
      </c>
      <c r="R24" s="198">
        <f>ROUND(N(data!Y72), 0)</f>
        <v>341619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1727504</v>
      </c>
      <c r="X24" s="198">
        <f>ROUND(N(data!Y78), 0)</f>
        <v>0</v>
      </c>
      <c r="Y24" s="198">
        <f>ROUND(N(data!Y79), 0)</f>
        <v>26320</v>
      </c>
      <c r="Z24" s="198">
        <f>ROUND(N(data!Y80), 0)</f>
        <v>1721</v>
      </c>
      <c r="AA24" s="198">
        <f>ROUND(N(data!Y81), 0)</f>
        <v>17</v>
      </c>
      <c r="AB24" s="198">
        <f>ROUND(N(data!Y82), 0)</f>
        <v>0</v>
      </c>
      <c r="AC24" s="198">
        <f>ROUND(N(data!Y83), 0)</f>
        <v>212715</v>
      </c>
      <c r="AD24" s="198">
        <f>ROUND(N(data!Y84), 0)</f>
        <v>149358</v>
      </c>
      <c r="AE24" s="198">
        <f>ROUND(N(data!Y89), 0)</f>
        <v>213041154</v>
      </c>
      <c r="AF24" s="198">
        <f>ROUND(N(data!Y87), 0)</f>
        <v>68916216</v>
      </c>
      <c r="AG24" s="198">
        <f>ROUND(N(data!Y90), 0)</f>
        <v>68681</v>
      </c>
      <c r="AH24" s="198">
        <f>ROUND(N(data!Y91), 0)</f>
        <v>0</v>
      </c>
      <c r="AI24" s="198">
        <f>ROUND(N(data!Y92), 0)</f>
        <v>7296</v>
      </c>
      <c r="AJ24" s="198">
        <f>ROUND(N(data!Y93), 0)</f>
        <v>278191</v>
      </c>
      <c r="AK24" s="300">
        <f>ROUND(N(data!Y94), 2)</f>
        <v>19.5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014</v>
      </c>
      <c r="B25" s="200" t="str">
        <f>RIGHT(data!$C$96,4)</f>
        <v>2024</v>
      </c>
      <c r="C25" s="12" t="str">
        <f>data!Z$55</f>
        <v>7150</v>
      </c>
      <c r="D25" s="12" t="s">
        <v>1154</v>
      </c>
      <c r="E25" s="198">
        <f>ROUND(N(data!Z59), 0)</f>
        <v>1101</v>
      </c>
      <c r="F25" s="300">
        <f>ROUND(N(data!Z60), 2)</f>
        <v>9.6199999999999992</v>
      </c>
      <c r="G25" s="198">
        <f>ROUND(N(data!Z61), 0)</f>
        <v>1245760</v>
      </c>
      <c r="H25" s="198">
        <f>ROUND(N(data!Z62), 0)</f>
        <v>342474</v>
      </c>
      <c r="I25" s="198">
        <f>ROUND(N(data!Z63), 0)</f>
        <v>51638</v>
      </c>
      <c r="J25" s="198">
        <f>ROUND(N(data!Z64), 0)</f>
        <v>82335</v>
      </c>
      <c r="K25" s="198">
        <f>ROUND(N(data!Z65), 0)</f>
        <v>0</v>
      </c>
      <c r="L25" s="198">
        <f>ROUND(N(data!Z66), 0)</f>
        <v>835116</v>
      </c>
      <c r="M25" s="198">
        <f>ROUND(N(data!Z67), 0)</f>
        <v>385937</v>
      </c>
      <c r="N25" s="198">
        <f>ROUND(N(data!Z68), 0)</f>
        <v>0</v>
      </c>
      <c r="O25" s="198">
        <f>ROUND(N(data!Z69), 0)</f>
        <v>19616</v>
      </c>
      <c r="P25" s="198">
        <f>ROUND(N(data!Z70), 0)</f>
        <v>0</v>
      </c>
      <c r="Q25" s="198">
        <f>ROUND(N(data!Z71), 0)</f>
        <v>0</v>
      </c>
      <c r="R25" s="198">
        <f>ROUND(N(data!Z72), 0)</f>
        <v>1378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18237</v>
      </c>
      <c r="AD25" s="198">
        <f>ROUND(N(data!Z84), 0)</f>
        <v>86776</v>
      </c>
      <c r="AE25" s="198">
        <f>ROUND(N(data!Z89), 0)</f>
        <v>4893605</v>
      </c>
      <c r="AF25" s="198">
        <f>ROUND(N(data!Z87), 0)</f>
        <v>4101084</v>
      </c>
      <c r="AG25" s="198">
        <f>ROUND(N(data!Z90), 0)</f>
        <v>3784</v>
      </c>
      <c r="AH25" s="198">
        <f>ROUND(N(data!Z91), 0)</f>
        <v>0</v>
      </c>
      <c r="AI25" s="198">
        <f>ROUND(N(data!Z92), 0)</f>
        <v>655</v>
      </c>
      <c r="AJ25" s="198">
        <f>ROUND(N(data!Z93), 0)</f>
        <v>0</v>
      </c>
      <c r="AK25" s="300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014</v>
      </c>
      <c r="B26" s="200" t="str">
        <f>RIGHT(data!$C$96,4)</f>
        <v>2024</v>
      </c>
      <c r="C26" s="12" t="str">
        <f>data!AA$55</f>
        <v>7160</v>
      </c>
      <c r="D26" s="12" t="s">
        <v>1154</v>
      </c>
      <c r="E26" s="198">
        <f>ROUND(N(data!AA59), 0)</f>
        <v>1436</v>
      </c>
      <c r="F26" s="300">
        <f>ROUND(N(data!AA60), 2)</f>
        <v>3.64</v>
      </c>
      <c r="G26" s="198">
        <f>ROUND(N(data!AA61), 0)</f>
        <v>536453</v>
      </c>
      <c r="H26" s="198">
        <f>ROUND(N(data!AA62), 0)</f>
        <v>147477</v>
      </c>
      <c r="I26" s="198">
        <f>ROUND(N(data!AA63), 0)</f>
        <v>0</v>
      </c>
      <c r="J26" s="198">
        <f>ROUND(N(data!AA64), 0)</f>
        <v>636833</v>
      </c>
      <c r="K26" s="198">
        <f>ROUND(N(data!AA65), 0)</f>
        <v>0</v>
      </c>
      <c r="L26" s="198">
        <f>ROUND(N(data!AA66), 0)</f>
        <v>10703</v>
      </c>
      <c r="M26" s="198">
        <f>ROUND(N(data!AA67), 0)</f>
        <v>240482</v>
      </c>
      <c r="N26" s="198">
        <f>ROUND(N(data!AA68), 0)</f>
        <v>0</v>
      </c>
      <c r="O26" s="198">
        <f>ROUND(N(data!AA69), 0)</f>
        <v>245099</v>
      </c>
      <c r="P26" s="198">
        <f>ROUND(N(data!AA70), 0)</f>
        <v>0</v>
      </c>
      <c r="Q26" s="198">
        <f>ROUND(N(data!AA71), 0)</f>
        <v>0</v>
      </c>
      <c r="R26" s="198">
        <f>ROUND(N(data!AA72), 0)</f>
        <v>20584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215369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9125</v>
      </c>
      <c r="AB26" s="198">
        <f>ROUND(N(data!AA82), 0)</f>
        <v>0</v>
      </c>
      <c r="AC26" s="198">
        <f>ROUND(N(data!AA83), 0)</f>
        <v>22</v>
      </c>
      <c r="AD26" s="198">
        <f>ROUND(N(data!AA84), 0)</f>
        <v>0</v>
      </c>
      <c r="AE26" s="198">
        <f>ROUND(N(data!AA89), 0)</f>
        <v>4325332</v>
      </c>
      <c r="AF26" s="198">
        <f>ROUND(N(data!AA87), 0)</f>
        <v>570028</v>
      </c>
      <c r="AG26" s="198">
        <f>ROUND(N(data!AA90), 0)</f>
        <v>2358</v>
      </c>
      <c r="AH26" s="198">
        <f>ROUND(N(data!AA91), 0)</f>
        <v>0</v>
      </c>
      <c r="AI26" s="198">
        <f>ROUND(N(data!AA92), 0)</f>
        <v>207</v>
      </c>
      <c r="AJ26" s="198">
        <f>ROUND(N(data!AA93), 0)</f>
        <v>0</v>
      </c>
      <c r="AK26" s="300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014</v>
      </c>
      <c r="B27" s="200" t="str">
        <f>RIGHT(data!$C$96,4)</f>
        <v>2024</v>
      </c>
      <c r="C27" s="12" t="str">
        <f>data!AB$55</f>
        <v>7170</v>
      </c>
      <c r="D27" s="12" t="s">
        <v>1154</v>
      </c>
      <c r="E27" s="198">
        <f>ROUND(N(data!AB59), 0)</f>
        <v>0</v>
      </c>
      <c r="F27" s="300">
        <f>ROUND(N(data!AB60), 2)</f>
        <v>227.65</v>
      </c>
      <c r="G27" s="198">
        <f>ROUND(N(data!AB61), 0)</f>
        <v>29047183</v>
      </c>
      <c r="H27" s="198">
        <f>ROUND(N(data!AB62), 0)</f>
        <v>7985419</v>
      </c>
      <c r="I27" s="198">
        <f>ROUND(N(data!AB63), 0)</f>
        <v>0</v>
      </c>
      <c r="J27" s="198">
        <f>ROUND(N(data!AB64), 0)</f>
        <v>117361370</v>
      </c>
      <c r="K27" s="198">
        <f>ROUND(N(data!AB65), 0)</f>
        <v>0</v>
      </c>
      <c r="L27" s="198">
        <f>ROUND(N(data!AB66), 0)</f>
        <v>34775</v>
      </c>
      <c r="M27" s="198">
        <f>ROUND(N(data!AB67), 0)</f>
        <v>4785362</v>
      </c>
      <c r="N27" s="198">
        <f>ROUND(N(data!AB68), 0)</f>
        <v>0</v>
      </c>
      <c r="O27" s="198">
        <f>ROUND(N(data!AB69), 0)</f>
        <v>529580</v>
      </c>
      <c r="P27" s="198">
        <f>ROUND(N(data!AB70), 0)</f>
        <v>0</v>
      </c>
      <c r="Q27" s="198">
        <f>ROUND(N(data!AB71), 0)</f>
        <v>0</v>
      </c>
      <c r="R27" s="198">
        <f>ROUND(N(data!AB72), 0)</f>
        <v>60271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113540</v>
      </c>
      <c r="X27" s="198">
        <f>ROUND(N(data!AB78), 0)</f>
        <v>0</v>
      </c>
      <c r="Y27" s="198">
        <f>ROUND(N(data!AB79), 0)</f>
        <v>25181</v>
      </c>
      <c r="Z27" s="198">
        <f>ROUND(N(data!AB80), 0)</f>
        <v>1991</v>
      </c>
      <c r="AA27" s="198">
        <f>ROUND(N(data!AB81), 0)</f>
        <v>13343</v>
      </c>
      <c r="AB27" s="198">
        <f>ROUND(N(data!AB82), 0)</f>
        <v>0</v>
      </c>
      <c r="AC27" s="198">
        <f>ROUND(N(data!AB83), 0)</f>
        <v>315255</v>
      </c>
      <c r="AD27" s="198">
        <f>ROUND(N(data!AB84), 0)</f>
        <v>0</v>
      </c>
      <c r="AE27" s="198">
        <f>ROUND(N(data!AB89), 0)</f>
        <v>583007431</v>
      </c>
      <c r="AF27" s="198">
        <f>ROUND(N(data!AB87), 0)</f>
        <v>282854776</v>
      </c>
      <c r="AG27" s="198">
        <f>ROUND(N(data!AB90), 0)</f>
        <v>46920</v>
      </c>
      <c r="AH27" s="198">
        <f>ROUND(N(data!AB91), 0)</f>
        <v>0</v>
      </c>
      <c r="AI27" s="198">
        <f>ROUND(N(data!AB92), 0)</f>
        <v>5971</v>
      </c>
      <c r="AJ27" s="198">
        <f>ROUND(N(data!AB93), 0)</f>
        <v>14237</v>
      </c>
      <c r="AK27" s="300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014</v>
      </c>
      <c r="B28" s="200" t="str">
        <f>RIGHT(data!$C$96,4)</f>
        <v>2024</v>
      </c>
      <c r="C28" s="12" t="str">
        <f>data!AC$55</f>
        <v>7180</v>
      </c>
      <c r="D28" s="12" t="s">
        <v>1154</v>
      </c>
      <c r="E28" s="198">
        <f>ROUND(N(data!AC59), 0)</f>
        <v>0</v>
      </c>
      <c r="F28" s="300">
        <f>ROUND(N(data!AC60), 2)</f>
        <v>142.35</v>
      </c>
      <c r="G28" s="198">
        <f>ROUND(N(data!AC61), 0)</f>
        <v>14332157</v>
      </c>
      <c r="H28" s="198">
        <f>ROUND(N(data!AC62), 0)</f>
        <v>3940082</v>
      </c>
      <c r="I28" s="198">
        <f>ROUND(N(data!AC63), 0)</f>
        <v>43214</v>
      </c>
      <c r="J28" s="198">
        <f>ROUND(N(data!AC64), 0)</f>
        <v>3373472</v>
      </c>
      <c r="K28" s="198">
        <f>ROUND(N(data!AC65), 0)</f>
        <v>0</v>
      </c>
      <c r="L28" s="198">
        <f>ROUND(N(data!AC66), 0)</f>
        <v>8380</v>
      </c>
      <c r="M28" s="198">
        <f>ROUND(N(data!AC67), 0)</f>
        <v>683364</v>
      </c>
      <c r="N28" s="198">
        <f>ROUND(N(data!AC68), 0)</f>
        <v>73140</v>
      </c>
      <c r="O28" s="198">
        <f>ROUND(N(data!AC69), 0)</f>
        <v>4301462</v>
      </c>
      <c r="P28" s="198">
        <f>ROUND(N(data!AC70), 0)</f>
        <v>0</v>
      </c>
      <c r="Q28" s="198">
        <f>ROUND(N(data!AC71), 0)</f>
        <v>4109659</v>
      </c>
      <c r="R28" s="198">
        <f>ROUND(N(data!AC72), 0)</f>
        <v>405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108980</v>
      </c>
      <c r="X28" s="198">
        <f>ROUND(N(data!AC78), 0)</f>
        <v>0</v>
      </c>
      <c r="Y28" s="198">
        <f>ROUND(N(data!AC79), 0)</f>
        <v>46243</v>
      </c>
      <c r="Z28" s="198">
        <f>ROUND(N(data!AC80), 0)</f>
        <v>16072</v>
      </c>
      <c r="AA28" s="198">
        <f>ROUND(N(data!AC81), 0)</f>
        <v>0</v>
      </c>
      <c r="AB28" s="198">
        <f>ROUND(N(data!AC82), 0)</f>
        <v>0</v>
      </c>
      <c r="AC28" s="198">
        <f>ROUND(N(data!AC83), 0)</f>
        <v>20103</v>
      </c>
      <c r="AD28" s="198">
        <f>ROUND(N(data!AC84), 0)</f>
        <v>250</v>
      </c>
      <c r="AE28" s="198">
        <f>ROUND(N(data!AC89), 0)</f>
        <v>21321725</v>
      </c>
      <c r="AF28" s="198">
        <f>ROUND(N(data!AC87), 0)</f>
        <v>19384823</v>
      </c>
      <c r="AG28" s="198">
        <f>ROUND(N(data!AC90), 0)</f>
        <v>6700</v>
      </c>
      <c r="AH28" s="198">
        <f>ROUND(N(data!AC91), 0)</f>
        <v>0</v>
      </c>
      <c r="AI28" s="198">
        <f>ROUND(N(data!AC92), 0)</f>
        <v>589</v>
      </c>
      <c r="AJ28" s="198">
        <f>ROUND(N(data!AC93), 0)</f>
        <v>0</v>
      </c>
      <c r="AK28" s="300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014</v>
      </c>
      <c r="B29" s="200" t="str">
        <f>RIGHT(data!$C$96,4)</f>
        <v>2024</v>
      </c>
      <c r="C29" s="12" t="str">
        <f>data!AD$55</f>
        <v>7190</v>
      </c>
      <c r="D29" s="12" t="s">
        <v>1154</v>
      </c>
      <c r="E29" s="198">
        <f>ROUND(N(data!AD59), 0)</f>
        <v>9863</v>
      </c>
      <c r="F29" s="300">
        <f>ROUND(N(data!AD60), 2)</f>
        <v>33.619999999999997</v>
      </c>
      <c r="G29" s="198">
        <f>ROUND(N(data!AD61), 0)</f>
        <v>4395460</v>
      </c>
      <c r="H29" s="198">
        <f>ROUND(N(data!AD62), 0)</f>
        <v>1208365</v>
      </c>
      <c r="I29" s="198">
        <f>ROUND(N(data!AD63), 0)</f>
        <v>195918</v>
      </c>
      <c r="J29" s="198">
        <f>ROUND(N(data!AD64), 0)</f>
        <v>1163186</v>
      </c>
      <c r="K29" s="198">
        <f>ROUND(N(data!AD65), 0)</f>
        <v>0</v>
      </c>
      <c r="L29" s="198">
        <f>ROUND(N(data!AD66), 0)</f>
        <v>41211</v>
      </c>
      <c r="M29" s="198">
        <f>ROUND(N(data!AD67), 0)</f>
        <v>1430205</v>
      </c>
      <c r="N29" s="198">
        <f>ROUND(N(data!AD68), 0)</f>
        <v>0</v>
      </c>
      <c r="O29" s="198">
        <f>ROUND(N(data!AD69), 0)</f>
        <v>270578</v>
      </c>
      <c r="P29" s="198">
        <f>ROUND(N(data!AD70), 0)</f>
        <v>0</v>
      </c>
      <c r="Q29" s="198">
        <f>ROUND(N(data!AD71), 0)</f>
        <v>166037</v>
      </c>
      <c r="R29" s="198">
        <f>ROUND(N(data!AD72), 0)</f>
        <v>202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74026</v>
      </c>
      <c r="X29" s="198">
        <f>ROUND(N(data!AD78), 0)</f>
        <v>0</v>
      </c>
      <c r="Y29" s="198">
        <f>ROUND(N(data!AD79), 0)</f>
        <v>9000</v>
      </c>
      <c r="Z29" s="198">
        <f>ROUND(N(data!AD80), 0)</f>
        <v>2325</v>
      </c>
      <c r="AA29" s="198">
        <f>ROUND(N(data!AD81), 0)</f>
        <v>0</v>
      </c>
      <c r="AB29" s="198">
        <f>ROUND(N(data!AD82), 0)</f>
        <v>0</v>
      </c>
      <c r="AC29" s="198">
        <f>ROUND(N(data!AD83), 0)</f>
        <v>18988</v>
      </c>
      <c r="AD29" s="198">
        <f>ROUND(N(data!AD84), 0)</f>
        <v>0</v>
      </c>
      <c r="AE29" s="198">
        <f>ROUND(N(data!AD89), 0)</f>
        <v>42233088</v>
      </c>
      <c r="AF29" s="198">
        <f>ROUND(N(data!AD87), 0)</f>
        <v>19536825</v>
      </c>
      <c r="AG29" s="198">
        <f>ROUND(N(data!AD90), 0)</f>
        <v>14023</v>
      </c>
      <c r="AH29" s="198">
        <f>ROUND(N(data!AD91), 0)</f>
        <v>0</v>
      </c>
      <c r="AI29" s="198">
        <f>ROUND(N(data!AD92), 0)</f>
        <v>2464</v>
      </c>
      <c r="AJ29" s="198">
        <f>ROUND(N(data!AD93), 0)</f>
        <v>0</v>
      </c>
      <c r="AK29" s="300">
        <f>ROUND(N(data!AD94), 2)</f>
        <v>25.64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014</v>
      </c>
      <c r="B30" s="200" t="str">
        <f>RIGHT(data!$C$96,4)</f>
        <v>2024</v>
      </c>
      <c r="C30" s="12" t="str">
        <f>data!AE$55</f>
        <v>7200</v>
      </c>
      <c r="D30" s="12" t="s">
        <v>1154</v>
      </c>
      <c r="E30" s="198">
        <f>ROUND(N(data!AE59), 0)</f>
        <v>193002</v>
      </c>
      <c r="F30" s="300">
        <f>ROUND(N(data!AE60), 2)</f>
        <v>98.64</v>
      </c>
      <c r="G30" s="198">
        <f>ROUND(N(data!AE61), 0)</f>
        <v>12420229</v>
      </c>
      <c r="H30" s="198">
        <f>ROUND(N(data!AE62), 0)</f>
        <v>3414470</v>
      </c>
      <c r="I30" s="198">
        <f>ROUND(N(data!AE63), 0)</f>
        <v>0</v>
      </c>
      <c r="J30" s="198">
        <f>ROUND(N(data!AE64), 0)</f>
        <v>87227</v>
      </c>
      <c r="K30" s="198">
        <f>ROUND(N(data!AE65), 0)</f>
        <v>0</v>
      </c>
      <c r="L30" s="198">
        <f>ROUND(N(data!AE66), 0)</f>
        <v>373329</v>
      </c>
      <c r="M30" s="198">
        <f>ROUND(N(data!AE67), 0)</f>
        <v>1152174</v>
      </c>
      <c r="N30" s="198">
        <f>ROUND(N(data!AE68), 0)</f>
        <v>0</v>
      </c>
      <c r="O30" s="198">
        <f>ROUND(N(data!AE69), 0)</f>
        <v>2024481</v>
      </c>
      <c r="P30" s="198">
        <f>ROUND(N(data!AE70), 0)</f>
        <v>0</v>
      </c>
      <c r="Q30" s="198">
        <f>ROUND(N(data!AE71), 0)</f>
        <v>0</v>
      </c>
      <c r="R30" s="198">
        <f>ROUND(N(data!AE72), 0)</f>
        <v>2015642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1272</v>
      </c>
      <c r="X30" s="198">
        <f>ROUND(N(data!AE78), 0)</f>
        <v>0</v>
      </c>
      <c r="Y30" s="198">
        <f>ROUND(N(data!AE79), 0)</f>
        <v>0</v>
      </c>
      <c r="Z30" s="198">
        <f>ROUND(N(data!AE80), 0)</f>
        <v>17941</v>
      </c>
      <c r="AA30" s="198">
        <f>ROUND(N(data!AE81), 0)</f>
        <v>-36000</v>
      </c>
      <c r="AB30" s="198">
        <f>ROUND(N(data!AE82), 0)</f>
        <v>0</v>
      </c>
      <c r="AC30" s="198">
        <f>ROUND(N(data!AE83), 0)</f>
        <v>25627</v>
      </c>
      <c r="AD30" s="198">
        <f>ROUND(N(data!AE84), 0)</f>
        <v>0</v>
      </c>
      <c r="AE30" s="198">
        <f>ROUND(N(data!AE89), 0)</f>
        <v>26698146</v>
      </c>
      <c r="AF30" s="198">
        <f>ROUND(N(data!AE87), 0)</f>
        <v>6336736</v>
      </c>
      <c r="AG30" s="198">
        <f>ROUND(N(data!AE90), 0)</f>
        <v>11297</v>
      </c>
      <c r="AH30" s="198">
        <f>ROUND(N(data!AE91), 0)</f>
        <v>0</v>
      </c>
      <c r="AI30" s="198">
        <f>ROUND(N(data!AE92), 0)</f>
        <v>6879</v>
      </c>
      <c r="AJ30" s="198">
        <f>ROUND(N(data!AE93), 0)</f>
        <v>0</v>
      </c>
      <c r="AK30" s="300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014</v>
      </c>
      <c r="B31" s="200" t="str">
        <f>RIGHT(data!$C$96,4)</f>
        <v>2024</v>
      </c>
      <c r="C31" s="12" t="str">
        <f>data!AF$55</f>
        <v>7220</v>
      </c>
      <c r="D31" s="12" t="s">
        <v>1154</v>
      </c>
      <c r="E31" s="198">
        <f>ROUND(N(data!AF59), 0)</f>
        <v>0</v>
      </c>
      <c r="F31" s="300">
        <f>ROUND(N(data!AF60), 2)</f>
        <v>171.85</v>
      </c>
      <c r="G31" s="198">
        <f>ROUND(N(data!AF61), 0)</f>
        <v>19547668</v>
      </c>
      <c r="H31" s="198">
        <f>ROUND(N(data!AF62), 0)</f>
        <v>5373888</v>
      </c>
      <c r="I31" s="198">
        <f>ROUND(N(data!AF63), 0)</f>
        <v>1511263</v>
      </c>
      <c r="J31" s="198">
        <f>ROUND(N(data!AF64), 0)</f>
        <v>176748</v>
      </c>
      <c r="K31" s="198">
        <f>ROUND(N(data!AF65), 0)</f>
        <v>0</v>
      </c>
      <c r="L31" s="198">
        <f>ROUND(N(data!AF66), 0)</f>
        <v>72844</v>
      </c>
      <c r="M31" s="198">
        <f>ROUND(N(data!AF67), 0)</f>
        <v>4184316</v>
      </c>
      <c r="N31" s="198">
        <f>ROUND(N(data!AF68), 0)</f>
        <v>0</v>
      </c>
      <c r="O31" s="198">
        <f>ROUND(N(data!AF69), 0)</f>
        <v>272326</v>
      </c>
      <c r="P31" s="198">
        <f>ROUND(N(data!AF70), 0)</f>
        <v>0</v>
      </c>
      <c r="Q31" s="198">
        <f>ROUND(N(data!AF71), 0)</f>
        <v>221</v>
      </c>
      <c r="R31" s="198">
        <f>ROUND(N(data!AF72), 0)</f>
        <v>8213</v>
      </c>
      <c r="S31" s="198">
        <f>ROUND(N(data!AF73), 0)</f>
        <v>1122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1012</v>
      </c>
      <c r="X31" s="198">
        <f>ROUND(N(data!AF78), 0)</f>
        <v>0</v>
      </c>
      <c r="Y31" s="198">
        <f>ROUND(N(data!AF79), 0)</f>
        <v>14227</v>
      </c>
      <c r="Z31" s="198">
        <f>ROUND(N(data!AF80), 0)</f>
        <v>9940</v>
      </c>
      <c r="AA31" s="198">
        <f>ROUND(N(data!AF81), 0)</f>
        <v>10200</v>
      </c>
      <c r="AB31" s="198">
        <f>ROUND(N(data!AF82), 0)</f>
        <v>23302</v>
      </c>
      <c r="AC31" s="198">
        <f>ROUND(N(data!AF83), 0)</f>
        <v>204088</v>
      </c>
      <c r="AD31" s="198">
        <f>ROUND(N(data!AF84), 0)</f>
        <v>2537686</v>
      </c>
      <c r="AE31" s="198">
        <f>ROUND(N(data!AF89), 0)</f>
        <v>20457182</v>
      </c>
      <c r="AF31" s="198">
        <f>ROUND(N(data!AF87), 0)</f>
        <v>2265422</v>
      </c>
      <c r="AG31" s="198">
        <f>ROUND(N(data!AF90), 0)</f>
        <v>41027</v>
      </c>
      <c r="AH31" s="198">
        <f>ROUND(N(data!AF91), 0)</f>
        <v>0</v>
      </c>
      <c r="AI31" s="198">
        <f>ROUND(N(data!AF92), 0)</f>
        <v>6572</v>
      </c>
      <c r="AJ31" s="198">
        <f>ROUND(N(data!AF93), 0)</f>
        <v>0</v>
      </c>
      <c r="AK31" s="300">
        <f>ROUND(N(data!AF94), 2)</f>
        <v>7.17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014</v>
      </c>
      <c r="B32" s="200" t="str">
        <f>RIGHT(data!$C$96,4)</f>
        <v>2024</v>
      </c>
      <c r="C32" s="12" t="str">
        <f>data!AG$55</f>
        <v>7230</v>
      </c>
      <c r="D32" s="12" t="s">
        <v>1154</v>
      </c>
      <c r="E32" s="198">
        <f>ROUND(N(data!AG59), 0)</f>
        <v>114310</v>
      </c>
      <c r="F32" s="300">
        <f>ROUND(N(data!AG60), 2)</f>
        <v>213.92</v>
      </c>
      <c r="G32" s="198">
        <f>ROUND(N(data!AG61), 0)</f>
        <v>21997285</v>
      </c>
      <c r="H32" s="198">
        <f>ROUND(N(data!AG62), 0)</f>
        <v>6047317</v>
      </c>
      <c r="I32" s="198">
        <f>ROUND(N(data!AG63), 0)</f>
        <v>749444</v>
      </c>
      <c r="J32" s="198">
        <f>ROUND(N(data!AG64), 0)</f>
        <v>2513458</v>
      </c>
      <c r="K32" s="198">
        <f>ROUND(N(data!AG65), 0)</f>
        <v>0</v>
      </c>
      <c r="L32" s="198">
        <f>ROUND(N(data!AG66), 0)</f>
        <v>83514</v>
      </c>
      <c r="M32" s="198">
        <f>ROUND(N(data!AG67), 0)</f>
        <v>6297932</v>
      </c>
      <c r="N32" s="198">
        <f>ROUND(N(data!AG68), 0)</f>
        <v>0</v>
      </c>
      <c r="O32" s="198">
        <f>ROUND(N(data!AG69), 0)</f>
        <v>4992126</v>
      </c>
      <c r="P32" s="198">
        <f>ROUND(N(data!AG70), 0)</f>
        <v>0</v>
      </c>
      <c r="Q32" s="198">
        <f>ROUND(N(data!AG71), 0)</f>
        <v>4840603</v>
      </c>
      <c r="R32" s="198">
        <f>ROUND(N(data!AG72), 0)</f>
        <v>662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12145</v>
      </c>
      <c r="X32" s="198">
        <f>ROUND(N(data!AG78), 0)</f>
        <v>0</v>
      </c>
      <c r="Y32" s="198">
        <f>ROUND(N(data!AG79), 0)</f>
        <v>105000</v>
      </c>
      <c r="Z32" s="198">
        <f>ROUND(N(data!AG80), 0)</f>
        <v>879</v>
      </c>
      <c r="AA32" s="198">
        <f>ROUND(N(data!AG81), 0)</f>
        <v>309</v>
      </c>
      <c r="AB32" s="198">
        <f>ROUND(N(data!AG82), 0)</f>
        <v>0</v>
      </c>
      <c r="AC32" s="198">
        <f>ROUND(N(data!AG83), 0)</f>
        <v>32528</v>
      </c>
      <c r="AD32" s="198">
        <f>ROUND(N(data!AG84), 0)</f>
        <v>469675</v>
      </c>
      <c r="AE32" s="198">
        <f>ROUND(N(data!AG89), 0)</f>
        <v>166805563</v>
      </c>
      <c r="AF32" s="198">
        <f>ROUND(N(data!AG87), 0)</f>
        <v>31154914</v>
      </c>
      <c r="AG32" s="198">
        <f>ROUND(N(data!AG90), 0)</f>
        <v>61751</v>
      </c>
      <c r="AH32" s="198">
        <f>ROUND(N(data!AG91), 0)</f>
        <v>0</v>
      </c>
      <c r="AI32" s="198">
        <f>ROUND(N(data!AG92), 0)</f>
        <v>5923</v>
      </c>
      <c r="AJ32" s="198">
        <f>ROUND(N(data!AG93), 0)</f>
        <v>85116</v>
      </c>
      <c r="AK32" s="300">
        <f>ROUND(N(data!AG94), 2)</f>
        <v>67.41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014</v>
      </c>
      <c r="B33" s="200" t="str">
        <f>RIGHT(data!$C$96,4)</f>
        <v>2024</v>
      </c>
      <c r="C33" s="12" t="str">
        <f>data!AH$55</f>
        <v>7240</v>
      </c>
      <c r="D33" s="12" t="s">
        <v>1154</v>
      </c>
      <c r="E33" s="198">
        <f>ROUND(N(data!AH59), 0)</f>
        <v>0</v>
      </c>
      <c r="F33" s="300">
        <f>ROUND(N(data!AH60), 2)</f>
        <v>25.79</v>
      </c>
      <c r="G33" s="198">
        <f>ROUND(N(data!AH61), 0)</f>
        <v>4051961</v>
      </c>
      <c r="H33" s="198">
        <f>ROUND(N(data!AH62), 0)</f>
        <v>1113933</v>
      </c>
      <c r="I33" s="198">
        <f>ROUND(N(data!AH63), 0)</f>
        <v>0</v>
      </c>
      <c r="J33" s="198">
        <f>ROUND(N(data!AH64), 0)</f>
        <v>115211</v>
      </c>
      <c r="K33" s="198">
        <f>ROUND(N(data!AH65), 0)</f>
        <v>0</v>
      </c>
      <c r="L33" s="198">
        <f>ROUND(N(data!AH66), 0)</f>
        <v>729008</v>
      </c>
      <c r="M33" s="198">
        <f>ROUND(N(data!AH67), 0)</f>
        <v>6875653</v>
      </c>
      <c r="N33" s="198">
        <f>ROUND(N(data!AH68), 0)</f>
        <v>0</v>
      </c>
      <c r="O33" s="198">
        <f>ROUND(N(data!AH69), 0)</f>
        <v>44992</v>
      </c>
      <c r="P33" s="198">
        <f>ROUND(N(data!AH70), 0)</f>
        <v>0</v>
      </c>
      <c r="Q33" s="198">
        <f>ROUND(N(data!AH71), 0)</f>
        <v>0</v>
      </c>
      <c r="R33" s="198">
        <f>ROUND(N(data!AH72), 0)</f>
        <v>119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28337</v>
      </c>
      <c r="X33" s="198">
        <f>ROUND(N(data!AH78), 0)</f>
        <v>0</v>
      </c>
      <c r="Y33" s="198">
        <f>ROUND(N(data!AH79), 0)</f>
        <v>2876</v>
      </c>
      <c r="Z33" s="198">
        <f>ROUND(N(data!AH80), 0)</f>
        <v>11643</v>
      </c>
      <c r="AA33" s="198">
        <f>ROUND(N(data!AH81), 0)</f>
        <v>0</v>
      </c>
      <c r="AB33" s="198">
        <f>ROUND(N(data!AH82), 0)</f>
        <v>0</v>
      </c>
      <c r="AC33" s="198">
        <f>ROUND(N(data!AH83), 0)</f>
        <v>2017</v>
      </c>
      <c r="AD33" s="198">
        <f>ROUND(N(data!AH84), 0)</f>
        <v>1011536</v>
      </c>
      <c r="AE33" s="198">
        <f>ROUND(N(data!AH89), 0)</f>
        <v>1604055</v>
      </c>
      <c r="AF33" s="198">
        <f>ROUND(N(data!AH87), 0)</f>
        <v>1308902</v>
      </c>
      <c r="AG33" s="198">
        <f>ROUND(N(data!AH90), 0)</f>
        <v>67415</v>
      </c>
      <c r="AH33" s="198">
        <f>ROUND(N(data!AH91), 0)</f>
        <v>0</v>
      </c>
      <c r="AI33" s="198">
        <f>ROUND(N(data!AH92), 0)</f>
        <v>309</v>
      </c>
      <c r="AJ33" s="198">
        <f>ROUND(N(data!AH93), 0)</f>
        <v>0</v>
      </c>
      <c r="AK33" s="300">
        <f>ROUND(N(data!AH94), 2)</f>
        <v>11.05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014</v>
      </c>
      <c r="B34" s="200" t="str">
        <f>RIGHT(data!$C$96,4)</f>
        <v>2024</v>
      </c>
      <c r="C34" s="12" t="str">
        <f>data!AI$55</f>
        <v>7250</v>
      </c>
      <c r="D34" s="12" t="s">
        <v>1154</v>
      </c>
      <c r="E34" s="198">
        <f>ROUND(N(data!AI59), 0)</f>
        <v>0</v>
      </c>
      <c r="F34" s="300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00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014</v>
      </c>
      <c r="B35" s="200" t="str">
        <f>RIGHT(data!$C$96,4)</f>
        <v>2024</v>
      </c>
      <c r="C35" s="12" t="str">
        <f>data!AJ$55</f>
        <v>7260</v>
      </c>
      <c r="D35" s="12" t="s">
        <v>1154</v>
      </c>
      <c r="E35" s="198">
        <f>ROUND(N(data!AJ59), 0)</f>
        <v>973</v>
      </c>
      <c r="F35" s="300">
        <f>ROUND(N(data!AJ60), 2)</f>
        <v>1224.5</v>
      </c>
      <c r="G35" s="198">
        <f>ROUND(N(data!AJ61), 0)</f>
        <v>152749959</v>
      </c>
      <c r="H35" s="198">
        <f>ROUND(N(data!AJ62), 0)</f>
        <v>41992795</v>
      </c>
      <c r="I35" s="198">
        <f>ROUND(N(data!AJ63), 0)</f>
        <v>3840804</v>
      </c>
      <c r="J35" s="198">
        <f>ROUND(N(data!AJ64), 0)</f>
        <v>5205878</v>
      </c>
      <c r="K35" s="198">
        <f>ROUND(N(data!AJ65), 0)</f>
        <v>0</v>
      </c>
      <c r="L35" s="198">
        <f>ROUND(N(data!AJ66), 0)</f>
        <v>5583641</v>
      </c>
      <c r="M35" s="198">
        <f>ROUND(N(data!AJ67), 0)</f>
        <v>29631336</v>
      </c>
      <c r="N35" s="198">
        <f>ROUND(N(data!AJ68), 0)</f>
        <v>1604544</v>
      </c>
      <c r="O35" s="198">
        <f>ROUND(N(data!AJ69), 0)</f>
        <v>3653626</v>
      </c>
      <c r="P35" s="198">
        <f>ROUND(N(data!AJ70), 0)</f>
        <v>0</v>
      </c>
      <c r="Q35" s="198">
        <f>ROUND(N(data!AJ71), 0)</f>
        <v>41988</v>
      </c>
      <c r="R35" s="198">
        <f>ROUND(N(data!AJ72), 0)</f>
        <v>1065024</v>
      </c>
      <c r="S35" s="198">
        <f>ROUND(N(data!AJ73), 0)</f>
        <v>29369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465072</v>
      </c>
      <c r="X35" s="198">
        <f>ROUND(N(data!AJ78), 0)</f>
        <v>0</v>
      </c>
      <c r="Y35" s="198">
        <f>ROUND(N(data!AJ79), 0)</f>
        <v>287970</v>
      </c>
      <c r="Z35" s="198">
        <f>ROUND(N(data!AJ80), 0)</f>
        <v>83106</v>
      </c>
      <c r="AA35" s="198">
        <f>ROUND(N(data!AJ81), 0)</f>
        <v>9305</v>
      </c>
      <c r="AB35" s="198">
        <f>ROUND(N(data!AJ82), 0)</f>
        <v>268277</v>
      </c>
      <c r="AC35" s="198">
        <f>ROUND(N(data!AJ83), 0)</f>
        <v>1403515</v>
      </c>
      <c r="AD35" s="198">
        <f>ROUND(N(data!AJ84), 0)</f>
        <v>9292357</v>
      </c>
      <c r="AE35" s="198">
        <f>ROUND(N(data!AJ89), 0)</f>
        <v>208270394</v>
      </c>
      <c r="AF35" s="198">
        <f>ROUND(N(data!AJ87), 0)</f>
        <v>4896641</v>
      </c>
      <c r="AG35" s="198">
        <f>ROUND(N(data!AJ90), 0)</f>
        <v>290532</v>
      </c>
      <c r="AH35" s="198">
        <f>ROUND(N(data!AJ91), 0)</f>
        <v>0</v>
      </c>
      <c r="AI35" s="198">
        <f>ROUND(N(data!AJ92), 0)</f>
        <v>48795</v>
      </c>
      <c r="AJ35" s="198">
        <f>ROUND(N(data!AJ93), 0)</f>
        <v>102208</v>
      </c>
      <c r="AK35" s="300">
        <f>ROUND(N(data!AJ94), 2)</f>
        <v>300.24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014</v>
      </c>
      <c r="B36" s="200" t="str">
        <f>RIGHT(data!$C$96,4)</f>
        <v>2024</v>
      </c>
      <c r="C36" s="12" t="str">
        <f>data!AK$55</f>
        <v>7310</v>
      </c>
      <c r="D36" s="12" t="s">
        <v>1154</v>
      </c>
      <c r="E36" s="198">
        <f>ROUND(N(data!AK59), 0)</f>
        <v>74242</v>
      </c>
      <c r="F36" s="300">
        <f>ROUND(N(data!AK60), 2)</f>
        <v>28.63</v>
      </c>
      <c r="G36" s="198">
        <f>ROUND(N(data!AK61), 0)</f>
        <v>3358150</v>
      </c>
      <c r="H36" s="198">
        <f>ROUND(N(data!AK62), 0)</f>
        <v>923196</v>
      </c>
      <c r="I36" s="198">
        <f>ROUND(N(data!AK63), 0)</f>
        <v>0</v>
      </c>
      <c r="J36" s="198">
        <f>ROUND(N(data!AK64), 0)</f>
        <v>137755</v>
      </c>
      <c r="K36" s="198">
        <f>ROUND(N(data!AK65), 0)</f>
        <v>0</v>
      </c>
      <c r="L36" s="198">
        <f>ROUND(N(data!AK66), 0)</f>
        <v>179</v>
      </c>
      <c r="M36" s="198">
        <f>ROUND(N(data!AK67), 0)</f>
        <v>610614</v>
      </c>
      <c r="N36" s="198">
        <f>ROUND(N(data!AK68), 0)</f>
        <v>0</v>
      </c>
      <c r="O36" s="198">
        <f>ROUND(N(data!AK69), 0)</f>
        <v>8652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172</v>
      </c>
      <c r="X36" s="198">
        <f>ROUND(N(data!AK78), 0)</f>
        <v>0</v>
      </c>
      <c r="Y36" s="198">
        <f>ROUND(N(data!AK79), 0)</f>
        <v>0</v>
      </c>
      <c r="Z36" s="198">
        <f>ROUND(N(data!AK80), 0)</f>
        <v>7184</v>
      </c>
      <c r="AA36" s="198">
        <f>ROUND(N(data!AK81), 0)</f>
        <v>-222</v>
      </c>
      <c r="AB36" s="198">
        <f>ROUND(N(data!AK82), 0)</f>
        <v>0</v>
      </c>
      <c r="AC36" s="198">
        <f>ROUND(N(data!AK83), 0)</f>
        <v>1518</v>
      </c>
      <c r="AD36" s="198">
        <f>ROUND(N(data!AK84), 0)</f>
        <v>0</v>
      </c>
      <c r="AE36" s="198">
        <f>ROUND(N(data!AK89), 0)</f>
        <v>10633234</v>
      </c>
      <c r="AF36" s="198">
        <f>ROUND(N(data!AK87), 0)</f>
        <v>7091859</v>
      </c>
      <c r="AG36" s="198">
        <f>ROUND(N(data!AK90), 0)</f>
        <v>5987</v>
      </c>
      <c r="AH36" s="198">
        <f>ROUND(N(data!AK91), 0)</f>
        <v>0</v>
      </c>
      <c r="AI36" s="198">
        <f>ROUND(N(data!AK92), 0)</f>
        <v>704</v>
      </c>
      <c r="AJ36" s="198">
        <f>ROUND(N(data!AK93), 0)</f>
        <v>0</v>
      </c>
      <c r="AK36" s="300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014</v>
      </c>
      <c r="B37" s="200" t="str">
        <f>RIGHT(data!$C$96,4)</f>
        <v>2024</v>
      </c>
      <c r="C37" s="12" t="str">
        <f>data!AL$55</f>
        <v>7320</v>
      </c>
      <c r="D37" s="12" t="s">
        <v>1154</v>
      </c>
      <c r="E37" s="198">
        <f>ROUND(N(data!AL59), 0)</f>
        <v>64481</v>
      </c>
      <c r="F37" s="300">
        <f>ROUND(N(data!AL60), 2)</f>
        <v>22.81</v>
      </c>
      <c r="G37" s="198">
        <f>ROUND(N(data!AL61), 0)</f>
        <v>2786255</v>
      </c>
      <c r="H37" s="198">
        <f>ROUND(N(data!AL62), 0)</f>
        <v>765975</v>
      </c>
      <c r="I37" s="198">
        <f>ROUND(N(data!AL63), 0)</f>
        <v>-2811</v>
      </c>
      <c r="J37" s="198">
        <f>ROUND(N(data!AL64), 0)</f>
        <v>51863</v>
      </c>
      <c r="K37" s="198">
        <f>ROUND(N(data!AL65), 0)</f>
        <v>0</v>
      </c>
      <c r="L37" s="198">
        <f>ROUND(N(data!AL66), 0)</f>
        <v>14568</v>
      </c>
      <c r="M37" s="198">
        <f>ROUND(N(data!AL67), 0)</f>
        <v>275026</v>
      </c>
      <c r="N37" s="198">
        <f>ROUND(N(data!AL68), 0)</f>
        <v>0</v>
      </c>
      <c r="O37" s="198">
        <f>ROUND(N(data!AL69), 0)</f>
        <v>22411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11119</v>
      </c>
      <c r="X37" s="198">
        <f>ROUND(N(data!AL78), 0)</f>
        <v>0</v>
      </c>
      <c r="Y37" s="198">
        <f>ROUND(N(data!AL79), 0)</f>
        <v>0</v>
      </c>
      <c r="Z37" s="198">
        <f>ROUND(N(data!AL80), 0)</f>
        <v>6769</v>
      </c>
      <c r="AA37" s="198">
        <f>ROUND(N(data!AL81), 0)</f>
        <v>0</v>
      </c>
      <c r="AB37" s="198">
        <f>ROUND(N(data!AL82), 0)</f>
        <v>0</v>
      </c>
      <c r="AC37" s="198">
        <f>ROUND(N(data!AL83), 0)</f>
        <v>4524</v>
      </c>
      <c r="AD37" s="198">
        <f>ROUND(N(data!AL84), 0)</f>
        <v>0</v>
      </c>
      <c r="AE37" s="198">
        <f>ROUND(N(data!AL89), 0)</f>
        <v>12333581</v>
      </c>
      <c r="AF37" s="198">
        <f>ROUND(N(data!AL87), 0)</f>
        <v>5031091</v>
      </c>
      <c r="AG37" s="198">
        <f>ROUND(N(data!AL90), 0)</f>
        <v>2697</v>
      </c>
      <c r="AH37" s="198">
        <f>ROUND(N(data!AL91), 0)</f>
        <v>0</v>
      </c>
      <c r="AI37" s="198">
        <f>ROUND(N(data!AL92), 0)</f>
        <v>237</v>
      </c>
      <c r="AJ37" s="198">
        <f>ROUND(N(data!AL93), 0)</f>
        <v>0</v>
      </c>
      <c r="AK37" s="300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014</v>
      </c>
      <c r="B38" s="200" t="str">
        <f>RIGHT(data!$C$96,4)</f>
        <v>2024</v>
      </c>
      <c r="C38" s="12" t="str">
        <f>data!AM$55</f>
        <v>7330</v>
      </c>
      <c r="D38" s="12" t="s">
        <v>1154</v>
      </c>
      <c r="E38" s="198">
        <f>ROUND(N(data!AM59), 0)</f>
        <v>0</v>
      </c>
      <c r="F38" s="300">
        <f>ROUND(N(data!AM60), 2)</f>
        <v>42.13</v>
      </c>
      <c r="G38" s="198">
        <f>ROUND(N(data!AM61), 0)</f>
        <v>3911011</v>
      </c>
      <c r="H38" s="198">
        <f>ROUND(N(data!AM62), 0)</f>
        <v>1075184</v>
      </c>
      <c r="I38" s="198">
        <f>ROUND(N(data!AM63), 0)</f>
        <v>0</v>
      </c>
      <c r="J38" s="198">
        <f>ROUND(N(data!AM64), 0)</f>
        <v>17509</v>
      </c>
      <c r="K38" s="198">
        <f>ROUND(N(data!AM65), 0)</f>
        <v>0</v>
      </c>
      <c r="L38" s="198">
        <f>ROUND(N(data!AM66), 0)</f>
        <v>698</v>
      </c>
      <c r="M38" s="198">
        <f>ROUND(N(data!AM67), 0)</f>
        <v>825666</v>
      </c>
      <c r="N38" s="198">
        <f>ROUND(N(data!AM68), 0)</f>
        <v>0</v>
      </c>
      <c r="O38" s="198">
        <f>ROUND(N(data!AM69), 0)</f>
        <v>3808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339</v>
      </c>
      <c r="AA38" s="198">
        <f>ROUND(N(data!AM81), 0)</f>
        <v>0</v>
      </c>
      <c r="AB38" s="198">
        <f>ROUND(N(data!AM82), 0)</f>
        <v>0</v>
      </c>
      <c r="AC38" s="198">
        <f>ROUND(N(data!AM83), 0)</f>
        <v>3469</v>
      </c>
      <c r="AD38" s="198">
        <f>ROUND(N(data!AM84), 0)</f>
        <v>631670</v>
      </c>
      <c r="AE38" s="198">
        <f>ROUND(N(data!AM89), 0)</f>
        <v>0</v>
      </c>
      <c r="AF38" s="198">
        <f>ROUND(N(data!AM87), 0)</f>
        <v>0</v>
      </c>
      <c r="AG38" s="198">
        <f>ROUND(N(data!AM90), 0)</f>
        <v>8096</v>
      </c>
      <c r="AH38" s="198">
        <f>ROUND(N(data!AM91), 0)</f>
        <v>0</v>
      </c>
      <c r="AI38" s="198">
        <f>ROUND(N(data!AM92), 0)</f>
        <v>711</v>
      </c>
      <c r="AJ38" s="198">
        <f>ROUND(N(data!AM93), 0)</f>
        <v>0</v>
      </c>
      <c r="AK38" s="300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014</v>
      </c>
      <c r="B39" s="200" t="str">
        <f>RIGHT(data!$C$96,4)</f>
        <v>2024</v>
      </c>
      <c r="C39" s="12" t="str">
        <f>data!AN$55</f>
        <v>7340</v>
      </c>
      <c r="D39" s="12" t="s">
        <v>1154</v>
      </c>
      <c r="E39" s="198">
        <f>ROUND(N(data!AN59), 0)</f>
        <v>0</v>
      </c>
      <c r="F39" s="300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00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014</v>
      </c>
      <c r="B40" s="200" t="str">
        <f>RIGHT(data!$C$96,4)</f>
        <v>2024</v>
      </c>
      <c r="C40" s="12" t="str">
        <f>data!AO$55</f>
        <v>7350</v>
      </c>
      <c r="D40" s="12" t="s">
        <v>1154</v>
      </c>
      <c r="E40" s="198">
        <f>ROUND(N(data!AO59), 0)</f>
        <v>0</v>
      </c>
      <c r="F40" s="300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00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014</v>
      </c>
      <c r="B41" s="200" t="str">
        <f>RIGHT(data!$C$96,4)</f>
        <v>2024</v>
      </c>
      <c r="C41" s="12" t="str">
        <f>data!AP$55</f>
        <v>7380</v>
      </c>
      <c r="D41" s="12" t="s">
        <v>1154</v>
      </c>
      <c r="E41" s="198">
        <f>ROUND(N(data!AP59), 0)</f>
        <v>0</v>
      </c>
      <c r="F41" s="300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00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014</v>
      </c>
      <c r="B42" s="200" t="str">
        <f>RIGHT(data!$C$96,4)</f>
        <v>2024</v>
      </c>
      <c r="C42" s="12" t="str">
        <f>data!AQ$55</f>
        <v>7390</v>
      </c>
      <c r="D42" s="12" t="s">
        <v>1154</v>
      </c>
      <c r="E42" s="198">
        <f>ROUND(N(data!AQ59), 0)</f>
        <v>0</v>
      </c>
      <c r="F42" s="300">
        <f>ROUND(N(data!AQ60), 2)</f>
        <v>0</v>
      </c>
      <c r="G42" s="198">
        <f>ROUND(N(data!AQ61), 0)</f>
        <v>195</v>
      </c>
      <c r="H42" s="198">
        <f>ROUND(N(data!AQ62), 0)</f>
        <v>54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00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014</v>
      </c>
      <c r="B43" s="200" t="str">
        <f>RIGHT(data!$C$96,4)</f>
        <v>2024</v>
      </c>
      <c r="C43" s="12" t="str">
        <f>data!AR$55</f>
        <v>7400</v>
      </c>
      <c r="D43" s="12" t="s">
        <v>1154</v>
      </c>
      <c r="E43" s="198">
        <f>ROUND(N(data!AR59), 0)</f>
        <v>0</v>
      </c>
      <c r="F43" s="300">
        <f>ROUND(N(data!AR60), 2)</f>
        <v>63.77</v>
      </c>
      <c r="G43" s="198">
        <f>ROUND(N(data!AR61), 0)</f>
        <v>7244350</v>
      </c>
      <c r="H43" s="198">
        <f>ROUND(N(data!AR62), 0)</f>
        <v>1991559</v>
      </c>
      <c r="I43" s="198">
        <f>ROUND(N(data!AR63), 0)</f>
        <v>0</v>
      </c>
      <c r="J43" s="198">
        <f>ROUND(N(data!AR64), 0)</f>
        <v>12495481</v>
      </c>
      <c r="K43" s="198">
        <f>ROUND(N(data!AR65), 0)</f>
        <v>0</v>
      </c>
      <c r="L43" s="198">
        <f>ROUND(N(data!AR66), 0)</f>
        <v>57359</v>
      </c>
      <c r="M43" s="198">
        <f>ROUND(N(data!AR67), 0)</f>
        <v>3617</v>
      </c>
      <c r="N43" s="198">
        <f>ROUND(N(data!AR68), 0)</f>
        <v>600041</v>
      </c>
      <c r="O43" s="198">
        <f>ROUND(N(data!AR69), 0)</f>
        <v>441640</v>
      </c>
      <c r="P43" s="198">
        <f>ROUND(N(data!AR70), 0)</f>
        <v>0</v>
      </c>
      <c r="Q43" s="198">
        <f>ROUND(N(data!AR71), 0)</f>
        <v>21606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296614</v>
      </c>
      <c r="X43" s="198">
        <f>ROUND(N(data!AR78), 0)</f>
        <v>0</v>
      </c>
      <c r="Y43" s="198">
        <f>ROUND(N(data!AR79), 0)</f>
        <v>0</v>
      </c>
      <c r="Z43" s="198">
        <f>ROUND(N(data!AR80), 0)</f>
        <v>667</v>
      </c>
      <c r="AA43" s="198">
        <f>ROUND(N(data!AR81), 0)</f>
        <v>41824</v>
      </c>
      <c r="AB43" s="198">
        <f>ROUND(N(data!AR82), 0)</f>
        <v>52902</v>
      </c>
      <c r="AC43" s="198">
        <f>ROUND(N(data!AR83), 0)</f>
        <v>28027</v>
      </c>
      <c r="AD43" s="198">
        <f>ROUND(N(data!AR84), 0)</f>
        <v>0</v>
      </c>
      <c r="AE43" s="198">
        <f>ROUND(N(data!AR89), 0)</f>
        <v>90254202</v>
      </c>
      <c r="AF43" s="198">
        <f>ROUND(N(data!AR87), 0)</f>
        <v>10717</v>
      </c>
      <c r="AG43" s="198">
        <f>ROUND(N(data!AR90), 0)</f>
        <v>35</v>
      </c>
      <c r="AH43" s="198">
        <f>ROUND(N(data!AR91), 0)</f>
        <v>0</v>
      </c>
      <c r="AI43" s="198">
        <f>ROUND(N(data!AR92), 0)</f>
        <v>1919</v>
      </c>
      <c r="AJ43" s="198">
        <f>ROUND(N(data!AR93), 0)</f>
        <v>0</v>
      </c>
      <c r="AK43" s="300">
        <f>ROUND(N(data!AR94), 2)</f>
        <v>5.29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014</v>
      </c>
      <c r="B44" s="200" t="str">
        <f>RIGHT(data!$C$96,4)</f>
        <v>2024</v>
      </c>
      <c r="C44" s="12" t="str">
        <f>data!AS$55</f>
        <v>7410</v>
      </c>
      <c r="D44" s="12" t="s">
        <v>1154</v>
      </c>
      <c r="E44" s="198">
        <f>ROUND(N(data!AS59), 0)</f>
        <v>0</v>
      </c>
      <c r="F44" s="300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00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014</v>
      </c>
      <c r="B45" s="200" t="str">
        <f>RIGHT(data!$C$96,4)</f>
        <v>2024</v>
      </c>
      <c r="C45" s="12" t="str">
        <f>data!AT$55</f>
        <v>7420</v>
      </c>
      <c r="D45" s="12" t="s">
        <v>1154</v>
      </c>
      <c r="E45" s="198">
        <f>ROUND(N(data!AT59), 0)</f>
        <v>51</v>
      </c>
      <c r="F45" s="300">
        <f>ROUND(N(data!AT60), 2)</f>
        <v>5.2</v>
      </c>
      <c r="G45" s="198">
        <f>ROUND(N(data!AT61), 0)</f>
        <v>740208</v>
      </c>
      <c r="H45" s="198">
        <f>ROUND(N(data!AT62), 0)</f>
        <v>203492</v>
      </c>
      <c r="I45" s="198">
        <f>ROUND(N(data!AT63), 0)</f>
        <v>346927</v>
      </c>
      <c r="J45" s="198">
        <f>ROUND(N(data!AT64), 0)</f>
        <v>125395</v>
      </c>
      <c r="K45" s="198">
        <f>ROUND(N(data!AT65), 0)</f>
        <v>0</v>
      </c>
      <c r="L45" s="198">
        <f>ROUND(N(data!AT66), 0)</f>
        <v>3818174</v>
      </c>
      <c r="M45" s="198">
        <f>ROUND(N(data!AT67), 0)</f>
        <v>136326</v>
      </c>
      <c r="N45" s="198">
        <f>ROUND(N(data!AT68), 0)</f>
        <v>0</v>
      </c>
      <c r="O45" s="198">
        <f>ROUND(N(data!AT69), 0)</f>
        <v>10564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10564</v>
      </c>
      <c r="AD45" s="198">
        <f>ROUND(N(data!AT84), 0)</f>
        <v>700</v>
      </c>
      <c r="AE45" s="198">
        <f>ROUND(N(data!AT89), 0)</f>
        <v>7701500</v>
      </c>
      <c r="AF45" s="198">
        <f>ROUND(N(data!AT87), 0)</f>
        <v>7701500</v>
      </c>
      <c r="AG45" s="198">
        <f>ROUND(N(data!AT90), 0)</f>
        <v>1337</v>
      </c>
      <c r="AH45" s="198">
        <f>ROUND(N(data!AT91), 0)</f>
        <v>0</v>
      </c>
      <c r="AI45" s="198">
        <f>ROUND(N(data!AT92), 0)</f>
        <v>136</v>
      </c>
      <c r="AJ45" s="198">
        <f>ROUND(N(data!AT93), 0)</f>
        <v>0</v>
      </c>
      <c r="AK45" s="300">
        <f>ROUND(N(data!AT94), 2)</f>
        <v>2.4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014</v>
      </c>
      <c r="B46" s="200" t="str">
        <f>RIGHT(data!$C$96,4)</f>
        <v>2024</v>
      </c>
      <c r="C46" s="12" t="str">
        <f>data!AU$55</f>
        <v>7430</v>
      </c>
      <c r="D46" s="12" t="s">
        <v>1154</v>
      </c>
      <c r="E46" s="198">
        <f>ROUND(N(data!AU59), 0)</f>
        <v>0</v>
      </c>
      <c r="F46" s="300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00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014</v>
      </c>
      <c r="B47" s="200" t="str">
        <f>RIGHT(data!$C$96,4)</f>
        <v>2024</v>
      </c>
      <c r="C47" s="12" t="str">
        <f>data!AV$55</f>
        <v>7490</v>
      </c>
      <c r="D47" s="12" t="s">
        <v>1154</v>
      </c>
      <c r="E47" s="198">
        <f>ROUND(N(data!AV59), 0)</f>
        <v>0</v>
      </c>
      <c r="F47" s="300">
        <f>ROUND(N(data!AV60), 2)</f>
        <v>48.58</v>
      </c>
      <c r="G47" s="198">
        <f>ROUND(N(data!AV61), 0)</f>
        <v>6215373</v>
      </c>
      <c r="H47" s="198">
        <f>ROUND(N(data!AV62), 0)</f>
        <v>1708680</v>
      </c>
      <c r="I47" s="198">
        <f>ROUND(N(data!AV63), 0)</f>
        <v>1090550</v>
      </c>
      <c r="J47" s="198">
        <f>ROUND(N(data!AV64), 0)</f>
        <v>1082463</v>
      </c>
      <c r="K47" s="198">
        <f>ROUND(N(data!AV65), 0)</f>
        <v>0</v>
      </c>
      <c r="L47" s="198">
        <f>ROUND(N(data!AV66), 0)</f>
        <v>3262</v>
      </c>
      <c r="M47" s="198">
        <f>ROUND(N(data!AV67), 0)</f>
        <v>68479</v>
      </c>
      <c r="N47" s="198">
        <f>ROUND(N(data!AV68), 0)</f>
        <v>0</v>
      </c>
      <c r="O47" s="198">
        <f>ROUND(N(data!AV69), 0)</f>
        <v>183566</v>
      </c>
      <c r="P47" s="198">
        <f>ROUND(N(data!AV70), 0)</f>
        <v>0</v>
      </c>
      <c r="Q47" s="198">
        <f>ROUND(N(data!AV71), 0)</f>
        <v>0</v>
      </c>
      <c r="R47" s="198">
        <f>ROUND(N(data!AV72), 0)</f>
        <v>405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109627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27698</v>
      </c>
      <c r="AB47" s="198">
        <f>ROUND(N(data!AV82), 0)</f>
        <v>0</v>
      </c>
      <c r="AC47" s="198">
        <f>ROUND(N(data!AV83), 0)</f>
        <v>45837</v>
      </c>
      <c r="AD47" s="198">
        <f>ROUND(N(data!AV84), 0)</f>
        <v>1438150</v>
      </c>
      <c r="AE47" s="198">
        <f>ROUND(N(data!AV89), 0)</f>
        <v>24849999</v>
      </c>
      <c r="AF47" s="198">
        <f>ROUND(N(data!AV87), 0)</f>
        <v>24648849</v>
      </c>
      <c r="AG47" s="198">
        <f>ROUND(N(data!AV90), 0)</f>
        <v>671</v>
      </c>
      <c r="AH47" s="198">
        <f>ROUND(N(data!AV91), 0)</f>
        <v>0</v>
      </c>
      <c r="AI47" s="198">
        <f>ROUND(N(data!AV92), 0)</f>
        <v>226</v>
      </c>
      <c r="AJ47" s="198">
        <f>ROUND(N(data!AV93), 0)</f>
        <v>0</v>
      </c>
      <c r="AK47" s="300">
        <f>ROUND(N(data!AV94), 2)</f>
        <v>8.49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014</v>
      </c>
      <c r="B48" s="200" t="str">
        <f>RIGHT(data!$C$96,4)</f>
        <v>2024</v>
      </c>
      <c r="C48" s="12" t="str">
        <f>data!AW$55</f>
        <v>8200</v>
      </c>
      <c r="D48" s="12" t="s">
        <v>1154</v>
      </c>
      <c r="E48" s="198">
        <f>ROUND(N(data!AW59), 0)</f>
        <v>0</v>
      </c>
      <c r="F48" s="300">
        <f>ROUND(N(data!AW60), 2)</f>
        <v>1357.92</v>
      </c>
      <c r="G48" s="198">
        <f>ROUND(N(data!AW61), 0)</f>
        <v>135565457</v>
      </c>
      <c r="H48" s="198">
        <f>ROUND(N(data!AW62), 0)</f>
        <v>37268569</v>
      </c>
      <c r="I48" s="198">
        <f>ROUND(N(data!AW63), 0)</f>
        <v>157988997</v>
      </c>
      <c r="J48" s="198">
        <f>ROUND(N(data!AW64), 0)</f>
        <v>21269532</v>
      </c>
      <c r="K48" s="198">
        <f>ROUND(N(data!AW65), 0)</f>
        <v>0</v>
      </c>
      <c r="L48" s="198">
        <f>ROUND(N(data!AW66), 0)</f>
        <v>78993505</v>
      </c>
      <c r="M48" s="198">
        <f>ROUND(N(data!AW67), 0)</f>
        <v>563962</v>
      </c>
      <c r="N48" s="198">
        <f>ROUND(N(data!AW68), 0)</f>
        <v>7890692</v>
      </c>
      <c r="O48" s="198">
        <f>ROUND(N(data!AW69), 0)</f>
        <v>51458373</v>
      </c>
      <c r="P48" s="198">
        <f>ROUND(N(data!AW70), 0)</f>
        <v>0</v>
      </c>
      <c r="Q48" s="198">
        <f>ROUND(N(data!AW71), 0)</f>
        <v>2464275</v>
      </c>
      <c r="R48" s="198">
        <f>ROUND(N(data!AW72), 0)</f>
        <v>2017900</v>
      </c>
      <c r="S48" s="198">
        <f>ROUND(N(data!AW73), 0)</f>
        <v>961382</v>
      </c>
      <c r="T48" s="198">
        <f>ROUND(N(data!AW74), 0)</f>
        <v>0</v>
      </c>
      <c r="U48" s="198">
        <f>ROUND(N(data!AW75), 0)</f>
        <v>1156516</v>
      </c>
      <c r="V48" s="198">
        <f>ROUND(N(data!AW76), 0)</f>
        <v>0</v>
      </c>
      <c r="W48" s="198">
        <f>ROUND(N(data!AW77), 0)</f>
        <v>4678057</v>
      </c>
      <c r="X48" s="198">
        <f>ROUND(N(data!AW78), 0)</f>
        <v>0</v>
      </c>
      <c r="Y48" s="198">
        <f>ROUND(N(data!AW79), 0)</f>
        <v>246814</v>
      </c>
      <c r="Z48" s="198">
        <f>ROUND(N(data!AW80), 0)</f>
        <v>1062311</v>
      </c>
      <c r="AA48" s="198">
        <f>ROUND(N(data!AW81), 0)</f>
        <v>3033252</v>
      </c>
      <c r="AB48" s="198">
        <f>ROUND(N(data!AW82), 0)</f>
        <v>3758516</v>
      </c>
      <c r="AC48" s="198">
        <f>ROUND(N(data!AW83), 0)</f>
        <v>32079351</v>
      </c>
      <c r="AD48" s="198">
        <f>ROUND(N(data!AW84), 0)</f>
        <v>303748799</v>
      </c>
      <c r="AE48" s="198">
        <f>ROUND(N(data!AW89), 0)</f>
        <v>0</v>
      </c>
      <c r="AF48" s="198">
        <f>ROUND(N(data!AW87), 0)</f>
        <v>0</v>
      </c>
      <c r="AG48" s="198">
        <f>ROUND(N(data!AW90), 0)</f>
        <v>5530</v>
      </c>
      <c r="AH48" s="198">
        <f>ROUND(N(data!AW91), 0)</f>
        <v>0</v>
      </c>
      <c r="AI48" s="198">
        <f>ROUND(N(data!AW92), 0)</f>
        <v>1380</v>
      </c>
      <c r="AJ48" s="198">
        <f>ROUND(N(data!AW93), 0)</f>
        <v>18192</v>
      </c>
      <c r="AK48" s="300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014</v>
      </c>
      <c r="B49" s="200" t="str">
        <f>RIGHT(data!$C$96,4)</f>
        <v>2024</v>
      </c>
      <c r="C49" s="12" t="str">
        <f>data!AX$55</f>
        <v>8310</v>
      </c>
      <c r="D49" s="12" t="s">
        <v>1154</v>
      </c>
      <c r="E49" s="198">
        <f>ROUND(N(data!AX59), 0)</f>
        <v>0</v>
      </c>
      <c r="F49" s="300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348005</v>
      </c>
      <c r="K49" s="198">
        <f>ROUND(N(data!AX65), 0)</f>
        <v>0</v>
      </c>
      <c r="L49" s="198">
        <f>ROUND(N(data!AX66), 0)</f>
        <v>434324</v>
      </c>
      <c r="M49" s="198">
        <f>ROUND(N(data!AX67), 0)</f>
        <v>0</v>
      </c>
      <c r="N49" s="198">
        <f>ROUND(N(data!AX68), 0)</f>
        <v>408885</v>
      </c>
      <c r="O49" s="198">
        <f>ROUND(N(data!AX69), 0)</f>
        <v>6621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6621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00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014</v>
      </c>
      <c r="B50" s="200" t="str">
        <f>RIGHT(data!$C$96,4)</f>
        <v>2024</v>
      </c>
      <c r="C50" s="12" t="str">
        <f>data!AY$55</f>
        <v>8320</v>
      </c>
      <c r="D50" s="12" t="s">
        <v>1154</v>
      </c>
      <c r="E50" s="198">
        <f>ROUND(N(data!AY59), 0)</f>
        <v>1104198</v>
      </c>
      <c r="F50" s="300">
        <f>ROUND(N(data!AY60), 2)</f>
        <v>169.72</v>
      </c>
      <c r="G50" s="198">
        <f>ROUND(N(data!AY61), 0)</f>
        <v>12830597</v>
      </c>
      <c r="H50" s="198">
        <f>ROUND(N(data!AY62), 0)</f>
        <v>3527285</v>
      </c>
      <c r="I50" s="198">
        <f>ROUND(N(data!AY63), 0)</f>
        <v>34117</v>
      </c>
      <c r="J50" s="198">
        <f>ROUND(N(data!AY64), 0)</f>
        <v>3663834</v>
      </c>
      <c r="K50" s="198">
        <f>ROUND(N(data!AY65), 0)</f>
        <v>0</v>
      </c>
      <c r="L50" s="198">
        <f>ROUND(N(data!AY66), 0)</f>
        <v>136363</v>
      </c>
      <c r="M50" s="198">
        <f>ROUND(N(data!AY67), 0)</f>
        <v>5324817</v>
      </c>
      <c r="N50" s="198">
        <f>ROUND(N(data!AY68), 0)</f>
        <v>0</v>
      </c>
      <c r="O50" s="198">
        <f>ROUND(N(data!AY69), 0)</f>
        <v>250126</v>
      </c>
      <c r="P50" s="198">
        <f>ROUND(N(data!AY70), 0)</f>
        <v>0</v>
      </c>
      <c r="Q50" s="198">
        <f>ROUND(N(data!AY71), 0)</f>
        <v>0</v>
      </c>
      <c r="R50" s="198">
        <f>ROUND(N(data!AY72), 0)</f>
        <v>26193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26611</v>
      </c>
      <c r="X50" s="198">
        <f>ROUND(N(data!AY78), 0)</f>
        <v>0</v>
      </c>
      <c r="Y50" s="198">
        <f>ROUND(N(data!AY79), 0)</f>
        <v>0</v>
      </c>
      <c r="Z50" s="198">
        <f>ROUND(N(data!AY80), 0)</f>
        <v>349</v>
      </c>
      <c r="AA50" s="198">
        <f>ROUND(N(data!AY81), 0)</f>
        <v>22196</v>
      </c>
      <c r="AB50" s="198">
        <f>ROUND(N(data!AY82), 0)</f>
        <v>0</v>
      </c>
      <c r="AC50" s="198">
        <f>ROUND(N(data!AY83), 0)</f>
        <v>174777</v>
      </c>
      <c r="AD50" s="198">
        <f>ROUND(N(data!AY84), 0)</f>
        <v>4003477</v>
      </c>
      <c r="AE50" s="198">
        <f>ROUND(N(data!AY89), 0)</f>
        <v>0</v>
      </c>
      <c r="AF50" s="198">
        <f>ROUND(N(data!AY87), 0)</f>
        <v>0</v>
      </c>
      <c r="AG50" s="198">
        <f>ROUND(N(data!AY90), 0)</f>
        <v>52209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00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014</v>
      </c>
      <c r="B51" s="200" t="str">
        <f>RIGHT(data!$C$96,4)</f>
        <v>2024</v>
      </c>
      <c r="C51" s="12" t="str">
        <f>data!AZ$55</f>
        <v>8330</v>
      </c>
      <c r="D51" s="12" t="s">
        <v>1154</v>
      </c>
      <c r="E51" s="198">
        <f>ROUND(N(data!AZ59), 0)</f>
        <v>0</v>
      </c>
      <c r="F51" s="300">
        <f>ROUND(N(data!AZ60), 2)</f>
        <v>1.82</v>
      </c>
      <c r="G51" s="198">
        <f>ROUND(N(data!AZ61), 0)</f>
        <v>107483</v>
      </c>
      <c r="H51" s="198">
        <f>ROUND(N(data!AZ62), 0)</f>
        <v>29548</v>
      </c>
      <c r="I51" s="198">
        <f>ROUND(N(data!AZ63), 0)</f>
        <v>0</v>
      </c>
      <c r="J51" s="198">
        <f>ROUND(N(data!AZ64), 0)</f>
        <v>93576</v>
      </c>
      <c r="K51" s="198">
        <f>ROUND(N(data!AZ65), 0)</f>
        <v>0</v>
      </c>
      <c r="L51" s="198">
        <f>ROUND(N(data!AZ66), 0)</f>
        <v>0</v>
      </c>
      <c r="M51" s="198">
        <f>ROUND(N(data!AZ67), 0)</f>
        <v>133307</v>
      </c>
      <c r="N51" s="198">
        <f>ROUND(N(data!AZ68), 0)</f>
        <v>0</v>
      </c>
      <c r="O51" s="198">
        <f>ROUND(N(data!AZ69), 0)</f>
        <v>2140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812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1329</v>
      </c>
      <c r="AB51" s="198">
        <f>ROUND(N(data!AZ82), 0)</f>
        <v>0</v>
      </c>
      <c r="AC51" s="198">
        <f>ROUND(N(data!AZ83), 0)</f>
        <v>-1</v>
      </c>
      <c r="AD51" s="198">
        <f>ROUND(N(data!AZ84), 0)</f>
        <v>207857</v>
      </c>
      <c r="AE51" s="198">
        <f>ROUND(N(data!AZ89), 0)</f>
        <v>0</v>
      </c>
      <c r="AF51" s="198">
        <f>ROUND(N(data!AZ87), 0)</f>
        <v>0</v>
      </c>
      <c r="AG51" s="198">
        <f>ROUND(N(data!AZ90), 0)</f>
        <v>1307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00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014</v>
      </c>
      <c r="B52" s="200" t="str">
        <f>RIGHT(data!$C$96,4)</f>
        <v>2024</v>
      </c>
      <c r="C52" s="12" t="str">
        <f>data!BA$55</f>
        <v>8350</v>
      </c>
      <c r="D52" s="12" t="s">
        <v>1154</v>
      </c>
      <c r="E52" s="198">
        <f>ROUND(N(data!BA59), 0)</f>
        <v>0</v>
      </c>
      <c r="F52" s="300">
        <f>ROUND(N(data!BA60), 2)</f>
        <v>6.15</v>
      </c>
      <c r="G52" s="198">
        <f>ROUND(N(data!BA61), 0)</f>
        <v>388437</v>
      </c>
      <c r="H52" s="198">
        <f>ROUND(N(data!BA62), 0)</f>
        <v>106786</v>
      </c>
      <c r="I52" s="198">
        <f>ROUND(N(data!BA63), 0)</f>
        <v>0</v>
      </c>
      <c r="J52" s="198">
        <f>ROUND(N(data!BA64), 0)</f>
        <v>10910</v>
      </c>
      <c r="K52" s="198">
        <f>ROUND(N(data!BA65), 0)</f>
        <v>0</v>
      </c>
      <c r="L52" s="198">
        <f>ROUND(N(data!BA66), 0)</f>
        <v>-1</v>
      </c>
      <c r="M52" s="198">
        <f>ROUND(N(data!BA67), 0)</f>
        <v>124591</v>
      </c>
      <c r="N52" s="198">
        <f>ROUND(N(data!BA68), 0)</f>
        <v>0</v>
      </c>
      <c r="O52" s="198">
        <f>ROUND(N(data!BA69), 0)</f>
        <v>3879152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3879152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1222</v>
      </c>
      <c r="AH52" s="198">
        <f>ROUND(N(data!BA91), 0)</f>
        <v>0</v>
      </c>
      <c r="AI52" s="198">
        <f>ROUND(N(data!BA92), 0)</f>
        <v>107</v>
      </c>
      <c r="AJ52" s="198">
        <f>ROUND(N(data!BA93), 0)</f>
        <v>0</v>
      </c>
      <c r="AK52" s="300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014</v>
      </c>
      <c r="B53" s="200" t="str">
        <f>RIGHT(data!$C$96,4)</f>
        <v>2024</v>
      </c>
      <c r="C53" s="12" t="str">
        <f>data!BB$55</f>
        <v>8360</v>
      </c>
      <c r="D53" s="12" t="s">
        <v>1154</v>
      </c>
      <c r="E53" s="198">
        <f>ROUND(N(data!BB59), 0)</f>
        <v>0</v>
      </c>
      <c r="F53" s="300">
        <f>ROUND(N(data!BB60), 2)</f>
        <v>157.97999999999999</v>
      </c>
      <c r="G53" s="198">
        <f>ROUND(N(data!BB61), 0)</f>
        <v>15934506</v>
      </c>
      <c r="H53" s="198">
        <f>ROUND(N(data!BB62), 0)</f>
        <v>4380587</v>
      </c>
      <c r="I53" s="198">
        <f>ROUND(N(data!BB63), 0)</f>
        <v>503718</v>
      </c>
      <c r="J53" s="198">
        <f>ROUND(N(data!BB64), 0)</f>
        <v>283901</v>
      </c>
      <c r="K53" s="198">
        <f>ROUND(N(data!BB65), 0)</f>
        <v>0</v>
      </c>
      <c r="L53" s="198">
        <f>ROUND(N(data!BB66), 0)</f>
        <v>5264437</v>
      </c>
      <c r="M53" s="198">
        <f>ROUND(N(data!BB67), 0)</f>
        <v>1919303</v>
      </c>
      <c r="N53" s="198">
        <f>ROUND(N(data!BB68), 0)</f>
        <v>578</v>
      </c>
      <c r="O53" s="198">
        <f>ROUND(N(data!BB69), 0)</f>
        <v>365832</v>
      </c>
      <c r="P53" s="198">
        <f>ROUND(N(data!BB70), 0)</f>
        <v>0</v>
      </c>
      <c r="Q53" s="198">
        <f>ROUND(N(data!BB71), 0)</f>
        <v>54542</v>
      </c>
      <c r="R53" s="198">
        <f>ROUND(N(data!BB72), 0)</f>
        <v>4333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4610</v>
      </c>
      <c r="AA53" s="198">
        <f>ROUND(N(data!BB81), 0)</f>
        <v>0</v>
      </c>
      <c r="AB53" s="198">
        <f>ROUND(N(data!BB82), 0)</f>
        <v>0</v>
      </c>
      <c r="AC53" s="198">
        <f>ROUND(N(data!BB83), 0)</f>
        <v>302347</v>
      </c>
      <c r="AD53" s="198">
        <f>ROUND(N(data!BB84), 0)</f>
        <v>-290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18819</v>
      </c>
      <c r="AH53" s="198">
        <f>ROUND(N(data!BB91), 0)</f>
        <v>0</v>
      </c>
      <c r="AI53" s="198">
        <f>ROUND(N(data!BB92), 0)</f>
        <v>1794</v>
      </c>
      <c r="AJ53" s="198">
        <f>ROUND(N(data!BB93), 0)</f>
        <v>0</v>
      </c>
      <c r="AK53" s="300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014</v>
      </c>
      <c r="B54" s="200" t="str">
        <f>RIGHT(data!$C$96,4)</f>
        <v>2024</v>
      </c>
      <c r="C54" s="12" t="str">
        <f>data!BC$55</f>
        <v>8370</v>
      </c>
      <c r="D54" s="12" t="s">
        <v>1154</v>
      </c>
      <c r="E54" s="198">
        <f>ROUND(N(data!BC59), 0)</f>
        <v>0</v>
      </c>
      <c r="F54" s="300">
        <f>ROUND(N(data!BC60), 2)</f>
        <v>4.29</v>
      </c>
      <c r="G54" s="198">
        <f>ROUND(N(data!BC61), 0)</f>
        <v>238864</v>
      </c>
      <c r="H54" s="198">
        <f>ROUND(N(data!BC62), 0)</f>
        <v>65666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94996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931</v>
      </c>
      <c r="AH54" s="198">
        <f>ROUND(N(data!BC91), 0)</f>
        <v>0</v>
      </c>
      <c r="AI54" s="198">
        <f>ROUND(N(data!BC92), 0)</f>
        <v>82</v>
      </c>
      <c r="AJ54" s="198">
        <f>ROUND(N(data!BC93), 0)</f>
        <v>0</v>
      </c>
      <c r="AK54" s="300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014</v>
      </c>
      <c r="B55" s="200" t="str">
        <f>RIGHT(data!$C$96,4)</f>
        <v>2024</v>
      </c>
      <c r="C55" s="12" t="str">
        <f>data!BD$55</f>
        <v>8420</v>
      </c>
      <c r="D55" s="12" t="s">
        <v>1154</v>
      </c>
      <c r="E55" s="198">
        <f>ROUND(N(data!BD59), 0)</f>
        <v>0</v>
      </c>
      <c r="F55" s="300">
        <f>ROUND(N(data!BD60), 2)</f>
        <v>19.45</v>
      </c>
      <c r="G55" s="198">
        <f>ROUND(N(data!BD61), 0)</f>
        <v>2145010</v>
      </c>
      <c r="H55" s="198">
        <f>ROUND(N(data!BD62), 0)</f>
        <v>589689</v>
      </c>
      <c r="I55" s="198">
        <f>ROUND(N(data!BD63), 0)</f>
        <v>0</v>
      </c>
      <c r="J55" s="198">
        <f>ROUND(N(data!BD64), 0)</f>
        <v>154102</v>
      </c>
      <c r="K55" s="198">
        <f>ROUND(N(data!BD65), 0)</f>
        <v>0</v>
      </c>
      <c r="L55" s="198">
        <f>ROUND(N(data!BD66), 0)</f>
        <v>240138</v>
      </c>
      <c r="M55" s="198">
        <f>ROUND(N(data!BD67), 0)</f>
        <v>0</v>
      </c>
      <c r="N55" s="198">
        <f>ROUND(N(data!BD68), 0)</f>
        <v>0</v>
      </c>
      <c r="O55" s="198">
        <f>ROUND(N(data!BD69), 0)</f>
        <v>99250</v>
      </c>
      <c r="P55" s="198">
        <f>ROUND(N(data!BD70), 0)</f>
        <v>0</v>
      </c>
      <c r="Q55" s="198">
        <f>ROUND(N(data!BD71), 0)</f>
        <v>0</v>
      </c>
      <c r="R55" s="198">
        <f>ROUND(N(data!BD72), 0)</f>
        <v>39168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60083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00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014</v>
      </c>
      <c r="B56" s="200" t="str">
        <f>RIGHT(data!$C$96,4)</f>
        <v>2024</v>
      </c>
      <c r="C56" s="12" t="str">
        <f>data!BE$55</f>
        <v>8430</v>
      </c>
      <c r="D56" s="12" t="s">
        <v>1154</v>
      </c>
      <c r="E56" s="198">
        <f>ROUND(N(data!BE59), 0)</f>
        <v>1387128</v>
      </c>
      <c r="F56" s="300">
        <f>ROUND(N(data!BE60), 2)</f>
        <v>242.3</v>
      </c>
      <c r="G56" s="198">
        <f>ROUND(N(data!BE61), 0)</f>
        <v>23885294</v>
      </c>
      <c r="H56" s="198">
        <f>ROUND(N(data!BE62), 0)</f>
        <v>6566354</v>
      </c>
      <c r="I56" s="198">
        <f>ROUND(N(data!BE63), 0)</f>
        <v>261164</v>
      </c>
      <c r="J56" s="198">
        <f>ROUND(N(data!BE64), 0)</f>
        <v>969330</v>
      </c>
      <c r="K56" s="198">
        <f>ROUND(N(data!BE65), 0)</f>
        <v>0</v>
      </c>
      <c r="L56" s="198">
        <f>ROUND(N(data!BE66), 0)</f>
        <v>13743324</v>
      </c>
      <c r="M56" s="198">
        <f>ROUND(N(data!BE67), 0)</f>
        <v>47307730</v>
      </c>
      <c r="N56" s="198">
        <f>ROUND(N(data!BE68), 0)</f>
        <v>1393355</v>
      </c>
      <c r="O56" s="198">
        <f>ROUND(N(data!BE69), 0)</f>
        <v>25000524</v>
      </c>
      <c r="P56" s="198">
        <f>ROUND(N(data!BE70), 0)</f>
        <v>0</v>
      </c>
      <c r="Q56" s="198">
        <f>ROUND(N(data!BE71), 0)</f>
        <v>236000</v>
      </c>
      <c r="R56" s="198">
        <f>ROUND(N(data!BE72), 0)</f>
        <v>333716</v>
      </c>
      <c r="S56" s="198">
        <f>ROUND(N(data!BE73), 0)</f>
        <v>274421</v>
      </c>
      <c r="T56" s="198">
        <f>ROUND(N(data!BE74), 0)</f>
        <v>0</v>
      </c>
      <c r="U56" s="198">
        <f>ROUND(N(data!BE75), 0)</f>
        <v>18770</v>
      </c>
      <c r="V56" s="198">
        <f>ROUND(N(data!BE76), 0)</f>
        <v>0</v>
      </c>
      <c r="W56" s="198">
        <f>ROUND(N(data!BE77), 0)</f>
        <v>11852082</v>
      </c>
      <c r="X56" s="198">
        <f>ROUND(N(data!BE78), 0)</f>
        <v>0</v>
      </c>
      <c r="Y56" s="198">
        <f>ROUND(N(data!BE79), 0)</f>
        <v>26533</v>
      </c>
      <c r="Z56" s="198">
        <f>ROUND(N(data!BE80), 0)</f>
        <v>39116</v>
      </c>
      <c r="AA56" s="198">
        <f>ROUND(N(data!BE81), 0)</f>
        <v>1607579</v>
      </c>
      <c r="AB56" s="198">
        <f>ROUND(N(data!BE82), 0)</f>
        <v>10594896</v>
      </c>
      <c r="AC56" s="198">
        <f>ROUND(N(data!BE83), 0)</f>
        <v>17412</v>
      </c>
      <c r="AD56" s="198">
        <f>ROUND(N(data!BE84), 0)</f>
        <v>8061465</v>
      </c>
      <c r="AE56" s="198">
        <f>ROUND(N(data!BE89), 0)</f>
        <v>0</v>
      </c>
      <c r="AF56" s="198">
        <f>ROUND(N(data!BE87), 0)</f>
        <v>0</v>
      </c>
      <c r="AG56" s="198">
        <f>ROUND(N(data!BE90), 0)</f>
        <v>463847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00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014</v>
      </c>
      <c r="B57" s="200" t="str">
        <f>RIGHT(data!$C$96,4)</f>
        <v>2024</v>
      </c>
      <c r="C57" s="12" t="str">
        <f>data!BF$55</f>
        <v>8460</v>
      </c>
      <c r="D57" s="12" t="s">
        <v>1154</v>
      </c>
      <c r="E57" s="198">
        <f>ROUND(N(data!BF59), 0)</f>
        <v>0</v>
      </c>
      <c r="F57" s="300">
        <f>ROUND(N(data!BF60), 2)</f>
        <v>222.31</v>
      </c>
      <c r="G57" s="198">
        <f>ROUND(N(data!BF61), 0)</f>
        <v>13995005</v>
      </c>
      <c r="H57" s="198">
        <f>ROUND(N(data!BF62), 0)</f>
        <v>3847395</v>
      </c>
      <c r="I57" s="198">
        <f>ROUND(N(data!BF63), 0)</f>
        <v>0</v>
      </c>
      <c r="J57" s="198">
        <f>ROUND(N(data!BF64), 0)</f>
        <v>1600405</v>
      </c>
      <c r="K57" s="198">
        <f>ROUND(N(data!BF65), 0)</f>
        <v>0</v>
      </c>
      <c r="L57" s="198">
        <f>ROUND(N(data!BF66), 0)</f>
        <v>1154442</v>
      </c>
      <c r="M57" s="198">
        <f>ROUND(N(data!BF67), 0)</f>
        <v>896430</v>
      </c>
      <c r="N57" s="198">
        <f>ROUND(N(data!BF68), 0)</f>
        <v>0</v>
      </c>
      <c r="O57" s="198">
        <f>ROUND(N(data!BF69), 0)</f>
        <v>1255214</v>
      </c>
      <c r="P57" s="198">
        <f>ROUND(N(data!BF70), 0)</f>
        <v>0</v>
      </c>
      <c r="Q57" s="198">
        <f>ROUND(N(data!BF71), 0)</f>
        <v>0</v>
      </c>
      <c r="R57" s="198">
        <f>ROUND(N(data!BF72), 0)</f>
        <v>622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95381</v>
      </c>
      <c r="X57" s="198">
        <f>ROUND(N(data!BF78), 0)</f>
        <v>0</v>
      </c>
      <c r="Y57" s="198">
        <f>ROUND(N(data!BF79), 0)</f>
        <v>0</v>
      </c>
      <c r="Z57" s="198">
        <f>ROUND(N(data!BF80), 0)</f>
        <v>510</v>
      </c>
      <c r="AA57" s="198">
        <f>ROUND(N(data!BF81), 0)</f>
        <v>0</v>
      </c>
      <c r="AB57" s="198">
        <f>ROUND(N(data!BF82), 0)</f>
        <v>1124021</v>
      </c>
      <c r="AC57" s="198">
        <f>ROUND(N(data!BF83), 0)</f>
        <v>34681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8789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00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014</v>
      </c>
      <c r="B58" s="200" t="str">
        <f>RIGHT(data!$C$96,4)</f>
        <v>2024</v>
      </c>
      <c r="C58" s="12" t="str">
        <f>data!BG$55</f>
        <v>8470</v>
      </c>
      <c r="D58" s="12" t="s">
        <v>1154</v>
      </c>
      <c r="E58" s="198">
        <f>ROUND(N(data!BG59), 0)</f>
        <v>0</v>
      </c>
      <c r="F58" s="300">
        <f>ROUND(N(data!BG60), 2)</f>
        <v>21.37</v>
      </c>
      <c r="G58" s="198">
        <f>ROUND(N(data!BG61), 0)</f>
        <v>1949475</v>
      </c>
      <c r="H58" s="198">
        <f>ROUND(N(data!BG62), 0)</f>
        <v>535934</v>
      </c>
      <c r="I58" s="198">
        <f>ROUND(N(data!BG63), 0)</f>
        <v>0</v>
      </c>
      <c r="J58" s="198">
        <f>ROUND(N(data!BG64), 0)</f>
        <v>3666</v>
      </c>
      <c r="K58" s="198">
        <f>ROUND(N(data!BG65), 0)</f>
        <v>0</v>
      </c>
      <c r="L58" s="198">
        <f>ROUND(N(data!BG66), 0)</f>
        <v>1046825</v>
      </c>
      <c r="M58" s="198">
        <f>ROUND(N(data!BG67), 0)</f>
        <v>202547</v>
      </c>
      <c r="N58" s="198">
        <f>ROUND(N(data!BG68), 0)</f>
        <v>0</v>
      </c>
      <c r="O58" s="198">
        <f>ROUND(N(data!BG69), 0)</f>
        <v>1982264</v>
      </c>
      <c r="P58" s="198">
        <f>ROUND(N(data!BG70), 0)</f>
        <v>0</v>
      </c>
      <c r="Q58" s="198">
        <f>ROUND(N(data!BG71), 0)</f>
        <v>6768</v>
      </c>
      <c r="R58" s="198">
        <f>ROUND(N(data!BG72), 0)</f>
        <v>468261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314752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1190552</v>
      </c>
      <c r="AC58" s="198">
        <f>ROUND(N(data!BG83), 0)</f>
        <v>1932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1986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00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014</v>
      </c>
      <c r="B59" s="200" t="str">
        <f>RIGHT(data!$C$96,4)</f>
        <v>2024</v>
      </c>
      <c r="C59" s="12" t="str">
        <f>data!BH$55</f>
        <v>8480</v>
      </c>
      <c r="D59" s="12" t="s">
        <v>1154</v>
      </c>
      <c r="E59" s="198">
        <f>ROUND(N(data!BH59), 0)</f>
        <v>0</v>
      </c>
      <c r="F59" s="300">
        <f>ROUND(N(data!BH60), 2)</f>
        <v>306.56</v>
      </c>
      <c r="G59" s="198">
        <f>ROUND(N(data!BH61), 0)</f>
        <v>44654183</v>
      </c>
      <c r="H59" s="198">
        <f>ROUND(N(data!BH62), 0)</f>
        <v>12275970</v>
      </c>
      <c r="I59" s="198">
        <f>ROUND(N(data!BH63), 0)</f>
        <v>1171422</v>
      </c>
      <c r="J59" s="198">
        <f>ROUND(N(data!BH64), 0)</f>
        <v>192463</v>
      </c>
      <c r="K59" s="198">
        <f>ROUND(N(data!BH65), 0)</f>
        <v>0</v>
      </c>
      <c r="L59" s="198">
        <f>ROUND(N(data!BH66), 0)</f>
        <v>19910740</v>
      </c>
      <c r="M59" s="198">
        <f>ROUND(N(data!BH67), 0)</f>
        <v>1518895</v>
      </c>
      <c r="N59" s="198">
        <f>ROUND(N(data!BH68), 0)</f>
        <v>907957</v>
      </c>
      <c r="O59" s="198">
        <f>ROUND(N(data!BH69), 0)</f>
        <v>32481939</v>
      </c>
      <c r="P59" s="198">
        <f>ROUND(N(data!BH70), 0)</f>
        <v>0</v>
      </c>
      <c r="Q59" s="198">
        <f>ROUND(N(data!BH71), 0)</f>
        <v>98488</v>
      </c>
      <c r="R59" s="198">
        <f>ROUND(N(data!BH72), 0)</f>
        <v>27039958</v>
      </c>
      <c r="S59" s="198">
        <f>ROUND(N(data!BH73), 0)</f>
        <v>0</v>
      </c>
      <c r="T59" s="198">
        <f>ROUND(N(data!BH74), 0)</f>
        <v>0</v>
      </c>
      <c r="U59" s="198">
        <f>ROUND(N(data!BH75), 0)</f>
        <v>44224</v>
      </c>
      <c r="V59" s="198">
        <f>ROUND(N(data!BH76), 0)</f>
        <v>0</v>
      </c>
      <c r="W59" s="198">
        <f>ROUND(N(data!BH77), 0)</f>
        <v>3153455</v>
      </c>
      <c r="X59" s="198">
        <f>ROUND(N(data!BH78), 0)</f>
        <v>0</v>
      </c>
      <c r="Y59" s="198">
        <f>ROUND(N(data!BH79), 0)</f>
        <v>0</v>
      </c>
      <c r="Z59" s="198">
        <f>ROUND(N(data!BH80), 0)</f>
        <v>47892</v>
      </c>
      <c r="AA59" s="198">
        <f>ROUND(N(data!BH81), 0)</f>
        <v>0</v>
      </c>
      <c r="AB59" s="198">
        <f>ROUND(N(data!BH82), 0)</f>
        <v>1798064</v>
      </c>
      <c r="AC59" s="198">
        <f>ROUND(N(data!BH83), 0)</f>
        <v>299859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14893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00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014</v>
      </c>
      <c r="B60" s="200" t="str">
        <f>RIGHT(data!$C$96,4)</f>
        <v>2024</v>
      </c>
      <c r="C60" s="12" t="str">
        <f>data!BI$55</f>
        <v>8490</v>
      </c>
      <c r="D60" s="12" t="s">
        <v>1154</v>
      </c>
      <c r="E60" s="198">
        <f>ROUND(N(data!BI59), 0)</f>
        <v>0</v>
      </c>
      <c r="F60" s="300">
        <f>ROUND(N(data!BI60), 2)</f>
        <v>39.369999999999997</v>
      </c>
      <c r="G60" s="198">
        <f>ROUND(N(data!BI61), 0)</f>
        <v>3719578</v>
      </c>
      <c r="H60" s="198">
        <f>ROUND(N(data!BI62), 0)</f>
        <v>1022557</v>
      </c>
      <c r="I60" s="198">
        <f>ROUND(N(data!BI63), 0)</f>
        <v>0</v>
      </c>
      <c r="J60" s="198">
        <f>ROUND(N(data!BI64), 0)</f>
        <v>70757</v>
      </c>
      <c r="K60" s="198">
        <f>ROUND(N(data!BI65), 0)</f>
        <v>0</v>
      </c>
      <c r="L60" s="198">
        <f>ROUND(N(data!BI66), 0)</f>
        <v>2325091</v>
      </c>
      <c r="M60" s="198">
        <f>ROUND(N(data!BI67), 0)</f>
        <v>370393</v>
      </c>
      <c r="N60" s="198">
        <f>ROUND(N(data!BI68), 0)</f>
        <v>1875985</v>
      </c>
      <c r="O60" s="198">
        <f>ROUND(N(data!BI69), 0)</f>
        <v>195950</v>
      </c>
      <c r="P60" s="198">
        <f>ROUND(N(data!BI70), 0)</f>
        <v>0</v>
      </c>
      <c r="Q60" s="198">
        <f>ROUND(N(data!BI71), 0)</f>
        <v>0</v>
      </c>
      <c r="R60" s="198">
        <f>ROUND(N(data!BI72), 0)</f>
        <v>370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452798</v>
      </c>
      <c r="X60" s="198">
        <f>ROUND(N(data!BI78), 0)</f>
        <v>0</v>
      </c>
      <c r="Y60" s="198">
        <f>ROUND(N(data!BI79), 0)</f>
        <v>0</v>
      </c>
      <c r="Z60" s="198">
        <f>ROUND(N(data!BI80), 0)</f>
        <v>838</v>
      </c>
      <c r="AA60" s="198">
        <f>ROUND(N(data!BI81), 0)</f>
        <v>14849</v>
      </c>
      <c r="AB60" s="198">
        <f>ROUND(N(data!BI82), 0)</f>
        <v>216360</v>
      </c>
      <c r="AC60" s="198">
        <f>ROUND(N(data!BI83), 0)</f>
        <v>-489264</v>
      </c>
      <c r="AD60" s="198">
        <f>ROUND(N(data!BI84), 0)</f>
        <v>1861230</v>
      </c>
      <c r="AE60" s="198">
        <f>ROUND(N(data!BI89), 0)</f>
        <v>0</v>
      </c>
      <c r="AF60" s="198">
        <f>ROUND(N(data!BI87), 0)</f>
        <v>0</v>
      </c>
      <c r="AG60" s="198">
        <f>ROUND(N(data!BI90), 0)</f>
        <v>3632</v>
      </c>
      <c r="AH60" s="198">
        <f>ROUND(N(data!BI91), 0)</f>
        <v>0</v>
      </c>
      <c r="AI60" s="198">
        <f>ROUND(N(data!BI92), 0)</f>
        <v>0</v>
      </c>
      <c r="AJ60" s="198">
        <f>ROUND(N(data!BI93), 0)</f>
        <v>8415</v>
      </c>
      <c r="AK60" s="300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014</v>
      </c>
      <c r="B61" s="200" t="str">
        <f>RIGHT(data!$C$96,4)</f>
        <v>2024</v>
      </c>
      <c r="C61" s="12" t="str">
        <f>data!BJ$55</f>
        <v>8510</v>
      </c>
      <c r="D61" s="12" t="s">
        <v>1154</v>
      </c>
      <c r="E61" s="198">
        <f>ROUND(N(data!BJ59), 0)</f>
        <v>0</v>
      </c>
      <c r="F61" s="300">
        <f>ROUND(N(data!BJ60), 2)</f>
        <v>50.62</v>
      </c>
      <c r="G61" s="198">
        <f>ROUND(N(data!BJ61), 0)</f>
        <v>6128061</v>
      </c>
      <c r="H61" s="198">
        <f>ROUND(N(data!BJ62), 0)</f>
        <v>1684677</v>
      </c>
      <c r="I61" s="198">
        <f>ROUND(N(data!BJ63), 0)</f>
        <v>0</v>
      </c>
      <c r="J61" s="198">
        <f>ROUND(N(data!BJ64), 0)</f>
        <v>170592</v>
      </c>
      <c r="K61" s="198">
        <f>ROUND(N(data!BJ65), 0)</f>
        <v>0</v>
      </c>
      <c r="L61" s="198">
        <f>ROUND(N(data!BJ66), 0)</f>
        <v>2387045</v>
      </c>
      <c r="M61" s="198">
        <f>ROUND(N(data!BJ67), 0)</f>
        <v>0</v>
      </c>
      <c r="N61" s="198">
        <f>ROUND(N(data!BJ68), 0)</f>
        <v>0</v>
      </c>
      <c r="O61" s="198">
        <f>ROUND(N(data!BJ69), 0)</f>
        <v>4215977</v>
      </c>
      <c r="P61" s="198">
        <f>ROUND(N(data!BJ70), 0)</f>
        <v>0</v>
      </c>
      <c r="Q61" s="198">
        <f>ROUND(N(data!BJ71), 0)</f>
        <v>0</v>
      </c>
      <c r="R61" s="198">
        <f>ROUND(N(data!BJ72), 0)</f>
        <v>3977859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1304</v>
      </c>
      <c r="X61" s="198">
        <f>ROUND(N(data!BJ78), 0)</f>
        <v>0</v>
      </c>
      <c r="Y61" s="198">
        <f>ROUND(N(data!BJ79), 0)</f>
        <v>0</v>
      </c>
      <c r="Z61" s="198">
        <f>ROUND(N(data!BJ80), 0)</f>
        <v>151060</v>
      </c>
      <c r="AA61" s="198">
        <f>ROUND(N(data!BJ81), 0)</f>
        <v>0</v>
      </c>
      <c r="AB61" s="198">
        <f>ROUND(N(data!BJ82), 0)</f>
        <v>0</v>
      </c>
      <c r="AC61" s="198">
        <f>ROUND(N(data!BJ83), 0)</f>
        <v>85753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00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014</v>
      </c>
      <c r="B62" s="200" t="str">
        <f>RIGHT(data!$C$96,4)</f>
        <v>2024</v>
      </c>
      <c r="C62" s="12" t="str">
        <f>data!BK$55</f>
        <v>8530</v>
      </c>
      <c r="D62" s="12" t="s">
        <v>1154</v>
      </c>
      <c r="E62" s="198">
        <f>ROUND(N(data!BK59), 0)</f>
        <v>0</v>
      </c>
      <c r="F62" s="300">
        <f>ROUND(N(data!BK60), 2)</f>
        <v>210.36</v>
      </c>
      <c r="G62" s="198">
        <f>ROUND(N(data!BK61), 0)</f>
        <v>19348898</v>
      </c>
      <c r="H62" s="198">
        <f>ROUND(N(data!BK62), 0)</f>
        <v>5319244</v>
      </c>
      <c r="I62" s="198">
        <f>ROUND(N(data!BK63), 0)</f>
        <v>0</v>
      </c>
      <c r="J62" s="198">
        <f>ROUND(N(data!BK64), 0)</f>
        <v>151946</v>
      </c>
      <c r="K62" s="198">
        <f>ROUND(N(data!BK65), 0)</f>
        <v>0</v>
      </c>
      <c r="L62" s="198">
        <f>ROUND(N(data!BK66), 0)</f>
        <v>2499242</v>
      </c>
      <c r="M62" s="198">
        <f>ROUND(N(data!BK67), 0)</f>
        <v>0</v>
      </c>
      <c r="N62" s="198">
        <f>ROUND(N(data!BK68), 0)</f>
        <v>0</v>
      </c>
      <c r="O62" s="198">
        <f>ROUND(N(data!BK69), 0)</f>
        <v>1611185</v>
      </c>
      <c r="P62" s="198">
        <f>ROUND(N(data!BK70), 0)</f>
        <v>0</v>
      </c>
      <c r="Q62" s="198">
        <f>ROUND(N(data!BK71), 0)</f>
        <v>140853</v>
      </c>
      <c r="R62" s="198">
        <f>ROUND(N(data!BK72), 0)</f>
        <v>20977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10038</v>
      </c>
      <c r="AA62" s="198">
        <f>ROUND(N(data!BK81), 0)</f>
        <v>0</v>
      </c>
      <c r="AB62" s="198">
        <f>ROUND(N(data!BK82), 0)</f>
        <v>0</v>
      </c>
      <c r="AC62" s="198">
        <f>ROUND(N(data!BK83), 0)</f>
        <v>1439316</v>
      </c>
      <c r="AD62" s="198">
        <f>ROUND(N(data!BK84), 0)</f>
        <v>10563863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00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014</v>
      </c>
      <c r="B63" s="200" t="str">
        <f>RIGHT(data!$C$96,4)</f>
        <v>2024</v>
      </c>
      <c r="C63" s="12" t="str">
        <f>data!BL$55</f>
        <v>8560</v>
      </c>
      <c r="D63" s="12" t="s">
        <v>1154</v>
      </c>
      <c r="E63" s="198">
        <f>ROUND(N(data!BL59), 0)</f>
        <v>0</v>
      </c>
      <c r="F63" s="300">
        <f>ROUND(N(data!BL60), 2)</f>
        <v>120.15</v>
      </c>
      <c r="G63" s="198">
        <f>ROUND(N(data!BL61), 0)</f>
        <v>8214978</v>
      </c>
      <c r="H63" s="198">
        <f>ROUND(N(data!BL62), 0)</f>
        <v>2258396</v>
      </c>
      <c r="I63" s="198">
        <f>ROUND(N(data!BL63), 0)</f>
        <v>0</v>
      </c>
      <c r="J63" s="198">
        <f>ROUND(N(data!BL64), 0)</f>
        <v>41103</v>
      </c>
      <c r="K63" s="198">
        <f>ROUND(N(data!BL65), 0)</f>
        <v>0</v>
      </c>
      <c r="L63" s="198">
        <f>ROUND(N(data!BL66), 0)</f>
        <v>3853</v>
      </c>
      <c r="M63" s="198">
        <f>ROUND(N(data!BL67), 0)</f>
        <v>526891</v>
      </c>
      <c r="N63" s="198">
        <f>ROUND(N(data!BL68), 0)</f>
        <v>0</v>
      </c>
      <c r="O63" s="198">
        <f>ROUND(N(data!BL69), 0)</f>
        <v>380</v>
      </c>
      <c r="P63" s="198">
        <f>ROUND(N(data!BL70), 0)</f>
        <v>0</v>
      </c>
      <c r="Q63" s="198">
        <f>ROUND(N(data!BL71), 0)</f>
        <v>0</v>
      </c>
      <c r="R63" s="198">
        <f>ROUND(N(data!BL72), 0)</f>
        <v>26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600</v>
      </c>
      <c r="AA63" s="198">
        <f>ROUND(N(data!BL81), 0)</f>
        <v>0</v>
      </c>
      <c r="AB63" s="198">
        <f>ROUND(N(data!BL82), 0)</f>
        <v>0</v>
      </c>
      <c r="AC63" s="198">
        <f>ROUND(N(data!BL83), 0)</f>
        <v>-246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5166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00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014</v>
      </c>
      <c r="B64" s="200" t="str">
        <f>RIGHT(data!$C$96,4)</f>
        <v>2024</v>
      </c>
      <c r="C64" s="12" t="str">
        <f>data!BM$55</f>
        <v>8590</v>
      </c>
      <c r="D64" s="12" t="s">
        <v>1154</v>
      </c>
      <c r="E64" s="198">
        <f>ROUND(N(data!BM59), 0)</f>
        <v>0</v>
      </c>
      <c r="F64" s="300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00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014</v>
      </c>
      <c r="B65" s="200" t="str">
        <f>RIGHT(data!$C$96,4)</f>
        <v>2024</v>
      </c>
      <c r="C65" s="12" t="str">
        <f>data!BN$55</f>
        <v>8610</v>
      </c>
      <c r="D65" s="12" t="s">
        <v>1154</v>
      </c>
      <c r="E65" s="198">
        <f>ROUND(N(data!BN59), 0)</f>
        <v>0</v>
      </c>
      <c r="F65" s="300">
        <f>ROUND(N(data!BN60), 2)</f>
        <v>87.32</v>
      </c>
      <c r="G65" s="198">
        <f>ROUND(N(data!BN61), 0)</f>
        <v>19148323</v>
      </c>
      <c r="H65" s="198">
        <f>ROUND(N(data!BN62), 0)</f>
        <v>5264104</v>
      </c>
      <c r="I65" s="198">
        <f>ROUND(N(data!BN63), 0)</f>
        <v>201173</v>
      </c>
      <c r="J65" s="198">
        <f>ROUND(N(data!BN64), 0)</f>
        <v>103986</v>
      </c>
      <c r="K65" s="198">
        <f>ROUND(N(data!BN65), 0)</f>
        <v>0</v>
      </c>
      <c r="L65" s="198">
        <f>ROUND(N(data!BN66), 0)</f>
        <v>9840312</v>
      </c>
      <c r="M65" s="198">
        <f>ROUND(N(data!BN67), 0)</f>
        <v>2278147</v>
      </c>
      <c r="N65" s="198">
        <f>ROUND(N(data!BN68), 0)</f>
        <v>0</v>
      </c>
      <c r="O65" s="198">
        <f>ROUND(N(data!BN69), 0)</f>
        <v>11788767</v>
      </c>
      <c r="P65" s="198">
        <f>ROUND(N(data!BN70), 0)</f>
        <v>0</v>
      </c>
      <c r="Q65" s="198">
        <f>ROUND(N(data!BN71), 0)</f>
        <v>46556</v>
      </c>
      <c r="R65" s="198">
        <f>ROUND(N(data!BN72), 0)</f>
        <v>889705</v>
      </c>
      <c r="S65" s="198">
        <f>ROUND(N(data!BN73), 0)</f>
        <v>0</v>
      </c>
      <c r="T65" s="198">
        <f>ROUND(N(data!BN74), 0)</f>
        <v>0</v>
      </c>
      <c r="U65" s="198">
        <f>ROUND(N(data!BN75), 0)</f>
        <v>7552559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143554</v>
      </c>
      <c r="Z65" s="198">
        <f>ROUND(N(data!BN80), 0)</f>
        <v>20122</v>
      </c>
      <c r="AA65" s="198">
        <f>ROUND(N(data!BN81), 0)</f>
        <v>132049</v>
      </c>
      <c r="AB65" s="198">
        <f>ROUND(N(data!BN82), 0)</f>
        <v>0</v>
      </c>
      <c r="AC65" s="198">
        <f>ROUND(N(data!BN83), 0)</f>
        <v>3004222</v>
      </c>
      <c r="AD65" s="198">
        <f>ROUND(N(data!BN84), 0)</f>
        <v>2285463</v>
      </c>
      <c r="AE65" s="198">
        <f>ROUND(N(data!BN89), 0)</f>
        <v>0</v>
      </c>
      <c r="AF65" s="198">
        <f>ROUND(N(data!BN87), 0)</f>
        <v>0</v>
      </c>
      <c r="AG65" s="198">
        <f>ROUND(N(data!BN90), 0)</f>
        <v>22337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00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014</v>
      </c>
      <c r="B66" s="200" t="str">
        <f>RIGHT(data!$C$96,4)</f>
        <v>2024</v>
      </c>
      <c r="C66" s="12" t="str">
        <f>data!BO$55</f>
        <v>8620</v>
      </c>
      <c r="D66" s="12" t="s">
        <v>1154</v>
      </c>
      <c r="E66" s="198">
        <f>ROUND(N(data!BO59), 0)</f>
        <v>0</v>
      </c>
      <c r="F66" s="300">
        <f>ROUND(N(data!BO60), 2)</f>
        <v>14.39</v>
      </c>
      <c r="G66" s="198">
        <f>ROUND(N(data!BO61), 0)</f>
        <v>1593140</v>
      </c>
      <c r="H66" s="198">
        <f>ROUND(N(data!BO62), 0)</f>
        <v>437973</v>
      </c>
      <c r="I66" s="198">
        <f>ROUND(N(data!BO63), 0)</f>
        <v>0</v>
      </c>
      <c r="J66" s="198">
        <f>ROUND(N(data!BO64), 0)</f>
        <v>166039</v>
      </c>
      <c r="K66" s="198">
        <f>ROUND(N(data!BO65), 0)</f>
        <v>0</v>
      </c>
      <c r="L66" s="198">
        <f>ROUND(N(data!BO66), 0)</f>
        <v>-16041</v>
      </c>
      <c r="M66" s="198">
        <f>ROUND(N(data!BO67), 0)</f>
        <v>66283</v>
      </c>
      <c r="N66" s="198">
        <f>ROUND(N(data!BO68), 0)</f>
        <v>0</v>
      </c>
      <c r="O66" s="198">
        <f>ROUND(N(data!BO69), 0)</f>
        <v>11372</v>
      </c>
      <c r="P66" s="198">
        <f>ROUND(N(data!BO70), 0)</f>
        <v>0</v>
      </c>
      <c r="Q66" s="198">
        <f>ROUND(N(data!BO71), 0)</f>
        <v>2944</v>
      </c>
      <c r="R66" s="198">
        <f>ROUND(N(data!BO72), 0)</f>
        <v>1036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885</v>
      </c>
      <c r="AA66" s="198">
        <f>ROUND(N(data!BO81), 0)</f>
        <v>0</v>
      </c>
      <c r="AB66" s="198">
        <f>ROUND(N(data!BO82), 0)</f>
        <v>0</v>
      </c>
      <c r="AC66" s="198">
        <f>ROUND(N(data!BO83), 0)</f>
        <v>6507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650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00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014</v>
      </c>
      <c r="B67" s="200" t="str">
        <f>RIGHT(data!$C$96,4)</f>
        <v>2024</v>
      </c>
      <c r="C67" s="12" t="str">
        <f>data!BP$55</f>
        <v>8630</v>
      </c>
      <c r="D67" s="12" t="s">
        <v>1154</v>
      </c>
      <c r="E67" s="198">
        <f>ROUND(N(data!BP59), 0)</f>
        <v>0</v>
      </c>
      <c r="F67" s="300">
        <f>ROUND(N(data!BP60), 2)</f>
        <v>47.3</v>
      </c>
      <c r="G67" s="198">
        <f>ROUND(N(data!BP61), 0)</f>
        <v>5375723</v>
      </c>
      <c r="H67" s="198">
        <f>ROUND(N(data!BP62), 0)</f>
        <v>1477851</v>
      </c>
      <c r="I67" s="198">
        <f>ROUND(N(data!BP63), 0)</f>
        <v>0</v>
      </c>
      <c r="J67" s="198">
        <f>ROUND(N(data!BP64), 0)</f>
        <v>76346</v>
      </c>
      <c r="K67" s="198">
        <f>ROUND(N(data!BP65), 0)</f>
        <v>0</v>
      </c>
      <c r="L67" s="198">
        <f>ROUND(N(data!BP66), 0)</f>
        <v>4267445</v>
      </c>
      <c r="M67" s="198">
        <f>ROUND(N(data!BP67), 0)</f>
        <v>367970</v>
      </c>
      <c r="N67" s="198">
        <f>ROUND(N(data!BP68), 0)</f>
        <v>0</v>
      </c>
      <c r="O67" s="198">
        <f>ROUND(N(data!BP69), 0)</f>
        <v>8502</v>
      </c>
      <c r="P67" s="198">
        <f>ROUND(N(data!BP70), 0)</f>
        <v>0</v>
      </c>
      <c r="Q67" s="198">
        <f>ROUND(N(data!BP71), 0)</f>
        <v>9864</v>
      </c>
      <c r="R67" s="198">
        <f>ROUND(N(data!BP72), 0)</f>
        <v>16540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450</v>
      </c>
      <c r="AA67" s="198">
        <f>ROUND(N(data!BP81), 0)</f>
        <v>130</v>
      </c>
      <c r="AB67" s="198">
        <f>ROUND(N(data!BP82), 0)</f>
        <v>0</v>
      </c>
      <c r="AC67" s="198">
        <f>ROUND(N(data!BP83), 0)</f>
        <v>-18482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3608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00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014</v>
      </c>
      <c r="B68" s="200" t="str">
        <f>RIGHT(data!$C$96,4)</f>
        <v>2024</v>
      </c>
      <c r="C68" s="12" t="str">
        <f>data!BQ$55</f>
        <v>8640</v>
      </c>
      <c r="D68" s="12" t="s">
        <v>1154</v>
      </c>
      <c r="E68" s="198">
        <f>ROUND(N(data!BQ59), 0)</f>
        <v>0</v>
      </c>
      <c r="F68" s="300">
        <f>ROUND(N(data!BQ60), 2)</f>
        <v>42.75</v>
      </c>
      <c r="G68" s="198">
        <f>ROUND(N(data!BQ61), 0)</f>
        <v>6422752</v>
      </c>
      <c r="H68" s="198">
        <f>ROUND(N(data!BQ62), 0)</f>
        <v>1765692</v>
      </c>
      <c r="I68" s="198">
        <f>ROUND(N(data!BQ63), 0)</f>
        <v>537246</v>
      </c>
      <c r="J68" s="198">
        <f>ROUND(N(data!BQ64), 0)</f>
        <v>20777</v>
      </c>
      <c r="K68" s="198">
        <f>ROUND(N(data!BQ65), 0)</f>
        <v>0</v>
      </c>
      <c r="L68" s="198">
        <f>ROUND(N(data!BQ66), 0)</f>
        <v>1271034</v>
      </c>
      <c r="M68" s="198">
        <f>ROUND(N(data!BQ67), 0)</f>
        <v>947758</v>
      </c>
      <c r="N68" s="198">
        <f>ROUND(N(data!BQ68), 0)</f>
        <v>0</v>
      </c>
      <c r="O68" s="198">
        <f>ROUND(N(data!BQ69), 0)</f>
        <v>124501</v>
      </c>
      <c r="P68" s="198">
        <f>ROUND(N(data!BQ70), 0)</f>
        <v>0</v>
      </c>
      <c r="Q68" s="198">
        <f>ROUND(N(data!BQ71), 0)</f>
        <v>638</v>
      </c>
      <c r="R68" s="198">
        <f>ROUND(N(data!BQ72), 0)</f>
        <v>61390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13860</v>
      </c>
      <c r="Z68" s="198">
        <f>ROUND(N(data!BQ80), 0)</f>
        <v>3067</v>
      </c>
      <c r="AA68" s="198">
        <f>ROUND(N(data!BQ81), 0)</f>
        <v>-26</v>
      </c>
      <c r="AB68" s="198">
        <f>ROUND(N(data!BQ82), 0)</f>
        <v>0</v>
      </c>
      <c r="AC68" s="198">
        <f>ROUND(N(data!BQ83), 0)</f>
        <v>45572</v>
      </c>
      <c r="AD68" s="198">
        <f>ROUND(N(data!BQ84), 0)</f>
        <v>-1334</v>
      </c>
      <c r="AE68" s="198">
        <f>ROUND(N(data!BQ89), 0)</f>
        <v>0</v>
      </c>
      <c r="AF68" s="198">
        <f>ROUND(N(data!BQ87), 0)</f>
        <v>0</v>
      </c>
      <c r="AG68" s="198">
        <f>ROUND(N(data!BQ90), 0)</f>
        <v>9293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00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014</v>
      </c>
      <c r="B69" s="200" t="str">
        <f>RIGHT(data!$C$96,4)</f>
        <v>2024</v>
      </c>
      <c r="C69" s="12" t="str">
        <f>data!BR$55</f>
        <v>8650</v>
      </c>
      <c r="D69" s="12" t="s">
        <v>1154</v>
      </c>
      <c r="E69" s="198">
        <f>ROUND(N(data!BR59), 0)</f>
        <v>0</v>
      </c>
      <c r="F69" s="300">
        <f>ROUND(N(data!BR60), 2)</f>
        <v>111.06</v>
      </c>
      <c r="G69" s="198">
        <f>ROUND(N(data!BR61), 0)</f>
        <v>14596415</v>
      </c>
      <c r="H69" s="198">
        <f>ROUND(N(data!BR62), 0)</f>
        <v>4012729</v>
      </c>
      <c r="I69" s="198">
        <f>ROUND(N(data!BR63), 0)</f>
        <v>0</v>
      </c>
      <c r="J69" s="198">
        <f>ROUND(N(data!BR64), 0)</f>
        <v>98884</v>
      </c>
      <c r="K69" s="198">
        <f>ROUND(N(data!BR65), 0)</f>
        <v>0</v>
      </c>
      <c r="L69" s="198">
        <f>ROUND(N(data!BR66), 0)</f>
        <v>3143257</v>
      </c>
      <c r="M69" s="198">
        <f>ROUND(N(data!BR67), 0)</f>
        <v>5830</v>
      </c>
      <c r="N69" s="198">
        <f>ROUND(N(data!BR68), 0)</f>
        <v>0</v>
      </c>
      <c r="O69" s="198">
        <f>ROUND(N(data!BR69), 0)</f>
        <v>1496519</v>
      </c>
      <c r="P69" s="198">
        <f>ROUND(N(data!BR70), 0)</f>
        <v>0</v>
      </c>
      <c r="Q69" s="198">
        <f>ROUND(N(data!BR71), 0)</f>
        <v>325</v>
      </c>
      <c r="R69" s="198">
        <f>ROUND(N(data!BR72), 0)</f>
        <v>19715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501797</v>
      </c>
      <c r="Z69" s="198">
        <f>ROUND(N(data!BR80), 0)</f>
        <v>12813</v>
      </c>
      <c r="AA69" s="198">
        <f>ROUND(N(data!BR81), 0)</f>
        <v>0</v>
      </c>
      <c r="AB69" s="198">
        <f>ROUND(N(data!BR82), 0)</f>
        <v>0</v>
      </c>
      <c r="AC69" s="198">
        <f>ROUND(N(data!BR83), 0)</f>
        <v>961869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57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00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014</v>
      </c>
      <c r="B70" s="200" t="str">
        <f>RIGHT(data!$C$96,4)</f>
        <v>2024</v>
      </c>
      <c r="C70" s="12" t="str">
        <f>data!BS$55</f>
        <v>8660</v>
      </c>
      <c r="D70" s="12" t="s">
        <v>1154</v>
      </c>
      <c r="E70" s="198">
        <f>ROUND(N(data!BS59), 0)</f>
        <v>0</v>
      </c>
      <c r="F70" s="300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69634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683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00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014</v>
      </c>
      <c r="B71" s="200" t="str">
        <f>RIGHT(data!$C$96,4)</f>
        <v>2024</v>
      </c>
      <c r="C71" s="12" t="str">
        <f>data!BT$55</f>
        <v>8670</v>
      </c>
      <c r="D71" s="12" t="s">
        <v>1154</v>
      </c>
      <c r="E71" s="198">
        <f>ROUND(N(data!BT59), 0)</f>
        <v>0</v>
      </c>
      <c r="F71" s="300">
        <f>ROUND(N(data!BT60), 2)</f>
        <v>7.56</v>
      </c>
      <c r="G71" s="198">
        <f>ROUND(N(data!BT61), 0)</f>
        <v>868257</v>
      </c>
      <c r="H71" s="198">
        <f>ROUND(N(data!BT62), 0)</f>
        <v>238694</v>
      </c>
      <c r="I71" s="198">
        <f>ROUND(N(data!BT63), 0)</f>
        <v>0</v>
      </c>
      <c r="J71" s="198">
        <f>ROUND(N(data!BT64), 0)</f>
        <v>9397</v>
      </c>
      <c r="K71" s="198">
        <f>ROUND(N(data!BT65), 0)</f>
        <v>0</v>
      </c>
      <c r="L71" s="198">
        <f>ROUND(N(data!BT66), 0)</f>
        <v>4902</v>
      </c>
      <c r="M71" s="198">
        <f>ROUND(N(data!BT67), 0)</f>
        <v>543692</v>
      </c>
      <c r="N71" s="198">
        <f>ROUND(N(data!BT68), 0)</f>
        <v>0</v>
      </c>
      <c r="O71" s="198">
        <f>ROUND(N(data!BT69), 0)</f>
        <v>7492</v>
      </c>
      <c r="P71" s="198">
        <f>ROUND(N(data!BT70), 0)</f>
        <v>0</v>
      </c>
      <c r="Q71" s="198">
        <f>ROUND(N(data!BT71), 0)</f>
        <v>0</v>
      </c>
      <c r="R71" s="198">
        <f>ROUND(N(data!BT72), 0)</f>
        <v>1760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2193</v>
      </c>
      <c r="Z71" s="198">
        <f>ROUND(N(data!BT80), 0)</f>
        <v>1150</v>
      </c>
      <c r="AA71" s="198">
        <f>ROUND(N(data!BT81), 0)</f>
        <v>0</v>
      </c>
      <c r="AB71" s="198">
        <f>ROUND(N(data!BT82), 0)</f>
        <v>0</v>
      </c>
      <c r="AC71" s="198">
        <f>ROUND(N(data!BT83), 0)</f>
        <v>2389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5331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00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014</v>
      </c>
      <c r="B72" s="200" t="str">
        <f>RIGHT(data!$C$96,4)</f>
        <v>2024</v>
      </c>
      <c r="C72" s="12" t="str">
        <f>data!BU$55</f>
        <v>8680</v>
      </c>
      <c r="D72" s="12" t="s">
        <v>1154</v>
      </c>
      <c r="E72" s="198">
        <f>ROUND(N(data!BU59), 0)</f>
        <v>0</v>
      </c>
      <c r="F72" s="300">
        <f>ROUND(N(data!BU60), 2)</f>
        <v>2.86</v>
      </c>
      <c r="G72" s="198">
        <f>ROUND(N(data!BU61), 0)</f>
        <v>308519</v>
      </c>
      <c r="H72" s="198">
        <f>ROUND(N(data!BU62), 0)</f>
        <v>84815</v>
      </c>
      <c r="I72" s="198">
        <f>ROUND(N(data!BU63), 0)</f>
        <v>0</v>
      </c>
      <c r="J72" s="198">
        <f>ROUND(N(data!BU64), 0)</f>
        <v>638</v>
      </c>
      <c r="K72" s="198">
        <f>ROUND(N(data!BU65), 0)</f>
        <v>0</v>
      </c>
      <c r="L72" s="198">
        <f>ROUND(N(data!BU66), 0)</f>
        <v>5175</v>
      </c>
      <c r="M72" s="198">
        <f>ROUND(N(data!BU67), 0)</f>
        <v>387153</v>
      </c>
      <c r="N72" s="198">
        <f>ROUND(N(data!BU68), 0)</f>
        <v>0</v>
      </c>
      <c r="O72" s="198">
        <f>ROUND(N(data!BU69), 0)</f>
        <v>1062332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1062332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3796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00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014</v>
      </c>
      <c r="B73" s="200" t="str">
        <f>RIGHT(data!$C$96,4)</f>
        <v>2024</v>
      </c>
      <c r="C73" s="12" t="str">
        <f>data!BV$55</f>
        <v>8690</v>
      </c>
      <c r="D73" s="12" t="s">
        <v>1154</v>
      </c>
      <c r="E73" s="198">
        <f>ROUND(N(data!BV59), 0)</f>
        <v>0</v>
      </c>
      <c r="F73" s="300">
        <f>ROUND(N(data!BV60), 2)</f>
        <v>31</v>
      </c>
      <c r="G73" s="198">
        <f>ROUND(N(data!BV61), 0)</f>
        <v>2395444</v>
      </c>
      <c r="H73" s="198">
        <f>ROUND(N(data!BV62), 0)</f>
        <v>658536</v>
      </c>
      <c r="I73" s="198">
        <f>ROUND(N(data!BV63), 0)</f>
        <v>0</v>
      </c>
      <c r="J73" s="198">
        <f>ROUND(N(data!BV64), 0)</f>
        <v>15870</v>
      </c>
      <c r="K73" s="198">
        <f>ROUND(N(data!BV65), 0)</f>
        <v>0</v>
      </c>
      <c r="L73" s="198">
        <f>ROUND(N(data!BV66), 0)</f>
        <v>112980</v>
      </c>
      <c r="M73" s="198">
        <f>ROUND(N(data!BV67), 0)</f>
        <v>31421</v>
      </c>
      <c r="N73" s="198">
        <f>ROUND(N(data!BV68), 0)</f>
        <v>0</v>
      </c>
      <c r="O73" s="198">
        <f>ROUND(N(data!BV69), 0)</f>
        <v>179949</v>
      </c>
      <c r="P73" s="198">
        <f>ROUND(N(data!BV70), 0)</f>
        <v>0</v>
      </c>
      <c r="Q73" s="198">
        <f>ROUND(N(data!BV71), 0)</f>
        <v>0</v>
      </c>
      <c r="R73" s="198">
        <f>ROUND(N(data!BV72), 0)</f>
        <v>177558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15</v>
      </c>
      <c r="AA73" s="198">
        <f>ROUND(N(data!BV81), 0)</f>
        <v>0</v>
      </c>
      <c r="AB73" s="198">
        <f>ROUND(N(data!BV82), 0)</f>
        <v>0</v>
      </c>
      <c r="AC73" s="198">
        <f>ROUND(N(data!BV83), 0)</f>
        <v>2376</v>
      </c>
      <c r="AD73" s="198">
        <f>ROUND(N(data!BV84), 0)</f>
        <v>46492</v>
      </c>
      <c r="AE73" s="198">
        <f>ROUND(N(data!BV89), 0)</f>
        <v>0</v>
      </c>
      <c r="AF73" s="198">
        <f>ROUND(N(data!BV87), 0)</f>
        <v>0</v>
      </c>
      <c r="AG73" s="198">
        <f>ROUND(N(data!BV90), 0)</f>
        <v>308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00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014</v>
      </c>
      <c r="B74" s="200" t="str">
        <f>RIGHT(data!$C$96,4)</f>
        <v>2024</v>
      </c>
      <c r="C74" s="12" t="str">
        <f>data!BW$55</f>
        <v>8700</v>
      </c>
      <c r="D74" s="12" t="s">
        <v>1154</v>
      </c>
      <c r="E74" s="198">
        <f>ROUND(N(data!BW59), 0)</f>
        <v>0</v>
      </c>
      <c r="F74" s="300">
        <f>ROUND(N(data!BW60), 2)</f>
        <v>38.909999999999997</v>
      </c>
      <c r="G74" s="198">
        <f>ROUND(N(data!BW61), 0)</f>
        <v>4171998</v>
      </c>
      <c r="H74" s="198">
        <f>ROUND(N(data!BW62), 0)</f>
        <v>1146932</v>
      </c>
      <c r="I74" s="198">
        <f>ROUND(N(data!BW63), 0)</f>
        <v>36822784</v>
      </c>
      <c r="J74" s="198">
        <f>ROUND(N(data!BW64), 0)</f>
        <v>742896</v>
      </c>
      <c r="K74" s="198">
        <f>ROUND(N(data!BW65), 0)</f>
        <v>0</v>
      </c>
      <c r="L74" s="198">
        <f>ROUND(N(data!BW66), 0)</f>
        <v>279599</v>
      </c>
      <c r="M74" s="198">
        <f>ROUND(N(data!BW67), 0)</f>
        <v>2637217</v>
      </c>
      <c r="N74" s="198">
        <f>ROUND(N(data!BW68), 0)</f>
        <v>0</v>
      </c>
      <c r="O74" s="198">
        <f>ROUND(N(data!BW69), 0)</f>
        <v>409603</v>
      </c>
      <c r="P74" s="198">
        <f>ROUND(N(data!BW70), 0)</f>
        <v>0</v>
      </c>
      <c r="Q74" s="198">
        <f>ROUND(N(data!BW71), 0)</f>
        <v>0</v>
      </c>
      <c r="R74" s="198">
        <f>ROUND(N(data!BW72), 0)</f>
        <v>87883</v>
      </c>
      <c r="S74" s="198">
        <f>ROUND(N(data!BW73), 0)</f>
        <v>970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3724</v>
      </c>
      <c r="AA74" s="198">
        <f>ROUND(N(data!BW81), 0)</f>
        <v>0</v>
      </c>
      <c r="AB74" s="198">
        <f>ROUND(N(data!BW82), 0)</f>
        <v>0</v>
      </c>
      <c r="AC74" s="198">
        <f>ROUND(N(data!BW83), 0)</f>
        <v>317026</v>
      </c>
      <c r="AD74" s="198">
        <f>ROUND(N(data!BW84), 0)</f>
        <v>-194255</v>
      </c>
      <c r="AE74" s="198">
        <f>ROUND(N(data!BW89), 0)</f>
        <v>0</v>
      </c>
      <c r="AF74" s="198">
        <f>ROUND(N(data!BW87), 0)</f>
        <v>0</v>
      </c>
      <c r="AG74" s="198">
        <f>ROUND(N(data!BW90), 0)</f>
        <v>25858</v>
      </c>
      <c r="AH74" s="198">
        <f>ROUND(N(data!BW91), 0)</f>
        <v>0</v>
      </c>
      <c r="AI74" s="198">
        <f>ROUND(N(data!BW92), 0)</f>
        <v>0</v>
      </c>
      <c r="AJ74" s="198">
        <f>ROUND(N(data!BW93), 0)</f>
        <v>22139</v>
      </c>
      <c r="AK74" s="300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014</v>
      </c>
      <c r="B75" s="200" t="str">
        <f>RIGHT(data!$C$96,4)</f>
        <v>2024</v>
      </c>
      <c r="C75" s="12" t="str">
        <f>data!BX$55</f>
        <v>8710</v>
      </c>
      <c r="D75" s="12" t="s">
        <v>1154</v>
      </c>
      <c r="E75" s="198">
        <f>ROUND(N(data!BX59), 0)</f>
        <v>0</v>
      </c>
      <c r="F75" s="300">
        <f>ROUND(N(data!BX60), 2)</f>
        <v>107.03</v>
      </c>
      <c r="G75" s="198">
        <f>ROUND(N(data!BX61), 0)</f>
        <v>14469358</v>
      </c>
      <c r="H75" s="198">
        <f>ROUND(N(data!BX62), 0)</f>
        <v>3977800</v>
      </c>
      <c r="I75" s="198">
        <f>ROUND(N(data!BX63), 0)</f>
        <v>616756</v>
      </c>
      <c r="J75" s="198">
        <f>ROUND(N(data!BX64), 0)</f>
        <v>288055</v>
      </c>
      <c r="K75" s="198">
        <f>ROUND(N(data!BX65), 0)</f>
        <v>0</v>
      </c>
      <c r="L75" s="198">
        <f>ROUND(N(data!BX66), 0)</f>
        <v>1163679</v>
      </c>
      <c r="M75" s="198">
        <f>ROUND(N(data!BX67), 0)</f>
        <v>658030</v>
      </c>
      <c r="N75" s="198">
        <f>ROUND(N(data!BX68), 0)</f>
        <v>0</v>
      </c>
      <c r="O75" s="198">
        <f>ROUND(N(data!BX69), 0)</f>
        <v>811096</v>
      </c>
      <c r="P75" s="198">
        <f>ROUND(N(data!BX70), 0)</f>
        <v>0</v>
      </c>
      <c r="Q75" s="198">
        <f>ROUND(N(data!BX71), 0)</f>
        <v>0</v>
      </c>
      <c r="R75" s="198">
        <f>ROUND(N(data!BX72), 0)</f>
        <v>625865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91262</v>
      </c>
      <c r="AA75" s="198">
        <f>ROUND(N(data!BX81), 0)</f>
        <v>234</v>
      </c>
      <c r="AB75" s="198">
        <f>ROUND(N(data!BX82), 0)</f>
        <v>0</v>
      </c>
      <c r="AC75" s="198">
        <f>ROUND(N(data!BX83), 0)</f>
        <v>93735</v>
      </c>
      <c r="AD75" s="198">
        <f>ROUND(N(data!BX84), 0)</f>
        <v>158103</v>
      </c>
      <c r="AE75" s="198">
        <f>ROUND(N(data!BX89), 0)</f>
        <v>0</v>
      </c>
      <c r="AF75" s="198">
        <f>ROUND(N(data!BX87), 0)</f>
        <v>0</v>
      </c>
      <c r="AG75" s="198">
        <f>ROUND(N(data!BX90), 0)</f>
        <v>6452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00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014</v>
      </c>
      <c r="B76" s="200" t="str">
        <f>RIGHT(data!$C$96,4)</f>
        <v>2024</v>
      </c>
      <c r="C76" s="12" t="str">
        <f>data!BY$55</f>
        <v>8720</v>
      </c>
      <c r="D76" s="12" t="s">
        <v>1154</v>
      </c>
      <c r="E76" s="198">
        <f>ROUND(N(data!BY59), 0)</f>
        <v>0</v>
      </c>
      <c r="F76" s="300">
        <f>ROUND(N(data!BY60), 2)</f>
        <v>105.35</v>
      </c>
      <c r="G76" s="198">
        <f>ROUND(N(data!BY61), 0)</f>
        <v>15252197</v>
      </c>
      <c r="H76" s="198">
        <f>ROUND(N(data!BY62), 0)</f>
        <v>4193012</v>
      </c>
      <c r="I76" s="198">
        <f>ROUND(N(data!BY63), 0)</f>
        <v>288454</v>
      </c>
      <c r="J76" s="198">
        <f>ROUND(N(data!BY64), 0)</f>
        <v>58858</v>
      </c>
      <c r="K76" s="198">
        <f>ROUND(N(data!BY65), 0)</f>
        <v>0</v>
      </c>
      <c r="L76" s="198">
        <f>ROUND(N(data!BY66), 0)</f>
        <v>179783</v>
      </c>
      <c r="M76" s="198">
        <f>ROUND(N(data!BY67), 0)</f>
        <v>545501</v>
      </c>
      <c r="N76" s="198">
        <f>ROUND(N(data!BY68), 0)</f>
        <v>0</v>
      </c>
      <c r="O76" s="198">
        <f>ROUND(N(data!BY69), 0)</f>
        <v>246142</v>
      </c>
      <c r="P76" s="198">
        <f>ROUND(N(data!BY70), 0)</f>
        <v>0</v>
      </c>
      <c r="Q76" s="198">
        <f>ROUND(N(data!BY71), 0)</f>
        <v>0</v>
      </c>
      <c r="R76" s="198">
        <f>ROUND(N(data!BY72), 0)</f>
        <v>2360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10958</v>
      </c>
      <c r="Z76" s="198">
        <f>ROUND(N(data!BY80), 0)</f>
        <v>24148</v>
      </c>
      <c r="AA76" s="198">
        <f>ROUND(N(data!BY81), 0)</f>
        <v>0</v>
      </c>
      <c r="AB76" s="198">
        <f>ROUND(N(data!BY82), 0)</f>
        <v>0</v>
      </c>
      <c r="AC76" s="198">
        <f>ROUND(N(data!BY83), 0)</f>
        <v>208676</v>
      </c>
      <c r="AD76" s="198">
        <f>ROUND(N(data!BY84), 0)</f>
        <v>143941</v>
      </c>
      <c r="AE76" s="198">
        <f>ROUND(N(data!BY89), 0)</f>
        <v>0</v>
      </c>
      <c r="AF76" s="198">
        <f>ROUND(N(data!BY87), 0)</f>
        <v>0</v>
      </c>
      <c r="AG76" s="198">
        <f>ROUND(N(data!BY90), 0)</f>
        <v>5349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00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014</v>
      </c>
      <c r="B77" s="200" t="str">
        <f>RIGHT(data!$C$96,4)</f>
        <v>2024</v>
      </c>
      <c r="C77" s="12" t="str">
        <f>data!BZ$55</f>
        <v>8730</v>
      </c>
      <c r="D77" s="12" t="s">
        <v>1154</v>
      </c>
      <c r="E77" s="198">
        <f>ROUND(N(data!BZ59), 0)</f>
        <v>0</v>
      </c>
      <c r="F77" s="300">
        <f>ROUND(N(data!BZ60), 2)</f>
        <v>81.3</v>
      </c>
      <c r="G77" s="198">
        <f>ROUND(N(data!BZ61), 0)</f>
        <v>7631351</v>
      </c>
      <c r="H77" s="198">
        <f>ROUND(N(data!BZ62), 0)</f>
        <v>2097950</v>
      </c>
      <c r="I77" s="198">
        <f>ROUND(N(data!BZ63), 0)</f>
        <v>0</v>
      </c>
      <c r="J77" s="198">
        <f>ROUND(N(data!BZ64), 0)</f>
        <v>3085</v>
      </c>
      <c r="K77" s="198">
        <f>ROUND(N(data!BZ65), 0)</f>
        <v>0</v>
      </c>
      <c r="L77" s="198">
        <f>ROUND(N(data!BZ66), 0)</f>
        <v>3494</v>
      </c>
      <c r="M77" s="198">
        <f>ROUND(N(data!BZ67), 0)</f>
        <v>13581</v>
      </c>
      <c r="N77" s="198">
        <f>ROUND(N(data!BZ68), 0)</f>
        <v>0</v>
      </c>
      <c r="O77" s="198">
        <f>ROUND(N(data!BZ69), 0)</f>
        <v>47775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41328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6447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133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00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014</v>
      </c>
      <c r="B78" s="200" t="str">
        <f>RIGHT(data!$C$96,4)</f>
        <v>2024</v>
      </c>
      <c r="C78" s="12" t="str">
        <f>data!CA$55</f>
        <v>8740</v>
      </c>
      <c r="D78" s="12" t="s">
        <v>1154</v>
      </c>
      <c r="E78" s="198">
        <f>ROUND(N(data!CA59), 0)</f>
        <v>0</v>
      </c>
      <c r="F78" s="300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00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014</v>
      </c>
      <c r="B79" s="200" t="str">
        <f>RIGHT(data!$C$96,4)</f>
        <v>2024</v>
      </c>
      <c r="C79" s="12" t="str">
        <f>data!CB$55</f>
        <v>8770</v>
      </c>
      <c r="D79" s="12" t="s">
        <v>1154</v>
      </c>
      <c r="E79" s="198">
        <f>ROUND(N(data!CB59), 0)</f>
        <v>0</v>
      </c>
      <c r="F79" s="300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00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014</v>
      </c>
      <c r="B80" s="200" t="str">
        <f>RIGHT(data!$C$96,4)</f>
        <v>2024</v>
      </c>
      <c r="C80" s="12" t="str">
        <f>data!CC$55</f>
        <v>8790</v>
      </c>
      <c r="D80" s="12" t="s">
        <v>1154</v>
      </c>
      <c r="E80" s="198">
        <f>ROUND(N(data!CC59), 0)</f>
        <v>0</v>
      </c>
      <c r="F80" s="300">
        <f>ROUND(N(data!CC60), 2)</f>
        <v>369.6</v>
      </c>
      <c r="G80" s="198">
        <f>ROUND(N(data!CC61), 0)</f>
        <v>68920141</v>
      </c>
      <c r="H80" s="198">
        <f>ROUND(N(data!CC62), 0)</f>
        <v>18946973</v>
      </c>
      <c r="I80" s="198">
        <f>ROUND(N(data!CC63), 0)</f>
        <v>17055029</v>
      </c>
      <c r="J80" s="198">
        <f>ROUND(N(data!CC64), 0)</f>
        <v>-2739961</v>
      </c>
      <c r="K80" s="198">
        <f>ROUND(N(data!CC65), 0)</f>
        <v>0</v>
      </c>
      <c r="L80" s="198">
        <f>ROUND(N(data!CC66), 0)</f>
        <v>10213349</v>
      </c>
      <c r="M80" s="198">
        <f>ROUND(N(data!CC67), 0)</f>
        <v>7111513</v>
      </c>
      <c r="N80" s="198">
        <f>ROUND(N(data!CC68), 0)</f>
        <v>15373362</v>
      </c>
      <c r="O80" s="198">
        <f>ROUND(N(data!CC69), 0)</f>
        <v>58084302</v>
      </c>
      <c r="P80" s="198">
        <f>ROUND(N(data!CC70), 0)</f>
        <v>0</v>
      </c>
      <c r="Q80" s="198">
        <f>ROUND(N(data!CC71), 0)</f>
        <v>855994</v>
      </c>
      <c r="R80" s="198">
        <f>ROUND(N(data!CC72), 0)</f>
        <v>118736</v>
      </c>
      <c r="S80" s="198">
        <f>ROUND(N(data!CC73), 0)</f>
        <v>7367601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453084</v>
      </c>
      <c r="X80" s="198">
        <f>ROUND(N(data!CC78), 0)</f>
        <v>0</v>
      </c>
      <c r="Y80" s="198">
        <f>ROUND(N(data!CC79), 0)</f>
        <v>67196</v>
      </c>
      <c r="Z80" s="198">
        <f>ROUND(N(data!CC80), 0)</f>
        <v>23148</v>
      </c>
      <c r="AA80" s="198">
        <f>ROUND(N(data!CC81), 0)</f>
        <v>39422384</v>
      </c>
      <c r="AB80" s="198">
        <f>ROUND(N(data!CC82), 0)</f>
        <v>194290</v>
      </c>
      <c r="AC80" s="198">
        <f>ROUND(N(data!CC83), 0)</f>
        <v>9581870</v>
      </c>
      <c r="AD80" s="198">
        <f>ROUND(N(data!CC84), 0)</f>
        <v>64028390</v>
      </c>
      <c r="AE80" s="198">
        <f>ROUND(N(data!CC89), 0)</f>
        <v>0</v>
      </c>
      <c r="AF80" s="198">
        <f>ROUND(N(data!CC87), 0)</f>
        <v>0</v>
      </c>
      <c r="AG80" s="198">
        <f>ROUND(N(data!CC90), 0)</f>
        <v>69728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00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3F67-7608-49FE-84BD-B30B4EB0B69C}">
  <sheetPr codeName="Sheet2">
    <tabColor rgb="FF92D050"/>
    <pageSetUpPr fitToPage="1"/>
  </sheetPr>
  <dimension ref="B1:J42"/>
  <sheetViews>
    <sheetView workbookViewId="0">
      <selection activeCell="D34" sqref="D34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Seattle Children's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+"H-"&amp;data!C97</f>
        <v>H-014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+data!C99</f>
        <v>PO Box 5371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+data!C100</f>
        <v>Seattle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+data!C101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09/30/2024.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246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1387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246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719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1389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1388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ECB6-073F-4DB2-A28A-0EDEE7E79BB7}">
  <sheetPr codeName="Sheet9">
    <tabColor rgb="FF92D050"/>
  </sheetPr>
  <dimension ref="A2:M94"/>
  <sheetViews>
    <sheetView topLeftCell="A7" zoomScaleNormal="100" workbookViewId="0">
      <selection activeCell="E28" sqref="E2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720</v>
      </c>
    </row>
    <row r="3" spans="1:13" x14ac:dyDescent="0.25">
      <c r="A3" s="54"/>
    </row>
    <row r="4" spans="1:13" x14ac:dyDescent="0.25">
      <c r="A4" s="149" t="s">
        <v>721</v>
      </c>
    </row>
    <row r="5" spans="1:13" x14ac:dyDescent="0.25">
      <c r="A5" s="149" t="s">
        <v>722</v>
      </c>
    </row>
    <row r="6" spans="1:13" x14ac:dyDescent="0.25">
      <c r="A6" s="149" t="s">
        <v>723</v>
      </c>
    </row>
    <row r="7" spans="1:13" x14ac:dyDescent="0.25">
      <c r="A7" s="149"/>
    </row>
    <row r="8" spans="1:13" x14ac:dyDescent="0.25">
      <c r="A8" s="2" t="s">
        <v>724</v>
      </c>
    </row>
    <row r="9" spans="1:13" x14ac:dyDescent="0.25">
      <c r="A9" s="149" t="s">
        <v>25</v>
      </c>
    </row>
    <row r="12" spans="1:13" x14ac:dyDescent="0.25">
      <c r="A12" s="1" t="str">
        <f>data!C97</f>
        <v>014</v>
      </c>
      <c r="B12" s="227" t="str">
        <f>RIGHT('Prior Year'!C96,4)</f>
        <v>2023</v>
      </c>
      <c r="C12" s="227" t="str">
        <f>RIGHT(data!C96,4)</f>
        <v>2024</v>
      </c>
      <c r="D12" s="1" t="str">
        <f>RIGHT('Prior Year'!C96,4)</f>
        <v>2023</v>
      </c>
      <c r="E12" s="227" t="str">
        <f>RIGHT(data!C96,4)</f>
        <v>2024</v>
      </c>
      <c r="F12" s="1" t="str">
        <f>RIGHT('Prior Year'!C96,4)</f>
        <v>2023</v>
      </c>
      <c r="G12" s="227" t="str">
        <f>RIGHT(data!C96,4)</f>
        <v>2024</v>
      </c>
      <c r="H12" s="3"/>
    </row>
    <row r="13" spans="1:13" x14ac:dyDescent="0.25">
      <c r="A13" s="2"/>
      <c r="B13" s="227" t="s">
        <v>725</v>
      </c>
      <c r="C13" s="227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27" t="s">
        <v>363</v>
      </c>
      <c r="C14" s="227" t="s">
        <v>363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25">
      <c r="A15" s="1" t="s">
        <v>735</v>
      </c>
      <c r="B15" s="227">
        <f>ROUND(N('Prior Year'!C85), 0)</f>
        <v>105954230</v>
      </c>
      <c r="C15" s="227">
        <f>data!C85</f>
        <v>107599830.15000001</v>
      </c>
      <c r="D15" s="227">
        <f>ROUND(N('Prior Year'!C59), 0)</f>
        <v>29024</v>
      </c>
      <c r="E15" s="1">
        <f>data!C59</f>
        <v>28117.856849999996</v>
      </c>
      <c r="F15" s="205">
        <f t="shared" ref="F15:F59" si="0">IF(B15=0,"",IF(D15=0,"",B15/D15))</f>
        <v>3650.572974090408</v>
      </c>
      <c r="G15" s="205">
        <f t="shared" ref="G15:G29" si="1">IF(C15=0,"",IF(E15=0,"",C15/E15))</f>
        <v>3826.7436499165483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737</v>
      </c>
      <c r="B17" s="227">
        <f>ROUND(N('Prior Year'!E85), 0)</f>
        <v>122710280</v>
      </c>
      <c r="C17" s="227">
        <f>data!E85</f>
        <v>136228246.38999996</v>
      </c>
      <c r="D17" s="227">
        <f>ROUND(N('Prior Year'!E59), 0)</f>
        <v>71529</v>
      </c>
      <c r="E17" s="1">
        <f>data!E59</f>
        <v>70194.360050000018</v>
      </c>
      <c r="F17" s="205">
        <f t="shared" si="0"/>
        <v>1715.5318821736639</v>
      </c>
      <c r="G17" s="205">
        <f t="shared" si="1"/>
        <v>1940.7292308522146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738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739</v>
      </c>
      <c r="B19" s="227">
        <f>ROUND(N('Prior Year'!G85), 0)</f>
        <v>7231899</v>
      </c>
      <c r="C19" s="227">
        <f>data!G85</f>
        <v>7861123.4400000004</v>
      </c>
      <c r="D19" s="227">
        <f>ROUND(N('Prior Year'!G59), 0)</f>
        <v>3769</v>
      </c>
      <c r="E19" s="1">
        <f>data!G59</f>
        <v>3742.0019000000002</v>
      </c>
      <c r="F19" s="205">
        <f t="shared" si="0"/>
        <v>1918.7845582382595</v>
      </c>
      <c r="G19" s="205">
        <f t="shared" si="1"/>
        <v>2100.7801839972344</v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740</v>
      </c>
      <c r="B20" s="227">
        <f>ROUND(N('Prior Year'!H85), 0)</f>
        <v>24889424</v>
      </c>
      <c r="C20" s="227">
        <f>data!H85</f>
        <v>27187675.68</v>
      </c>
      <c r="D20" s="227">
        <f>ROUND(N('Prior Year'!H59), 0)</f>
        <v>8442</v>
      </c>
      <c r="E20" s="1">
        <f>data!H59</f>
        <v>10122.432249999998</v>
      </c>
      <c r="F20" s="205">
        <f t="shared" si="0"/>
        <v>2948.285240464345</v>
      </c>
      <c r="G20" s="205">
        <f t="shared" si="1"/>
        <v>2685.8836896636185</v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741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742</v>
      </c>
      <c r="B22" s="227">
        <f>ROUND(N('Prior Year'!J85), 0)</f>
        <v>0</v>
      </c>
      <c r="C22" s="227">
        <f>data!J85</f>
        <v>0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743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744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745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747</v>
      </c>
      <c r="B27" s="227">
        <f>ROUND(N('Prior Year'!O85), 0)</f>
        <v>0</v>
      </c>
      <c r="C27" s="227">
        <f>data!O85</f>
        <v>0</v>
      </c>
      <c r="D27" s="227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748</v>
      </c>
      <c r="B28" s="227">
        <f>ROUND(N('Prior Year'!P85), 0)</f>
        <v>85902261</v>
      </c>
      <c r="C28" s="227">
        <f>data!P85</f>
        <v>96343769.890000001</v>
      </c>
      <c r="D28" s="227">
        <f>ROUND(N('Prior Year'!P59), 0)</f>
        <v>1865173</v>
      </c>
      <c r="E28" s="1">
        <f>data!P59</f>
        <v>1979616</v>
      </c>
      <c r="F28" s="205">
        <f t="shared" si="0"/>
        <v>46.055921354212181</v>
      </c>
      <c r="G28" s="205">
        <f t="shared" si="1"/>
        <v>48.667908266047554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749</v>
      </c>
      <c r="B29" s="227">
        <f>ROUND(N('Prior Year'!Q85), 0)</f>
        <v>18521667</v>
      </c>
      <c r="C29" s="227">
        <f>data!Q85</f>
        <v>18908486.82</v>
      </c>
      <c r="D29" s="227">
        <f>ROUND(N('Prior Year'!Q59), 0)</f>
        <v>1344140</v>
      </c>
      <c r="E29" s="1">
        <f>data!Q59</f>
        <v>1306940</v>
      </c>
      <c r="F29" s="205">
        <f t="shared" si="0"/>
        <v>13.779566860594878</v>
      </c>
      <c r="G29" s="205">
        <f t="shared" si="1"/>
        <v>14.467754311598084</v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750</v>
      </c>
      <c r="B30" s="227">
        <f>ROUND(N('Prior Year'!R85), 0)</f>
        <v>9753498</v>
      </c>
      <c r="C30" s="227">
        <f>data!R85</f>
        <v>11494709.939999999</v>
      </c>
      <c r="D30" s="227">
        <f>ROUND(N('Prior Year'!R59), 0)</f>
        <v>2354920</v>
      </c>
      <c r="E30" s="1">
        <f>data!R59</f>
        <v>2524450</v>
      </c>
      <c r="F30" s="205">
        <f t="shared" si="0"/>
        <v>4.1417534353608616</v>
      </c>
      <c r="G30" s="205">
        <f>IFERROR(IF(C30=0,"",IF(E30=0,"",C30/E30)),"")</f>
        <v>4.5533521915664794</v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751</v>
      </c>
      <c r="B31" s="227">
        <f>ROUND(N('Prior Year'!S85), 0)</f>
        <v>19781757</v>
      </c>
      <c r="C31" s="227">
        <f>data!S85</f>
        <v>25341144</v>
      </c>
      <c r="D31" s="227" t="s">
        <v>752</v>
      </c>
      <c r="E31" s="4" t="s">
        <v>752</v>
      </c>
      <c r="F31" s="205" t="s">
        <v>3</v>
      </c>
      <c r="G31" s="205" t="str">
        <f t="shared" ref="G31:G32" si="4">IFERROR(IF(C31=0,"",IF(E31=0,"",C31/E31)),"")</f>
        <v/>
      </c>
      <c r="H31" s="6" t="s">
        <v>3</v>
      </c>
      <c r="I31" s="227" t="str">
        <f t="shared" si="3"/>
        <v/>
      </c>
      <c r="M31" s="7"/>
    </row>
    <row r="32" spans="1:13" x14ac:dyDescent="0.25">
      <c r="A32" s="1" t="s">
        <v>753</v>
      </c>
      <c r="B32" s="227">
        <f>ROUND(N('Prior Year'!T85), 0)</f>
        <v>2577556</v>
      </c>
      <c r="C32" s="227">
        <f>data!T85</f>
        <v>2773613.4500000007</v>
      </c>
      <c r="D32" s="227" t="s">
        <v>752</v>
      </c>
      <c r="E32" s="4" t="s">
        <v>752</v>
      </c>
      <c r="F32" s="205" t="s">
        <v>3</v>
      </c>
      <c r="G32" s="205" t="str">
        <f t="shared" si="4"/>
        <v/>
      </c>
      <c r="H32" s="6" t="s">
        <v>3</v>
      </c>
      <c r="I32" s="227" t="str">
        <f t="shared" si="3"/>
        <v/>
      </c>
      <c r="M32" s="7"/>
    </row>
    <row r="33" spans="1:13" x14ac:dyDescent="0.25">
      <c r="A33" s="1" t="s">
        <v>754</v>
      </c>
      <c r="B33" s="227">
        <f>ROUND(N('Prior Year'!U85), 0)</f>
        <v>66710262</v>
      </c>
      <c r="C33" s="227">
        <f>data!U85</f>
        <v>73372522.160000011</v>
      </c>
      <c r="D33" s="227">
        <f>ROUND(N('Prior Year'!U59), 0)</f>
        <v>1415242</v>
      </c>
      <c r="E33" s="1">
        <f>data!U59</f>
        <v>1455386</v>
      </c>
      <c r="F33" s="205">
        <f t="shared" si="0"/>
        <v>47.136999891184686</v>
      </c>
      <c r="G33" s="205">
        <f t="shared" ref="G33:G69" si="5">IF(C33=0,"",IF(E33=0,"",C33/E33))</f>
        <v>50.414475719843402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755</v>
      </c>
      <c r="B34" s="227">
        <f>ROUND(N('Prior Year'!V85), 0)</f>
        <v>11833010</v>
      </c>
      <c r="C34" s="227">
        <f>data!V85</f>
        <v>13233268.93</v>
      </c>
      <c r="D34" s="227">
        <f>ROUND(N('Prior Year'!V59), 0)</f>
        <v>43160</v>
      </c>
      <c r="E34" s="1">
        <f>data!V59</f>
        <v>46667</v>
      </c>
      <c r="F34" s="205">
        <f t="shared" si="0"/>
        <v>274.16612604263207</v>
      </c>
      <c r="G34" s="205">
        <f t="shared" si="5"/>
        <v>283.56802301412131</v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756</v>
      </c>
      <c r="B35" s="227">
        <f>ROUND(N('Prior Year'!W85), 0)</f>
        <v>3914266</v>
      </c>
      <c r="C35" s="227">
        <f>data!W85</f>
        <v>5258482</v>
      </c>
      <c r="D35" s="227">
        <f>ROUND(N('Prior Year'!W59), 0)</f>
        <v>14528</v>
      </c>
      <c r="E35" s="1">
        <f>data!W59</f>
        <v>17044</v>
      </c>
      <c r="F35" s="205">
        <f t="shared" si="0"/>
        <v>269.42910242290748</v>
      </c>
      <c r="G35" s="205">
        <f t="shared" si="5"/>
        <v>308.52393804271298</v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757</v>
      </c>
      <c r="B36" s="227">
        <f>ROUND(N('Prior Year'!X85), 0)</f>
        <v>3245431</v>
      </c>
      <c r="C36" s="227">
        <f>data!X85</f>
        <v>3531295.6599999997</v>
      </c>
      <c r="D36" s="227">
        <f>ROUND(N('Prior Year'!X59), 0)</f>
        <v>10304</v>
      </c>
      <c r="E36" s="1">
        <f>data!X59</f>
        <v>10491</v>
      </c>
      <c r="F36" s="205">
        <f t="shared" si="0"/>
        <v>314.96807065217394</v>
      </c>
      <c r="G36" s="205">
        <f t="shared" si="5"/>
        <v>336.60238871413588</v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758</v>
      </c>
      <c r="B37" s="227">
        <f>ROUND(N('Prior Year'!Y85), 0)</f>
        <v>33779612</v>
      </c>
      <c r="C37" s="227">
        <f>data!Y85</f>
        <v>36775810.389999993</v>
      </c>
      <c r="D37" s="227">
        <f>ROUND(N('Prior Year'!Y59), 0)</f>
        <v>130442</v>
      </c>
      <c r="E37" s="1">
        <f>data!Y59</f>
        <v>297233</v>
      </c>
      <c r="F37" s="205">
        <f t="shared" si="0"/>
        <v>258.96269606415109</v>
      </c>
      <c r="G37" s="205">
        <f t="shared" si="5"/>
        <v>123.72721195156659</v>
      </c>
      <c r="H37" s="6">
        <f t="shared" si="6"/>
        <v>-0.52221994197605792</v>
      </c>
      <c r="I37" s="227" t="s">
        <v>1386</v>
      </c>
      <c r="M37" s="7"/>
    </row>
    <row r="38" spans="1:13" x14ac:dyDescent="0.25">
      <c r="A38" s="1" t="s">
        <v>759</v>
      </c>
      <c r="B38" s="227">
        <f>ROUND(N('Prior Year'!Z85), 0)</f>
        <v>3203330</v>
      </c>
      <c r="C38" s="227">
        <f>data!Z85</f>
        <v>2876099.3200000003</v>
      </c>
      <c r="D38" s="227">
        <f>ROUND(N('Prior Year'!Z59), 0)</f>
        <v>1616</v>
      </c>
      <c r="E38" s="1">
        <f>data!Z59</f>
        <v>1101</v>
      </c>
      <c r="F38" s="205">
        <f t="shared" si="0"/>
        <v>1982.2586633663366</v>
      </c>
      <c r="G38" s="205">
        <f t="shared" si="5"/>
        <v>2612.2609627611264</v>
      </c>
      <c r="H38" s="6">
        <f t="shared" si="6"/>
        <v>0.31782042931011811</v>
      </c>
      <c r="I38" s="227" t="s">
        <v>1386</v>
      </c>
      <c r="M38" s="7"/>
    </row>
    <row r="39" spans="1:13" x14ac:dyDescent="0.25">
      <c r="A39" s="1" t="s">
        <v>760</v>
      </c>
      <c r="B39" s="227">
        <f>ROUND(N('Prior Year'!AA85), 0)</f>
        <v>1736157</v>
      </c>
      <c r="C39" s="227">
        <f>data!AA85</f>
        <v>1817047.5000000002</v>
      </c>
      <c r="D39" s="227">
        <f>ROUND(N('Prior Year'!AA59), 0)</f>
        <v>1486</v>
      </c>
      <c r="E39" s="1">
        <f>data!AA59</f>
        <v>1436</v>
      </c>
      <c r="F39" s="205">
        <f t="shared" si="0"/>
        <v>1168.3425302826379</v>
      </c>
      <c r="G39" s="205">
        <f t="shared" si="5"/>
        <v>1265.3534122562676</v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761</v>
      </c>
      <c r="B40" s="227">
        <f>ROUND(N('Prior Year'!AB85), 0)</f>
        <v>137112269</v>
      </c>
      <c r="C40" s="227">
        <f>data!AB85</f>
        <v>159743689.25999999</v>
      </c>
      <c r="D40" s="227" t="s">
        <v>752</v>
      </c>
      <c r="E40" s="4" t="s">
        <v>752</v>
      </c>
      <c r="F40" s="205" t="s">
        <v>3</v>
      </c>
      <c r="G40" s="205" t="str">
        <f>IFERROR(IF(C40=0,"",IF(E40=0,"",C40/E40)),"")</f>
        <v/>
      </c>
      <c r="H40" s="6" t="s">
        <v>3</v>
      </c>
      <c r="I40" s="227" t="str">
        <f t="shared" si="3"/>
        <v/>
      </c>
      <c r="M40" s="7"/>
    </row>
    <row r="41" spans="1:13" x14ac:dyDescent="0.25">
      <c r="A41" s="1" t="s">
        <v>762</v>
      </c>
      <c r="B41" s="227">
        <f>ROUND(N('Prior Year'!AC85), 0)</f>
        <v>27959948</v>
      </c>
      <c r="C41" s="227">
        <f>data!AC85</f>
        <v>26755020.640000001</v>
      </c>
      <c r="D41" s="227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763</v>
      </c>
      <c r="B42" s="227">
        <f>ROUND(N('Prior Year'!AD85), 0)</f>
        <v>7556217</v>
      </c>
      <c r="C42" s="227">
        <f>data!AD85</f>
        <v>8704923.0200000014</v>
      </c>
      <c r="D42" s="227">
        <f>ROUND(N('Prior Year'!AD59), 0)</f>
        <v>10997</v>
      </c>
      <c r="E42" s="1">
        <f>data!AD59</f>
        <v>9863</v>
      </c>
      <c r="F42" s="205">
        <f t="shared" si="0"/>
        <v>687.1162135127762</v>
      </c>
      <c r="G42" s="205">
        <f t="shared" si="5"/>
        <v>882.58369867180386</v>
      </c>
      <c r="H42" s="6">
        <f t="shared" si="7"/>
        <v>0.28447514600147494</v>
      </c>
      <c r="I42" s="227" t="s">
        <v>1385</v>
      </c>
      <c r="M42" s="7"/>
    </row>
    <row r="43" spans="1:13" x14ac:dyDescent="0.25">
      <c r="A43" s="1" t="s">
        <v>764</v>
      </c>
      <c r="B43" s="227">
        <f>ROUND(N('Prior Year'!AE85), 0)</f>
        <v>17940074</v>
      </c>
      <c r="C43" s="227">
        <f>data!AE85</f>
        <v>19471909.100000001</v>
      </c>
      <c r="D43" s="227">
        <f>ROUND(N('Prior Year'!AE59), 0)</f>
        <v>198988</v>
      </c>
      <c r="E43" s="1">
        <f>data!AE59</f>
        <v>193002</v>
      </c>
      <c r="F43" s="205">
        <f t="shared" si="0"/>
        <v>90.156562204756071</v>
      </c>
      <c r="G43" s="205">
        <f t="shared" si="5"/>
        <v>100.88967523652606</v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765</v>
      </c>
      <c r="B44" s="227">
        <f>ROUND(N('Prior Year'!AF85), 0)</f>
        <v>27353204</v>
      </c>
      <c r="C44" s="227">
        <f>data!AF85</f>
        <v>28601367.089999992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766</v>
      </c>
      <c r="B45" s="227">
        <f>ROUND(N('Prior Year'!AG85), 0)</f>
        <v>45113126</v>
      </c>
      <c r="C45" s="227">
        <f>data!AG85</f>
        <v>42211401.059999995</v>
      </c>
      <c r="D45" s="227">
        <f>ROUND(N('Prior Year'!AG59), 0)</f>
        <v>120710</v>
      </c>
      <c r="E45" s="1">
        <f>data!AG59</f>
        <v>114310</v>
      </c>
      <c r="F45" s="205">
        <f t="shared" si="0"/>
        <v>373.73147212327063</v>
      </c>
      <c r="G45" s="205">
        <f t="shared" si="5"/>
        <v>369.27128912606065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767</v>
      </c>
      <c r="B46" s="227">
        <f>ROUND(N('Prior Year'!AH85), 0)</f>
        <v>6944801</v>
      </c>
      <c r="C46" s="227">
        <f>data!AH85</f>
        <v>11919222.340000002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768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27">
        <f>ROUND(N('Prior Year'!AJ85), 0)</f>
        <v>213226563</v>
      </c>
      <c r="C48" s="227">
        <f>data!AJ85</f>
        <v>234970226.87</v>
      </c>
      <c r="D48" s="227">
        <f>ROUND(N('Prior Year'!AJ59), 0)</f>
        <v>509</v>
      </c>
      <c r="E48" s="1">
        <f>data!AJ59</f>
        <v>973</v>
      </c>
      <c r="F48" s="205">
        <f t="shared" si="0"/>
        <v>418912.69744597247</v>
      </c>
      <c r="G48" s="205">
        <f t="shared" si="5"/>
        <v>241490.46954779033</v>
      </c>
      <c r="H48" s="6">
        <f t="shared" si="7"/>
        <v>-0.42353031784400486</v>
      </c>
      <c r="I48" s="227" t="s">
        <v>1384</v>
      </c>
      <c r="M48" s="7"/>
    </row>
    <row r="49" spans="1:13" x14ac:dyDescent="0.25">
      <c r="A49" s="1" t="s">
        <v>770</v>
      </c>
      <c r="B49" s="227">
        <f>ROUND(N('Prior Year'!AK85), 0)</f>
        <v>4990344</v>
      </c>
      <c r="C49" s="227">
        <f>data!AK85</f>
        <v>5038545.129999999</v>
      </c>
      <c r="D49" s="227">
        <f>ROUND(N('Prior Year'!AK59), 0)</f>
        <v>80477</v>
      </c>
      <c r="E49" s="1">
        <f>data!AK59</f>
        <v>74242</v>
      </c>
      <c r="F49" s="205">
        <f t="shared" si="0"/>
        <v>62.009567951091618</v>
      </c>
      <c r="G49" s="205">
        <f t="shared" si="5"/>
        <v>67.866505886156077</v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771</v>
      </c>
      <c r="B50" s="227">
        <f>ROUND(N('Prior Year'!AL85), 0)</f>
        <v>3408952</v>
      </c>
      <c r="C50" s="227">
        <f>data!AL85</f>
        <v>3913287.35</v>
      </c>
      <c r="D50" s="227">
        <f>ROUND(N('Prior Year'!AL59), 0)</f>
        <v>60167</v>
      </c>
      <c r="E50" s="1">
        <f>data!AL59</f>
        <v>64481</v>
      </c>
      <c r="F50" s="205">
        <f t="shared" si="0"/>
        <v>56.658168098791698</v>
      </c>
      <c r="G50" s="205">
        <f t="shared" si="5"/>
        <v>60.688999085001782</v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772</v>
      </c>
      <c r="B51" s="227">
        <f>ROUND(N('Prior Year'!AM85), 0)</f>
        <v>3714714</v>
      </c>
      <c r="C51" s="227">
        <f>data!AM85</f>
        <v>5202205.5900000008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773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774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775</v>
      </c>
      <c r="B54" s="227">
        <f>ROUND(N('Prior Year'!AP85), 0)</f>
        <v>0</v>
      </c>
      <c r="C54" s="227">
        <f>data!AP85</f>
        <v>0</v>
      </c>
      <c r="D54" s="227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5"/>
        <v/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776</v>
      </c>
      <c r="B55" s="227">
        <f>ROUND(N('Prior Year'!AQ85), 0)</f>
        <v>0</v>
      </c>
      <c r="C55" s="227">
        <f>data!AQ85</f>
        <v>249.2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777</v>
      </c>
      <c r="B56" s="227">
        <f>ROUND(N('Prior Year'!AR85), 0)</f>
        <v>22087210</v>
      </c>
      <c r="C56" s="227">
        <f>data!AR85</f>
        <v>22834047.5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778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779</v>
      </c>
      <c r="B58" s="227">
        <f>ROUND(N('Prior Year'!AT85), 0)</f>
        <v>3582129</v>
      </c>
      <c r="C58" s="227">
        <f>data!AT85</f>
        <v>5380385.2599999998</v>
      </c>
      <c r="D58" s="227">
        <f>ROUND(N('Prior Year'!AT59), 0)</f>
        <v>49</v>
      </c>
      <c r="E58" s="1">
        <f>data!AT59</f>
        <v>51</v>
      </c>
      <c r="F58" s="205">
        <f t="shared" si="0"/>
        <v>73104.673469387752</v>
      </c>
      <c r="G58" s="205">
        <f t="shared" si="5"/>
        <v>105497.75019607843</v>
      </c>
      <c r="H58" s="6">
        <f t="shared" si="7"/>
        <v>0.44310541569213258</v>
      </c>
      <c r="I58" s="227" t="s">
        <v>1383</v>
      </c>
      <c r="M58" s="7"/>
    </row>
    <row r="59" spans="1:13" x14ac:dyDescent="0.25">
      <c r="A59" s="1" t="s">
        <v>780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781</v>
      </c>
      <c r="B60" s="227">
        <f>ROUND(N('Prior Year'!AV85), 0)</f>
        <v>8695744</v>
      </c>
      <c r="C60" s="227">
        <f>data!AV85</f>
        <v>8914223.5600000024</v>
      </c>
      <c r="D60" s="227" t="s">
        <v>752</v>
      </c>
      <c r="E60" s="4" t="s">
        <v>752</v>
      </c>
      <c r="F60" s="205" t="s">
        <v>3</v>
      </c>
      <c r="G60" s="205"/>
      <c r="H60" s="6" t="s">
        <v>3</v>
      </c>
      <c r="I60" s="227" t="str">
        <f t="shared" si="8"/>
        <v/>
      </c>
      <c r="M60" s="7"/>
    </row>
    <row r="61" spans="1:13" x14ac:dyDescent="0.25">
      <c r="A61" s="1" t="s">
        <v>782</v>
      </c>
      <c r="B61" s="227">
        <f>ROUND(N('Prior Year'!AW85), 0)</f>
        <v>180094481</v>
      </c>
      <c r="C61" s="227">
        <f>data!AW85</f>
        <v>187250289.34000003</v>
      </c>
      <c r="D61" s="227" t="s">
        <v>752</v>
      </c>
      <c r="E61" s="4" t="s">
        <v>752</v>
      </c>
      <c r="F61" s="205" t="s">
        <v>3</v>
      </c>
      <c r="G61" s="205"/>
      <c r="H61" s="6" t="s">
        <v>3</v>
      </c>
      <c r="I61" s="227" t="str">
        <f t="shared" si="8"/>
        <v/>
      </c>
      <c r="M61" s="7"/>
    </row>
    <row r="62" spans="1:13" x14ac:dyDescent="0.25">
      <c r="A62" s="1" t="s">
        <v>783</v>
      </c>
      <c r="B62" s="227">
        <f>ROUND(N('Prior Year'!AX85), 0)</f>
        <v>1544578</v>
      </c>
      <c r="C62" s="227">
        <f>data!AX85</f>
        <v>1197835.5900000001</v>
      </c>
      <c r="D62" s="227" t="s">
        <v>752</v>
      </c>
      <c r="E62" s="4" t="s">
        <v>752</v>
      </c>
      <c r="F62" s="205" t="s">
        <v>3</v>
      </c>
      <c r="G62" s="205"/>
      <c r="H62" s="6" t="s">
        <v>3</v>
      </c>
      <c r="I62" s="227" t="str">
        <f t="shared" si="8"/>
        <v/>
      </c>
      <c r="M62" s="7"/>
    </row>
    <row r="63" spans="1:13" x14ac:dyDescent="0.25">
      <c r="A63" s="1" t="s">
        <v>784</v>
      </c>
      <c r="B63" s="227">
        <f>ROUND(N('Prior Year'!AY85), 0)</f>
        <v>19761594</v>
      </c>
      <c r="C63" s="227">
        <f>data!AY85</f>
        <v>21763662.66</v>
      </c>
      <c r="D63" s="227">
        <f>ROUND(N('Prior Year'!AY59), 0)</f>
        <v>1067133</v>
      </c>
      <c r="E63" s="1">
        <f>data!AY59</f>
        <v>1104198</v>
      </c>
      <c r="F63" s="205">
        <f>IF(B63=0,"",IF(D63=0,"",B63/D63))</f>
        <v>18.5183983627158</v>
      </c>
      <c r="G63" s="205">
        <f t="shared" si="5"/>
        <v>19.709927621676549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785</v>
      </c>
      <c r="B64" s="227">
        <f>ROUND(N('Prior Year'!AZ85), 0)</f>
        <v>586970</v>
      </c>
      <c r="C64" s="227">
        <f>data!AZ85</f>
        <v>158196.30999999994</v>
      </c>
      <c r="D64" s="227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786</v>
      </c>
      <c r="B65" s="227">
        <f>ROUND(N('Prior Year'!BA85), 0)</f>
        <v>4725631</v>
      </c>
      <c r="C65" s="227">
        <f>data!BA85</f>
        <v>4509875.4800000004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787</v>
      </c>
      <c r="B66" s="227">
        <f>ROUND(N('Prior Year'!BB85), 0)</f>
        <v>28963313</v>
      </c>
      <c r="C66" s="227">
        <f>data!BB85</f>
        <v>28653151.210000008</v>
      </c>
      <c r="D66" s="227" t="s">
        <v>752</v>
      </c>
      <c r="E66" s="4" t="s">
        <v>752</v>
      </c>
      <c r="F66" s="205" t="s">
        <v>3</v>
      </c>
      <c r="G66" s="205" t="str">
        <f t="shared" ref="G66:G68" si="9">IFERROR(IF(C66=0,"",IF(E66=0,"",C66/E66)),"")</f>
        <v/>
      </c>
      <c r="H66" s="6" t="s">
        <v>3</v>
      </c>
      <c r="I66" s="227" t="str">
        <f t="shared" si="8"/>
        <v/>
      </c>
      <c r="M66" s="7"/>
    </row>
    <row r="67" spans="1:13" x14ac:dyDescent="0.25">
      <c r="A67" s="1" t="s">
        <v>788</v>
      </c>
      <c r="B67" s="227">
        <f>ROUND(N('Prior Year'!BC85), 0)</f>
        <v>437029</v>
      </c>
      <c r="C67" s="227">
        <f>data!BC85</f>
        <v>399525.58999999997</v>
      </c>
      <c r="D67" s="227" t="s">
        <v>752</v>
      </c>
      <c r="E67" s="4" t="s">
        <v>752</v>
      </c>
      <c r="F67" s="205" t="s">
        <v>3</v>
      </c>
      <c r="G67" s="205" t="str">
        <f t="shared" si="9"/>
        <v/>
      </c>
      <c r="H67" s="6" t="s">
        <v>3</v>
      </c>
      <c r="I67" s="227" t="str">
        <f t="shared" si="8"/>
        <v/>
      </c>
      <c r="M67" s="7"/>
    </row>
    <row r="68" spans="1:13" x14ac:dyDescent="0.25">
      <c r="A68" s="1" t="s">
        <v>789</v>
      </c>
      <c r="B68" s="227">
        <f>ROUND(N('Prior Year'!BD85), 0)</f>
        <v>5158273</v>
      </c>
      <c r="C68" s="227">
        <f>data!BD85</f>
        <v>3228188.4499999997</v>
      </c>
      <c r="D68" s="227" t="s">
        <v>752</v>
      </c>
      <c r="E68" s="4" t="s">
        <v>752</v>
      </c>
      <c r="F68" s="205" t="s">
        <v>3</v>
      </c>
      <c r="G68" s="205" t="str">
        <f t="shared" si="9"/>
        <v/>
      </c>
      <c r="H68" s="6" t="s">
        <v>3</v>
      </c>
      <c r="I68" s="227" t="str">
        <f t="shared" si="8"/>
        <v/>
      </c>
      <c r="M68" s="7"/>
    </row>
    <row r="69" spans="1:13" x14ac:dyDescent="0.25">
      <c r="A69" s="1" t="s">
        <v>790</v>
      </c>
      <c r="B69" s="227">
        <f>ROUND(N('Prior Year'!BE85), 0)</f>
        <v>86890545</v>
      </c>
      <c r="C69" s="227">
        <f>data!BE85</f>
        <v>111065610.32000002</v>
      </c>
      <c r="D69" s="227">
        <f>ROUND(N('Prior Year'!BE59), 0)</f>
        <v>2388194</v>
      </c>
      <c r="E69" s="1">
        <f>data!BE59</f>
        <v>1387127.6146800872</v>
      </c>
      <c r="F69" s="205">
        <f>IF(B69=0,"",IF(D69=0,"",B69/D69))</f>
        <v>36.383369609001612</v>
      </c>
      <c r="G69" s="205">
        <f t="shared" si="5"/>
        <v>80.068776040923282</v>
      </c>
      <c r="H69" s="6">
        <f>IF(B69 = 0, "", IF(C69 = 0, "", IF(D69 = 0, "", IF(E69 = 0, "", IF(G69 / F69 - 1 &lt; -0.25, G69 / F69 - 1, IF(G69 / F69 - 1 &gt; 0.25, G69 / F69 - 1, ""))))))</f>
        <v>1.2006971014887378</v>
      </c>
      <c r="I69" s="227" t="s">
        <v>1382</v>
      </c>
      <c r="M69" s="7"/>
    </row>
    <row r="70" spans="1:13" x14ac:dyDescent="0.25">
      <c r="A70" s="1" t="s">
        <v>791</v>
      </c>
      <c r="B70" s="227">
        <f>ROUND(N('Prior Year'!BF85), 0)</f>
        <v>20114288</v>
      </c>
      <c r="C70" s="227">
        <f>data!BF85</f>
        <v>22748890.759999994</v>
      </c>
      <c r="D70" s="227" t="s">
        <v>752</v>
      </c>
      <c r="E70" s="4" t="s">
        <v>752</v>
      </c>
      <c r="F70" s="205" t="s">
        <v>3</v>
      </c>
      <c r="G70" s="205" t="str">
        <f t="shared" ref="G70:G94" si="10">IFERROR(IF(C70=0,"",IF(E70=0,"",C70/E70)),"")</f>
        <v/>
      </c>
      <c r="H70" s="6" t="s">
        <v>3</v>
      </c>
      <c r="I70" s="227" t="str">
        <f t="shared" si="8"/>
        <v/>
      </c>
      <c r="M70" s="7"/>
    </row>
    <row r="71" spans="1:13" x14ac:dyDescent="0.25">
      <c r="A71" s="1" t="s">
        <v>792</v>
      </c>
      <c r="B71" s="227">
        <f>ROUND(N('Prior Year'!BG85), 0)</f>
        <v>5691674</v>
      </c>
      <c r="C71" s="227">
        <f>data!BG85</f>
        <v>5720711.2400000002</v>
      </c>
      <c r="D71" s="227" t="s">
        <v>752</v>
      </c>
      <c r="E71" s="4" t="s">
        <v>752</v>
      </c>
      <c r="F71" s="205" t="s">
        <v>3</v>
      </c>
      <c r="G71" s="205" t="str">
        <f t="shared" si="10"/>
        <v/>
      </c>
      <c r="H71" s="6" t="s">
        <v>3</v>
      </c>
      <c r="I71" s="227" t="str">
        <f t="shared" si="8"/>
        <v/>
      </c>
      <c r="M71" s="7"/>
    </row>
    <row r="72" spans="1:13" x14ac:dyDescent="0.25">
      <c r="A72" s="1" t="s">
        <v>793</v>
      </c>
      <c r="B72" s="227">
        <f>ROUND(N('Prior Year'!BH85), 0)</f>
        <v>110688108</v>
      </c>
      <c r="C72" s="227">
        <f>data!BH85</f>
        <v>113113570.09</v>
      </c>
      <c r="D72" s="227" t="s">
        <v>752</v>
      </c>
      <c r="E72" s="4" t="s">
        <v>752</v>
      </c>
      <c r="F72" s="205" t="s">
        <v>3</v>
      </c>
      <c r="G72" s="205" t="str">
        <f t="shared" si="10"/>
        <v/>
      </c>
      <c r="H72" s="6" t="s">
        <v>3</v>
      </c>
      <c r="I72" s="227" t="str">
        <f t="shared" si="8"/>
        <v/>
      </c>
      <c r="M72" s="7"/>
    </row>
    <row r="73" spans="1:13" x14ac:dyDescent="0.25">
      <c r="A73" s="1" t="s">
        <v>794</v>
      </c>
      <c r="B73" s="227">
        <f>ROUND(N('Prior Year'!BI85), 0)</f>
        <v>8928039</v>
      </c>
      <c r="C73" s="227">
        <f>data!BI85</f>
        <v>7719081.8400000008</v>
      </c>
      <c r="D73" s="227" t="s">
        <v>752</v>
      </c>
      <c r="E73" s="4" t="s">
        <v>752</v>
      </c>
      <c r="F73" s="205" t="s">
        <v>3</v>
      </c>
      <c r="G73" s="205" t="str">
        <f t="shared" si="10"/>
        <v/>
      </c>
      <c r="H73" s="6" t="s">
        <v>3</v>
      </c>
      <c r="I73" s="227" t="str">
        <f t="shared" si="8"/>
        <v/>
      </c>
      <c r="M73" s="7"/>
    </row>
    <row r="74" spans="1:13" x14ac:dyDescent="0.25">
      <c r="A74" s="1" t="s">
        <v>795</v>
      </c>
      <c r="B74" s="227">
        <f>ROUND(N('Prior Year'!BJ85), 0)</f>
        <v>12765713</v>
      </c>
      <c r="C74" s="227">
        <f>data!BJ85</f>
        <v>14586350.919999998</v>
      </c>
      <c r="D74" s="227" t="s">
        <v>752</v>
      </c>
      <c r="E74" s="4" t="s">
        <v>752</v>
      </c>
      <c r="F74" s="205" t="s">
        <v>3</v>
      </c>
      <c r="G74" s="205" t="str">
        <f t="shared" si="10"/>
        <v/>
      </c>
      <c r="H74" s="6" t="s">
        <v>3</v>
      </c>
      <c r="I74" s="227" t="str">
        <f t="shared" si="8"/>
        <v/>
      </c>
      <c r="M74" s="7"/>
    </row>
    <row r="75" spans="1:13" x14ac:dyDescent="0.25">
      <c r="A75" s="1" t="s">
        <v>796</v>
      </c>
      <c r="B75" s="227">
        <f>ROUND(N('Prior Year'!BK85), 0)</f>
        <v>18224175</v>
      </c>
      <c r="C75" s="227">
        <f>data!BK85</f>
        <v>18366651.579999998</v>
      </c>
      <c r="D75" s="227" t="s">
        <v>752</v>
      </c>
      <c r="E75" s="4" t="s">
        <v>752</v>
      </c>
      <c r="F75" s="205" t="s">
        <v>3</v>
      </c>
      <c r="G75" s="205" t="str">
        <f t="shared" si="10"/>
        <v/>
      </c>
      <c r="H75" s="6" t="s">
        <v>3</v>
      </c>
      <c r="I75" s="227" t="str">
        <f t="shared" si="8"/>
        <v/>
      </c>
      <c r="M75" s="7"/>
    </row>
    <row r="76" spans="1:13" x14ac:dyDescent="0.25">
      <c r="A76" s="1" t="s">
        <v>797</v>
      </c>
      <c r="B76" s="227">
        <f>ROUND(N('Prior Year'!BL85), 0)</f>
        <v>11173635</v>
      </c>
      <c r="C76" s="227">
        <f>data!BL85</f>
        <v>11045599.899999999</v>
      </c>
      <c r="D76" s="227" t="s">
        <v>752</v>
      </c>
      <c r="E76" s="4" t="s">
        <v>752</v>
      </c>
      <c r="F76" s="205" t="s">
        <v>3</v>
      </c>
      <c r="G76" s="205" t="str">
        <f t="shared" si="10"/>
        <v/>
      </c>
      <c r="H76" s="6" t="s">
        <v>3</v>
      </c>
      <c r="I76" s="227" t="str">
        <f t="shared" si="8"/>
        <v/>
      </c>
      <c r="M76" s="7"/>
    </row>
    <row r="77" spans="1:13" x14ac:dyDescent="0.25">
      <c r="A77" s="1" t="s">
        <v>798</v>
      </c>
      <c r="B77" s="227">
        <f>ROUND(N('Prior Year'!BM85), 0)</f>
        <v>0</v>
      </c>
      <c r="C77" s="227">
        <f>data!BM85</f>
        <v>0</v>
      </c>
      <c r="D77" s="227" t="s">
        <v>752</v>
      </c>
      <c r="E77" s="4" t="s">
        <v>752</v>
      </c>
      <c r="F77" s="205" t="s">
        <v>3</v>
      </c>
      <c r="G77" s="205" t="str">
        <f t="shared" si="10"/>
        <v/>
      </c>
      <c r="H77" s="6" t="s">
        <v>3</v>
      </c>
      <c r="I77" s="227" t="str">
        <f t="shared" si="8"/>
        <v/>
      </c>
      <c r="M77" s="7"/>
    </row>
    <row r="78" spans="1:13" x14ac:dyDescent="0.25">
      <c r="A78" s="1" t="s">
        <v>799</v>
      </c>
      <c r="B78" s="227">
        <f>ROUND(N('Prior Year'!BN85), 0)</f>
        <v>36045435</v>
      </c>
      <c r="C78" s="227">
        <f>data!BN85</f>
        <v>46339349.309999995</v>
      </c>
      <c r="D78" s="227" t="s">
        <v>752</v>
      </c>
      <c r="E78" s="4" t="s">
        <v>752</v>
      </c>
      <c r="F78" s="205" t="s">
        <v>3</v>
      </c>
      <c r="G78" s="205" t="str">
        <f t="shared" si="10"/>
        <v/>
      </c>
      <c r="H78" s="6" t="s">
        <v>3</v>
      </c>
      <c r="I78" s="227" t="str">
        <f t="shared" si="8"/>
        <v/>
      </c>
      <c r="M78" s="7"/>
    </row>
    <row r="79" spans="1:13" x14ac:dyDescent="0.25">
      <c r="A79" s="1" t="s">
        <v>800</v>
      </c>
      <c r="B79" s="227">
        <f>ROUND(N('Prior Year'!BO85), 0)</f>
        <v>2316033</v>
      </c>
      <c r="C79" s="227">
        <f>data!BO85</f>
        <v>2258765.5200000005</v>
      </c>
      <c r="D79" s="227" t="s">
        <v>752</v>
      </c>
      <c r="E79" s="4" t="s">
        <v>752</v>
      </c>
      <c r="F79" s="205" t="s">
        <v>3</v>
      </c>
      <c r="G79" s="205" t="str">
        <f t="shared" si="10"/>
        <v/>
      </c>
      <c r="H79" s="6" t="s">
        <v>3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27">
        <f>ROUND(N('Prior Year'!BP85), 0)</f>
        <v>11777312</v>
      </c>
      <c r="C80" s="227">
        <f>data!BP85</f>
        <v>11573837.439999999</v>
      </c>
      <c r="D80" s="227" t="s">
        <v>752</v>
      </c>
      <c r="E80" s="4" t="s">
        <v>752</v>
      </c>
      <c r="F80" s="205" t="s">
        <v>3</v>
      </c>
      <c r="G80" s="205" t="str">
        <f t="shared" si="10"/>
        <v/>
      </c>
      <c r="H80" s="6" t="s">
        <v>3</v>
      </c>
      <c r="I80" s="227" t="str">
        <f t="shared" si="11"/>
        <v/>
      </c>
      <c r="M80" s="7"/>
    </row>
    <row r="81" spans="1:13" x14ac:dyDescent="0.25">
      <c r="A81" s="1" t="s">
        <v>802</v>
      </c>
      <c r="B81" s="227">
        <f>ROUND(N('Prior Year'!BQ85), 0)</f>
        <v>12356222</v>
      </c>
      <c r="C81" s="227">
        <f>data!BQ85</f>
        <v>11091094.710000001</v>
      </c>
      <c r="D81" s="227" t="s">
        <v>752</v>
      </c>
      <c r="E81" s="4" t="s">
        <v>752</v>
      </c>
      <c r="F81" s="205" t="s">
        <v>3</v>
      </c>
      <c r="G81" s="205" t="str">
        <f t="shared" si="10"/>
        <v/>
      </c>
      <c r="H81" s="6" t="s">
        <v>3</v>
      </c>
      <c r="I81" s="227" t="str">
        <f t="shared" si="11"/>
        <v/>
      </c>
      <c r="M81" s="7"/>
    </row>
    <row r="82" spans="1:13" x14ac:dyDescent="0.25">
      <c r="A82" s="1" t="s">
        <v>803</v>
      </c>
      <c r="B82" s="227">
        <f>ROUND(N('Prior Year'!BR85), 0)</f>
        <v>26032765</v>
      </c>
      <c r="C82" s="227">
        <f>data!BR85</f>
        <v>23353633.710000001</v>
      </c>
      <c r="D82" s="227" t="s">
        <v>752</v>
      </c>
      <c r="E82" s="4" t="s">
        <v>752</v>
      </c>
      <c r="F82" s="205" t="s">
        <v>3</v>
      </c>
      <c r="G82" s="205" t="str">
        <f t="shared" si="10"/>
        <v/>
      </c>
      <c r="H82" s="6" t="s">
        <v>3</v>
      </c>
      <c r="I82" s="227" t="str">
        <f t="shared" si="11"/>
        <v/>
      </c>
      <c r="M82" s="7"/>
    </row>
    <row r="83" spans="1:13" x14ac:dyDescent="0.25">
      <c r="A83" s="1" t="s">
        <v>804</v>
      </c>
      <c r="B83" s="227">
        <f>ROUND(N('Prior Year'!BS85), 0)</f>
        <v>39962</v>
      </c>
      <c r="C83" s="227">
        <f>data!BS85</f>
        <v>69634</v>
      </c>
      <c r="D83" s="227" t="s">
        <v>752</v>
      </c>
      <c r="E83" s="4" t="s">
        <v>752</v>
      </c>
      <c r="F83" s="205" t="s">
        <v>3</v>
      </c>
      <c r="G83" s="205" t="str">
        <f t="shared" si="10"/>
        <v/>
      </c>
      <c r="H83" s="6" t="s">
        <v>3</v>
      </c>
      <c r="I83" s="227" t="str">
        <f t="shared" si="11"/>
        <v/>
      </c>
      <c r="M83" s="7"/>
    </row>
    <row r="84" spans="1:13" x14ac:dyDescent="0.25">
      <c r="A84" s="1" t="s">
        <v>805</v>
      </c>
      <c r="B84" s="227">
        <f>ROUND(N('Prior Year'!BT85), 0)</f>
        <v>1147250</v>
      </c>
      <c r="C84" s="227">
        <f>data!BT85</f>
        <v>1672434.1600000001</v>
      </c>
      <c r="D84" s="227" t="s">
        <v>752</v>
      </c>
      <c r="E84" s="4" t="s">
        <v>752</v>
      </c>
      <c r="F84" s="205" t="s">
        <v>3</v>
      </c>
      <c r="G84" s="205" t="str">
        <f t="shared" si="10"/>
        <v/>
      </c>
      <c r="H84" s="6" t="s">
        <v>3</v>
      </c>
      <c r="I84" s="227" t="str">
        <f t="shared" si="11"/>
        <v/>
      </c>
      <c r="M84" s="7"/>
    </row>
    <row r="85" spans="1:13" x14ac:dyDescent="0.25">
      <c r="A85" s="1" t="s">
        <v>806</v>
      </c>
      <c r="B85" s="227">
        <f>ROUND(N('Prior Year'!BU85), 0)</f>
        <v>1583308</v>
      </c>
      <c r="C85" s="227">
        <f>data!BU85</f>
        <v>1848632.08</v>
      </c>
      <c r="D85" s="227" t="s">
        <v>752</v>
      </c>
      <c r="E85" s="4" t="s">
        <v>752</v>
      </c>
      <c r="F85" s="205" t="s">
        <v>3</v>
      </c>
      <c r="G85" s="205" t="str">
        <f t="shared" si="10"/>
        <v/>
      </c>
      <c r="H85" s="6" t="s">
        <v>3</v>
      </c>
      <c r="I85" s="227" t="str">
        <f t="shared" si="11"/>
        <v/>
      </c>
      <c r="M85" s="7"/>
    </row>
    <row r="86" spans="1:13" x14ac:dyDescent="0.25">
      <c r="A86" s="1" t="s">
        <v>807</v>
      </c>
      <c r="B86" s="227">
        <f>ROUND(N('Prior Year'!BV85), 0)</f>
        <v>3927246</v>
      </c>
      <c r="C86" s="227">
        <f>data!BV85</f>
        <v>3347707.7899999996</v>
      </c>
      <c r="D86" s="227" t="s">
        <v>752</v>
      </c>
      <c r="E86" s="4" t="s">
        <v>752</v>
      </c>
      <c r="F86" s="205" t="s">
        <v>3</v>
      </c>
      <c r="G86" s="205" t="str">
        <f t="shared" si="10"/>
        <v/>
      </c>
      <c r="H86" s="6" t="s">
        <v>3</v>
      </c>
      <c r="I86" s="227" t="str">
        <f t="shared" si="11"/>
        <v/>
      </c>
      <c r="M86" s="7"/>
    </row>
    <row r="87" spans="1:13" x14ac:dyDescent="0.25">
      <c r="A87" s="1" t="s">
        <v>808</v>
      </c>
      <c r="B87" s="227">
        <f>ROUND(N('Prior Year'!BW85), 0)</f>
        <v>40414289</v>
      </c>
      <c r="C87" s="227">
        <f>data!BW85</f>
        <v>46405284</v>
      </c>
      <c r="D87" s="227" t="s">
        <v>752</v>
      </c>
      <c r="E87" s="4" t="s">
        <v>752</v>
      </c>
      <c r="F87" s="205" t="s">
        <v>3</v>
      </c>
      <c r="G87" s="205" t="str">
        <f t="shared" si="10"/>
        <v/>
      </c>
      <c r="H87" s="6" t="s">
        <v>3</v>
      </c>
      <c r="I87" s="227" t="str">
        <f t="shared" si="11"/>
        <v/>
      </c>
      <c r="M87" s="7"/>
    </row>
    <row r="88" spans="1:13" x14ac:dyDescent="0.25">
      <c r="A88" s="1" t="s">
        <v>809</v>
      </c>
      <c r="B88" s="227">
        <f>ROUND(N('Prior Year'!BX85), 0)</f>
        <v>21557166</v>
      </c>
      <c r="C88" s="227">
        <f>data!BX85</f>
        <v>21826672.260000002</v>
      </c>
      <c r="D88" s="227" t="s">
        <v>752</v>
      </c>
      <c r="E88" s="4" t="s">
        <v>752</v>
      </c>
      <c r="F88" s="205" t="s">
        <v>3</v>
      </c>
      <c r="G88" s="205" t="str">
        <f t="shared" si="10"/>
        <v/>
      </c>
      <c r="H88" s="6" t="s">
        <v>3</v>
      </c>
      <c r="I88" s="227" t="str">
        <f t="shared" si="11"/>
        <v/>
      </c>
      <c r="M88" s="7"/>
    </row>
    <row r="89" spans="1:13" x14ac:dyDescent="0.25">
      <c r="A89" s="1" t="s">
        <v>810</v>
      </c>
      <c r="B89" s="227">
        <f>ROUND(N('Prior Year'!BY85), 0)</f>
        <v>17505168</v>
      </c>
      <c r="C89" s="227">
        <f>data!BY85</f>
        <v>20620006.959999997</v>
      </c>
      <c r="D89" s="227" t="s">
        <v>752</v>
      </c>
      <c r="E89" s="4" t="s">
        <v>752</v>
      </c>
      <c r="F89" s="205" t="s">
        <v>3</v>
      </c>
      <c r="G89" s="205" t="str">
        <f t="shared" si="10"/>
        <v/>
      </c>
      <c r="H89" s="6" t="s">
        <v>3</v>
      </c>
      <c r="I89" s="227" t="str">
        <f t="shared" si="11"/>
        <v/>
      </c>
      <c r="M89" s="7"/>
    </row>
    <row r="90" spans="1:13" x14ac:dyDescent="0.25">
      <c r="A90" s="1" t="s">
        <v>811</v>
      </c>
      <c r="B90" s="227">
        <f>ROUND(N('Prior Year'!BZ85), 0)</f>
        <v>8774350</v>
      </c>
      <c r="C90" s="227">
        <f>data!BZ85</f>
        <v>9797236.4799999986</v>
      </c>
      <c r="D90" s="227" t="s">
        <v>752</v>
      </c>
      <c r="E90" s="4" t="s">
        <v>752</v>
      </c>
      <c r="F90" s="205" t="s">
        <v>3</v>
      </c>
      <c r="G90" s="205" t="str">
        <f t="shared" si="10"/>
        <v/>
      </c>
      <c r="H90" s="6" t="s">
        <v>3</v>
      </c>
      <c r="I90" s="227" t="str">
        <f t="shared" si="11"/>
        <v/>
      </c>
      <c r="M90" s="7"/>
    </row>
    <row r="91" spans="1:13" x14ac:dyDescent="0.25">
      <c r="A91" s="1" t="s">
        <v>812</v>
      </c>
      <c r="B91" s="227">
        <f>ROUND(N('Prior Year'!CA85), 0)</f>
        <v>0</v>
      </c>
      <c r="C91" s="227">
        <f>data!CA85</f>
        <v>0</v>
      </c>
      <c r="D91" s="227" t="s">
        <v>752</v>
      </c>
      <c r="E91" s="4" t="s">
        <v>752</v>
      </c>
      <c r="F91" s="205" t="s">
        <v>3</v>
      </c>
      <c r="G91" s="205" t="str">
        <f t="shared" si="10"/>
        <v/>
      </c>
      <c r="H91" s="6" t="s">
        <v>3</v>
      </c>
      <c r="I91" s="227" t="str">
        <f t="shared" si="11"/>
        <v/>
      </c>
      <c r="M91" s="7"/>
    </row>
    <row r="92" spans="1:13" x14ac:dyDescent="0.25">
      <c r="A92" s="1" t="s">
        <v>813</v>
      </c>
      <c r="B92" s="227">
        <f>ROUND(N('Prior Year'!CB85), 0)</f>
        <v>0</v>
      </c>
      <c r="C92" s="227">
        <f>data!CB85</f>
        <v>0</v>
      </c>
      <c r="D92" s="227" t="s">
        <v>752</v>
      </c>
      <c r="E92" s="4" t="s">
        <v>752</v>
      </c>
      <c r="F92" s="205" t="s">
        <v>3</v>
      </c>
      <c r="G92" s="205" t="str">
        <f t="shared" si="10"/>
        <v/>
      </c>
      <c r="H92" s="6" t="s">
        <v>3</v>
      </c>
      <c r="I92" s="227" t="str">
        <f t="shared" si="11"/>
        <v/>
      </c>
      <c r="M92" s="7"/>
    </row>
    <row r="93" spans="1:13" x14ac:dyDescent="0.25">
      <c r="A93" s="1" t="s">
        <v>814</v>
      </c>
      <c r="B93" s="227">
        <f>ROUND(N('Prior Year'!CC85), 0)</f>
        <v>88695874</v>
      </c>
      <c r="C93" s="227">
        <f>data!CC85</f>
        <v>128936317.71000001</v>
      </c>
      <c r="D93" s="227" t="s">
        <v>752</v>
      </c>
      <c r="E93" s="4" t="s">
        <v>752</v>
      </c>
      <c r="F93" s="205" t="s">
        <v>3</v>
      </c>
      <c r="G93" s="205" t="str">
        <f t="shared" si="10"/>
        <v/>
      </c>
      <c r="H93" s="6" t="s">
        <v>3</v>
      </c>
      <c r="I93" s="227" t="str">
        <f t="shared" si="11"/>
        <v/>
      </c>
      <c r="M93" s="7"/>
    </row>
    <row r="94" spans="1:13" x14ac:dyDescent="0.25">
      <c r="A94" s="1" t="s">
        <v>815</v>
      </c>
      <c r="B94" s="227">
        <f>ROUND(N('Prior Year'!CD85), 0)</f>
        <v>82327939</v>
      </c>
      <c r="C94" s="227">
        <f>data!CD85</f>
        <v>0</v>
      </c>
      <c r="D94" s="227" t="s">
        <v>752</v>
      </c>
      <c r="E94" s="4" t="s">
        <v>752</v>
      </c>
      <c r="F94" s="205" t="s">
        <v>3</v>
      </c>
      <c r="G94" s="205" t="str">
        <f t="shared" si="10"/>
        <v/>
      </c>
      <c r="H94" s="6" t="s">
        <v>3</v>
      </c>
      <c r="I94" s="227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1"/>
  <sheetViews>
    <sheetView topLeftCell="A6" workbookViewId="0">
      <selection activeCell="D23" sqref="D23"/>
    </sheetView>
  </sheetViews>
  <sheetFormatPr defaultRowHeight="15" x14ac:dyDescent="0.2"/>
  <cols>
    <col min="4" max="4" width="12.33203125" customWidth="1"/>
  </cols>
  <sheetData>
    <row r="1" spans="1:4" ht="15.75" x14ac:dyDescent="0.25">
      <c r="A1" s="264" t="s">
        <v>816</v>
      </c>
      <c r="B1" s="263"/>
      <c r="C1" s="263"/>
      <c r="D1" s="263"/>
    </row>
    <row r="2" spans="1:4" ht="15.75" x14ac:dyDescent="0.25">
      <c r="A2" s="263"/>
      <c r="B2" s="263"/>
      <c r="C2" s="263"/>
      <c r="D2" s="263"/>
    </row>
    <row r="3" spans="1:4" ht="15.75" x14ac:dyDescent="0.25">
      <c r="A3" s="266" t="s">
        <v>817</v>
      </c>
      <c r="B3" s="263"/>
      <c r="C3" s="263"/>
      <c r="D3" s="263"/>
    </row>
    <row r="4" spans="1:4" ht="15.75" x14ac:dyDescent="0.25">
      <c r="A4" s="263" t="s">
        <v>818</v>
      </c>
      <c r="B4" s="263"/>
      <c r="C4" s="263"/>
      <c r="D4" s="263"/>
    </row>
    <row r="5" spans="1:4" ht="15.75" x14ac:dyDescent="0.25">
      <c r="A5" s="263" t="s">
        <v>819</v>
      </c>
      <c r="B5" s="263"/>
      <c r="C5" s="263"/>
      <c r="D5" s="263"/>
    </row>
    <row r="6" spans="1:4" ht="15.75" x14ac:dyDescent="0.25">
      <c r="A6" s="263"/>
      <c r="B6" s="263"/>
      <c r="C6" s="263"/>
      <c r="D6" s="263"/>
    </row>
    <row r="7" spans="1:4" ht="15.75" x14ac:dyDescent="0.25">
      <c r="A7" s="263" t="s">
        <v>820</v>
      </c>
      <c r="B7" s="263"/>
      <c r="C7" s="263"/>
      <c r="D7" s="263"/>
    </row>
    <row r="8" spans="1:4" ht="15.75" x14ac:dyDescent="0.25">
      <c r="A8" s="263" t="s">
        <v>821</v>
      </c>
      <c r="B8" s="263"/>
      <c r="C8" s="263"/>
      <c r="D8" s="263"/>
    </row>
    <row r="9" spans="1:4" ht="15.75" x14ac:dyDescent="0.25">
      <c r="A9" s="263"/>
      <c r="B9" s="263"/>
      <c r="C9" s="263"/>
      <c r="D9" s="263"/>
    </row>
    <row r="10" spans="1:4" ht="15.75" x14ac:dyDescent="0.25">
      <c r="A10" s="263"/>
      <c r="B10" s="263"/>
      <c r="C10" s="263"/>
      <c r="D10" s="263"/>
    </row>
    <row r="11" spans="1:4" ht="15.75" x14ac:dyDescent="0.25">
      <c r="A11" s="265" t="s">
        <v>822</v>
      </c>
      <c r="B11" s="263"/>
      <c r="C11" s="263"/>
      <c r="D11" s="263">
        <f>N(data!C380)</f>
        <v>383917649.10000002</v>
      </c>
    </row>
    <row r="12" spans="1:4" ht="15.75" x14ac:dyDescent="0.25">
      <c r="A12" s="265" t="s">
        <v>823</v>
      </c>
      <c r="B12" s="263"/>
      <c r="C12" s="263"/>
      <c r="D12" s="263" t="str">
        <f>IF(OR(N(data!C380) &gt; 1000000, N(data!C380) / (N(data!D360) + N(data!D383)) &gt; 0.01), "Yes", "No")</f>
        <v>Yes</v>
      </c>
    </row>
    <row r="13" spans="1:4" ht="15.75" x14ac:dyDescent="0.25">
      <c r="A13" s="263"/>
      <c r="B13" s="263"/>
      <c r="C13" s="263"/>
      <c r="D13" s="263"/>
    </row>
    <row r="14" spans="1:4" ht="15.75" x14ac:dyDescent="0.25">
      <c r="A14" s="265" t="s">
        <v>824</v>
      </c>
      <c r="B14" s="263"/>
      <c r="C14" s="263"/>
      <c r="D14" s="265" t="s">
        <v>825</v>
      </c>
    </row>
    <row r="15" spans="1:4" ht="15.75" x14ac:dyDescent="0.25">
      <c r="A15" s="315" t="s">
        <v>1365</v>
      </c>
      <c r="B15" s="263"/>
      <c r="C15" s="263"/>
      <c r="D15" s="315">
        <v>101908416.81999999</v>
      </c>
    </row>
    <row r="16" spans="1:4" ht="15.75" x14ac:dyDescent="0.25">
      <c r="A16" s="315" t="s">
        <v>1366</v>
      </c>
      <c r="B16" s="263"/>
      <c r="C16" s="263"/>
      <c r="D16" s="315">
        <v>236082063.40000001</v>
      </c>
    </row>
    <row r="17" spans="1:4" ht="15.75" x14ac:dyDescent="0.25">
      <c r="A17" s="315" t="s">
        <v>1367</v>
      </c>
      <c r="B17" s="263"/>
      <c r="C17" s="263"/>
      <c r="D17" s="315">
        <v>23263249.43</v>
      </c>
    </row>
    <row r="18" spans="1:4" ht="15.75" x14ac:dyDescent="0.25">
      <c r="A18" s="315" t="s">
        <v>1368</v>
      </c>
      <c r="B18" s="263"/>
      <c r="C18" s="263"/>
      <c r="D18" s="315">
        <v>22663919.489999998</v>
      </c>
    </row>
    <row r="19" spans="1:4" ht="15.75" x14ac:dyDescent="0.25">
      <c r="A19" s="263"/>
      <c r="B19" s="263"/>
      <c r="C19" s="263"/>
      <c r="D19" s="263"/>
    </row>
    <row r="20" spans="1:4" ht="15.75" x14ac:dyDescent="0.25">
      <c r="A20" s="263"/>
      <c r="B20" s="263"/>
      <c r="C20" s="263"/>
      <c r="D20" s="263"/>
    </row>
    <row r="21" spans="1:4" ht="15.75" x14ac:dyDescent="0.25">
      <c r="A21" s="263"/>
      <c r="B21" s="263"/>
      <c r="C21" s="263"/>
      <c r="D21" s="263"/>
    </row>
    <row r="22" spans="1:4" ht="15.75" x14ac:dyDescent="0.25">
      <c r="A22" s="263"/>
      <c r="B22" s="263"/>
      <c r="C22" s="263"/>
      <c r="D22" s="263"/>
    </row>
    <row r="23" spans="1:4" ht="15.75" x14ac:dyDescent="0.25">
      <c r="A23" s="263"/>
      <c r="B23" s="263"/>
      <c r="C23" s="263"/>
      <c r="D23" s="263"/>
    </row>
    <row r="24" spans="1:4" ht="15.75" x14ac:dyDescent="0.25">
      <c r="A24" s="263"/>
      <c r="B24" s="263"/>
      <c r="C24" s="263"/>
      <c r="D24" s="263"/>
    </row>
    <row r="25" spans="1:4" ht="15.75" x14ac:dyDescent="0.25">
      <c r="A25" s="265" t="s">
        <v>826</v>
      </c>
      <c r="B25" s="263"/>
      <c r="C25" s="263"/>
      <c r="D25" s="263">
        <f>N(data!C414)</f>
        <v>52734377.189999998</v>
      </c>
    </row>
    <row r="26" spans="1:4" ht="15.75" x14ac:dyDescent="0.25">
      <c r="A26" s="265" t="s">
        <v>823</v>
      </c>
      <c r="B26" s="263"/>
      <c r="C26" s="263"/>
      <c r="D26" s="263" t="str">
        <f>IF(OR(N(data!C414)&gt;1000000,N(data!C414)/(N(data!D416))&gt;0.01),"Yes","No")</f>
        <v>Yes</v>
      </c>
    </row>
    <row r="27" spans="1:4" ht="15.75" x14ac:dyDescent="0.25">
      <c r="A27" s="263"/>
      <c r="B27" s="263"/>
      <c r="C27" s="263"/>
      <c r="D27" s="263"/>
    </row>
    <row r="28" spans="1:4" ht="15.75" x14ac:dyDescent="0.25">
      <c r="A28" s="265" t="s">
        <v>824</v>
      </c>
      <c r="B28" s="263"/>
      <c r="C28" s="263"/>
      <c r="D28" s="265" t="s">
        <v>825</v>
      </c>
    </row>
    <row r="29" spans="1:4" x14ac:dyDescent="0.2">
      <c r="A29" s="318" t="s">
        <v>1376</v>
      </c>
      <c r="B29" s="315"/>
      <c r="C29" s="315"/>
      <c r="D29" s="315">
        <v>701733.64</v>
      </c>
    </row>
    <row r="30" spans="1:4" x14ac:dyDescent="0.2">
      <c r="A30" s="316" t="s">
        <v>1369</v>
      </c>
      <c r="B30" s="315"/>
      <c r="C30" s="315"/>
      <c r="D30" s="315">
        <v>22263191.140000001</v>
      </c>
    </row>
    <row r="31" spans="1:4" x14ac:dyDescent="0.2">
      <c r="A31" s="316" t="s">
        <v>1370</v>
      </c>
      <c r="B31" s="315"/>
      <c r="C31" s="315"/>
      <c r="D31" s="315">
        <v>2183598.2200000002</v>
      </c>
    </row>
    <row r="32" spans="1:4" x14ac:dyDescent="0.2">
      <c r="A32" s="316" t="s">
        <v>1374</v>
      </c>
      <c r="B32" s="315"/>
      <c r="C32" s="315"/>
      <c r="D32" s="315">
        <v>153826.91</v>
      </c>
    </row>
    <row r="33" spans="1:4" x14ac:dyDescent="0.2">
      <c r="A33" s="316" t="s">
        <v>1375</v>
      </c>
      <c r="B33" s="315"/>
      <c r="C33" s="315"/>
      <c r="D33" s="315">
        <v>47264.29</v>
      </c>
    </row>
    <row r="34" spans="1:4" x14ac:dyDescent="0.2">
      <c r="A34" s="316" t="s">
        <v>1373</v>
      </c>
      <c r="B34" s="315"/>
      <c r="C34" s="315"/>
      <c r="D34" s="315">
        <v>13203108.25</v>
      </c>
    </row>
    <row r="35" spans="1:4" x14ac:dyDescent="0.2">
      <c r="A35" s="315" t="s">
        <v>1377</v>
      </c>
      <c r="B35" s="315"/>
      <c r="C35" s="315"/>
      <c r="D35" s="315">
        <v>763.28</v>
      </c>
    </row>
    <row r="36" spans="1:4" x14ac:dyDescent="0.2">
      <c r="A36" s="315" t="s">
        <v>1378</v>
      </c>
      <c r="B36" s="315"/>
      <c r="C36" s="315"/>
      <c r="D36" s="315">
        <v>3366.29</v>
      </c>
    </row>
    <row r="37" spans="1:4" x14ac:dyDescent="0.2">
      <c r="A37" s="315" t="s">
        <v>1371</v>
      </c>
      <c r="B37" s="315"/>
      <c r="C37" s="315"/>
      <c r="D37" s="315">
        <v>5593703.7699999996</v>
      </c>
    </row>
    <row r="38" spans="1:4" x14ac:dyDescent="0.2">
      <c r="A38" s="315" t="s">
        <v>1372</v>
      </c>
      <c r="B38" s="315"/>
      <c r="C38" s="315"/>
      <c r="D38" s="315">
        <v>7671533.6100000013</v>
      </c>
    </row>
    <row r="39" spans="1:4" x14ac:dyDescent="0.2">
      <c r="A39" s="315" t="s">
        <v>1379</v>
      </c>
      <c r="B39" s="315"/>
      <c r="C39" s="315"/>
      <c r="D39" s="315">
        <v>-48084.600000000093</v>
      </c>
    </row>
    <row r="40" spans="1:4" x14ac:dyDescent="0.2">
      <c r="A40" s="316" t="s">
        <v>1380</v>
      </c>
      <c r="B40" s="315"/>
      <c r="C40" s="315"/>
      <c r="D40" s="317">
        <v>306488.23</v>
      </c>
    </row>
    <row r="41" spans="1:4" x14ac:dyDescent="0.2">
      <c r="A41" s="316" t="s">
        <v>1381</v>
      </c>
      <c r="B41" s="315"/>
      <c r="C41" s="315"/>
      <c r="D41" s="319">
        <v>653884.16000000003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DEFD-4673-45A8-87E5-44A0E66A58EC}">
  <sheetPr codeName="Sheet3">
    <pageSetUpPr fitToPage="1"/>
  </sheetPr>
  <dimension ref="A1:G42"/>
  <sheetViews>
    <sheetView topLeftCell="A17" workbookViewId="0">
      <selection activeCell="G32" sqref="G3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09/30/2024</v>
      </c>
      <c r="C4" s="64"/>
      <c r="D4" s="65"/>
      <c r="E4" s="66"/>
      <c r="F4" s="64" t="str">
        <f>"License Number:  "&amp;"H-"&amp;FIXED(data!C97,0)</f>
        <v>License Number:  H-14</v>
      </c>
      <c r="G4" s="67"/>
    </row>
    <row r="5" spans="1:7" ht="20.100000000000001" customHeight="1" x14ac:dyDescent="0.25">
      <c r="A5" s="63">
        <v>2</v>
      </c>
      <c r="B5" s="64" t="s">
        <v>299</v>
      </c>
      <c r="C5" s="67"/>
      <c r="D5" s="64" t="str">
        <f>"  "&amp;data!C98</f>
        <v xml:space="preserve">  Seattle Children's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"&amp;data!C102</f>
        <v xml:space="preserve">  98145-5005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"&amp;data!C103</f>
        <v xml:space="preserve">  King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"&amp;data!C104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"&amp;data!C105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206-987-2000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325</v>
      </c>
      <c r="B15" s="74"/>
      <c r="C15" s="75" t="s">
        <v>327</v>
      </c>
      <c r="D15" s="74"/>
      <c r="E15" s="75" t="s">
        <v>329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305</v>
      </c>
      <c r="C16" s="79" t="str">
        <f>IF(data!C117&gt;0," X","")</f>
        <v/>
      </c>
      <c r="D16" s="80" t="s">
        <v>835</v>
      </c>
      <c r="E16" s="228" t="str">
        <f>IF(data!C120&gt;0," X","")</f>
        <v/>
      </c>
      <c r="F16" s="81" t="s">
        <v>330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 xml:space="preserve"> X</v>
      </c>
      <c r="D17" s="80" t="s">
        <v>410</v>
      </c>
      <c r="E17" s="228" t="str">
        <f>IF(data!C121&gt;0," X","")</f>
        <v/>
      </c>
      <c r="F17" s="81" t="s">
        <v>331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8" t="str">
        <f>IF(data!C122&gt;0," X","")</f>
        <v/>
      </c>
      <c r="F18" s="81" t="s">
        <v>332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335</v>
      </c>
      <c r="G22" s="79" t="s">
        <v>240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17559</v>
      </c>
      <c r="G23" s="67">
        <f>data!D127</f>
        <v>110549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339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192</v>
      </c>
      <c r="E29" s="83" t="s">
        <v>842</v>
      </c>
      <c r="F29" s="67"/>
      <c r="G29" s="79" t="s">
        <v>192</v>
      </c>
    </row>
    <row r="30" spans="1:7" ht="20.100000000000001" customHeight="1" x14ac:dyDescent="0.25">
      <c r="A30" s="63"/>
      <c r="B30" s="64" t="s">
        <v>341</v>
      </c>
      <c r="C30" s="67"/>
      <c r="D30" s="67">
        <f>data!C132</f>
        <v>96</v>
      </c>
      <c r="E30" s="64" t="s">
        <v>347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348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231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350</v>
      </c>
      <c r="F34" s="67"/>
      <c r="G34" s="67">
        <f>data!E143</f>
        <v>371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12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1387</v>
      </c>
      <c r="C36" s="67"/>
      <c r="D36" s="67">
        <f>data!C138</f>
        <v>32</v>
      </c>
      <c r="E36" s="64" t="s">
        <v>351</v>
      </c>
      <c r="F36" s="67"/>
      <c r="G36" s="67">
        <f>data!C144</f>
        <v>407</v>
      </c>
    </row>
    <row r="37" spans="1:7" ht="20.100000000000001" customHeight="1" x14ac:dyDescent="0.25">
      <c r="A37" s="63"/>
      <c r="E37" s="64" t="s">
        <v>352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347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297</v>
      </c>
      <c r="D40" s="72">
        <f>data!C147</f>
        <v>0</v>
      </c>
      <c r="E40" s="92"/>
      <c r="F40" s="92"/>
      <c r="G40" s="93"/>
    </row>
    <row r="42" spans="1:7" ht="18" customHeight="1" x14ac:dyDescent="0.25">
      <c r="B42" s="1" t="s">
        <v>1388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3042-A010-4043-A4C2-ACAC21CF81FA}">
  <sheetPr codeName="Sheet4">
    <pageSetUpPr fitToPage="1"/>
  </sheetPr>
  <dimension ref="A1:G42"/>
  <sheetViews>
    <sheetView topLeftCell="A10" zoomScaleNormal="100" workbookViewId="0">
      <selection activeCell="F23" sqref="F23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Seattle Children's Hospital</v>
      </c>
      <c r="G2" s="4" t="s">
        <v>854</v>
      </c>
    </row>
    <row r="3" spans="1:7" ht="20.100000000000001" customHeight="1" x14ac:dyDescent="0.25">
      <c r="G3" s="4" t="str">
        <f>"FYE: "&amp;data!C96</f>
        <v>FYE: 09/30/2024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362</v>
      </c>
      <c r="F5" s="74"/>
      <c r="G5" s="74"/>
    </row>
    <row r="6" spans="1:7" ht="20.100000000000001" customHeight="1" x14ac:dyDescent="0.25">
      <c r="A6" s="126" t="s">
        <v>857</v>
      </c>
      <c r="B6" s="79" t="s">
        <v>335</v>
      </c>
      <c r="C6" s="79" t="s">
        <v>858</v>
      </c>
      <c r="D6" s="79" t="s">
        <v>358</v>
      </c>
      <c r="E6" s="79" t="s">
        <v>193</v>
      </c>
      <c r="F6" s="79" t="s">
        <v>156</v>
      </c>
      <c r="G6" s="79" t="s">
        <v>228</v>
      </c>
    </row>
    <row r="7" spans="1:7" ht="20.100000000000001" customHeight="1" x14ac:dyDescent="0.25">
      <c r="A7" s="63" t="s">
        <v>356</v>
      </c>
      <c r="B7" s="127">
        <f>data!B154</f>
        <v>89</v>
      </c>
      <c r="C7" s="127">
        <f>data!B155</f>
        <v>702</v>
      </c>
      <c r="D7" s="127">
        <f>data!B156</f>
        <v>5047.8079176403098</v>
      </c>
      <c r="E7" s="127">
        <f>data!B157</f>
        <v>23529573</v>
      </c>
      <c r="F7" s="127">
        <f>data!B158</f>
        <v>16855452</v>
      </c>
      <c r="G7" s="127">
        <f>data!B157+data!B158</f>
        <v>40385025</v>
      </c>
    </row>
    <row r="8" spans="1:7" ht="20.100000000000001" customHeight="1" x14ac:dyDescent="0.25">
      <c r="A8" s="63" t="s">
        <v>357</v>
      </c>
      <c r="B8" s="127">
        <f>data!C154</f>
        <v>8531</v>
      </c>
      <c r="C8" s="127">
        <f>data!C155</f>
        <v>62087</v>
      </c>
      <c r="D8" s="127">
        <f>data!C156</f>
        <v>227340.52377487966</v>
      </c>
      <c r="E8" s="127">
        <f>data!C157</f>
        <v>1318696733</v>
      </c>
      <c r="F8" s="127">
        <f>data!C158</f>
        <v>759127001</v>
      </c>
      <c r="G8" s="127">
        <f>data!C157+data!C158</f>
        <v>2077823734</v>
      </c>
    </row>
    <row r="9" spans="1:7" ht="20.100000000000001" customHeight="1" x14ac:dyDescent="0.25">
      <c r="A9" s="63" t="s">
        <v>859</v>
      </c>
      <c r="B9" s="127">
        <f>data!D154</f>
        <v>8939</v>
      </c>
      <c r="C9" s="127">
        <f>data!D155</f>
        <v>47760</v>
      </c>
      <c r="D9" s="127">
        <f>data!D156</f>
        <v>276907.66830747999</v>
      </c>
      <c r="E9" s="127">
        <f>data!D157</f>
        <v>1142566379</v>
      </c>
      <c r="F9" s="127">
        <f>data!D158</f>
        <v>924639762</v>
      </c>
      <c r="G9" s="127">
        <f>data!D157+data!D158</f>
        <v>2067206141</v>
      </c>
    </row>
    <row r="10" spans="1:7" ht="20.100000000000001" customHeight="1" x14ac:dyDescent="0.25">
      <c r="A10" s="78" t="s">
        <v>228</v>
      </c>
      <c r="B10" s="127">
        <f>data!E154</f>
        <v>17559</v>
      </c>
      <c r="C10" s="127">
        <f>data!E155</f>
        <v>110549</v>
      </c>
      <c r="D10" s="127">
        <f>data!E156</f>
        <v>509296</v>
      </c>
      <c r="E10" s="127">
        <f>data!E157</f>
        <v>2484792685</v>
      </c>
      <c r="F10" s="127">
        <f>data!E158</f>
        <v>1700622215</v>
      </c>
      <c r="G10" s="127">
        <f>E10+F10</f>
        <v>4185414900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362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335</v>
      </c>
      <c r="C15" s="79" t="s">
        <v>858</v>
      </c>
      <c r="D15" s="79" t="s">
        <v>358</v>
      </c>
      <c r="E15" s="79" t="s">
        <v>193</v>
      </c>
      <c r="F15" s="79" t="s">
        <v>156</v>
      </c>
      <c r="G15" s="79" t="s">
        <v>228</v>
      </c>
    </row>
    <row r="16" spans="1:7" ht="20.100000000000001" customHeight="1" x14ac:dyDescent="0.25">
      <c r="A16" s="63" t="s">
        <v>356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357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228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362</v>
      </c>
      <c r="F23" s="74"/>
      <c r="G23" s="74"/>
    </row>
    <row r="24" spans="1:7" ht="20.100000000000001" customHeight="1" x14ac:dyDescent="0.25">
      <c r="A24" s="126" t="s">
        <v>857</v>
      </c>
      <c r="B24" s="79" t="s">
        <v>335</v>
      </c>
      <c r="C24" s="79" t="s">
        <v>858</v>
      </c>
      <c r="D24" s="79" t="s">
        <v>358</v>
      </c>
      <c r="E24" s="79" t="s">
        <v>193</v>
      </c>
      <c r="F24" s="79" t="s">
        <v>156</v>
      </c>
      <c r="G24" s="79" t="s">
        <v>228</v>
      </c>
    </row>
    <row r="25" spans="1:7" ht="20.100000000000001" customHeight="1" x14ac:dyDescent="0.25">
      <c r="A25" s="63" t="s">
        <v>356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357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228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  <row r="36" spans="1:7" ht="20.100000000000001" customHeight="1" x14ac:dyDescent="0.25">
      <c r="B36" s="1" t="s">
        <v>1387</v>
      </c>
    </row>
    <row r="42" spans="1:7" ht="20.100000000000001" customHeight="1" x14ac:dyDescent="0.25">
      <c r="B42" s="1" t="s">
        <v>1388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129F-0B30-44B2-B501-534E272EB3C5}">
  <sheetPr codeName="Sheet5">
    <pageSetUpPr fitToPage="1"/>
  </sheetPr>
  <dimension ref="A1:C42"/>
  <sheetViews>
    <sheetView topLeftCell="A19" workbookViewId="0">
      <selection activeCell="F23" sqref="F23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365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Seattle Children's Hospital</v>
      </c>
      <c r="B3" s="69"/>
      <c r="C3" s="142" t="str">
        <f>"FYE: "&amp;data!C96</f>
        <v>FYE: 09/30/2024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366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73574114.019999996</v>
      </c>
    </row>
    <row r="7" spans="1:3" ht="20.100000000000001" customHeight="1" x14ac:dyDescent="0.25">
      <c r="A7" s="144">
        <v>3</v>
      </c>
      <c r="B7" s="83" t="s">
        <v>368</v>
      </c>
      <c r="C7" s="63">
        <f>data!C182</f>
        <v>2417852</v>
      </c>
    </row>
    <row r="8" spans="1:3" ht="20.100000000000001" customHeight="1" x14ac:dyDescent="0.25">
      <c r="A8" s="144">
        <v>4</v>
      </c>
      <c r="B8" s="64" t="s">
        <v>369</v>
      </c>
      <c r="C8" s="63">
        <f>data!C183</f>
        <v>6090043.04</v>
      </c>
    </row>
    <row r="9" spans="1:3" ht="20.100000000000001" customHeight="1" x14ac:dyDescent="0.25">
      <c r="A9" s="144">
        <v>5</v>
      </c>
      <c r="B9" s="64" t="s">
        <v>370</v>
      </c>
      <c r="C9" s="63">
        <f>data!C184</f>
        <v>130136476.03000002</v>
      </c>
    </row>
    <row r="10" spans="1:3" ht="20.100000000000001" customHeight="1" x14ac:dyDescent="0.25">
      <c r="A10" s="144">
        <v>6</v>
      </c>
      <c r="B10" s="64" t="s">
        <v>371</v>
      </c>
      <c r="C10" s="63">
        <f>data!C185</f>
        <v>2715838.92</v>
      </c>
    </row>
    <row r="11" spans="1:3" ht="20.100000000000001" customHeight="1" x14ac:dyDescent="0.25">
      <c r="A11" s="144">
        <v>7</v>
      </c>
      <c r="B11" s="64" t="s">
        <v>372</v>
      </c>
      <c r="C11" s="63">
        <f>data!C186</f>
        <v>61182354.310000002</v>
      </c>
    </row>
    <row r="12" spans="1:3" ht="20.100000000000001" customHeight="1" x14ac:dyDescent="0.25">
      <c r="A12" s="144">
        <v>8</v>
      </c>
      <c r="B12" s="64" t="s">
        <v>373</v>
      </c>
      <c r="C12" s="63">
        <f>data!C187</f>
        <v>-75193.570000003674</v>
      </c>
    </row>
    <row r="13" spans="1:3" ht="20.100000000000001" customHeight="1" x14ac:dyDescent="0.25">
      <c r="A13" s="144">
        <v>9</v>
      </c>
      <c r="B13" s="64" t="s">
        <v>373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276041484.75000006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374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30175729.929999996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1452507.95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31628237.879999995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377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1771250.97</v>
      </c>
    </row>
    <row r="26" spans="1:3" ht="20.100000000000001" customHeight="1" x14ac:dyDescent="0.25">
      <c r="A26" s="63">
        <v>18</v>
      </c>
      <c r="B26" s="64" t="s">
        <v>379</v>
      </c>
      <c r="C26" s="63">
        <f>data!C196</f>
        <v>6863615.2800000003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8634866.25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381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44420445.280000001</v>
      </c>
    </row>
    <row r="33" spans="1:3" ht="20.100000000000001" customHeight="1" x14ac:dyDescent="0.25">
      <c r="A33" s="63">
        <v>23</v>
      </c>
      <c r="B33" s="64" t="s">
        <v>157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44420445.280000001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 t="s">
        <v>1387</v>
      </c>
      <c r="C36" s="70"/>
    </row>
    <row r="37" spans="1:3" ht="20.100000000000001" customHeight="1" x14ac:dyDescent="0.25">
      <c r="A37" s="124">
        <v>25</v>
      </c>
      <c r="B37" s="147" t="s">
        <v>383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385</v>
      </c>
      <c r="C39" s="63">
        <f>data!C205</f>
        <v>26218945.629999999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26218945.629999999</v>
      </c>
    </row>
    <row r="41" spans="1:3" x14ac:dyDescent="0.25">
      <c r="A41" s="69"/>
      <c r="B41" s="69"/>
      <c r="C41" s="69"/>
    </row>
    <row r="42" spans="1:3" x14ac:dyDescent="0.25">
      <c r="B42" s="1" t="s">
        <v>1388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C167-2264-471E-83E2-464C6158B750}">
  <sheetPr codeName="Sheet6">
    <pageSetUpPr fitToPage="1"/>
  </sheetPr>
  <dimension ref="A1:F42"/>
  <sheetViews>
    <sheetView topLeftCell="A13" workbookViewId="0">
      <selection activeCell="F23" sqref="F23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386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Seattle Children's Hospital</v>
      </c>
      <c r="F3" s="142" t="str">
        <f>"FYE: "&amp;data!C96</f>
        <v>FYE: 09/30/2024</v>
      </c>
    </row>
    <row r="4" spans="1:6" ht="20.100000000000001" customHeight="1" x14ac:dyDescent="0.25">
      <c r="A4" s="148" t="s">
        <v>387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389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392</v>
      </c>
      <c r="C7" s="67">
        <f>data!B211</f>
        <v>266988313.39999998</v>
      </c>
      <c r="D7" s="67">
        <f>data!C211</f>
        <v>0</v>
      </c>
      <c r="E7" s="67">
        <f>data!D211</f>
        <v>0</v>
      </c>
      <c r="F7" s="67">
        <f>data!E211</f>
        <v>266988313.39999998</v>
      </c>
    </row>
    <row r="8" spans="1:6" ht="20.100000000000001" customHeight="1" x14ac:dyDescent="0.25">
      <c r="A8" s="63">
        <v>2</v>
      </c>
      <c r="B8" s="67" t="s">
        <v>393</v>
      </c>
      <c r="C8" s="67">
        <f>data!B212</f>
        <v>14662543.99</v>
      </c>
      <c r="D8" s="67">
        <f>data!C212</f>
        <v>0</v>
      </c>
      <c r="E8" s="67">
        <f>data!D212</f>
        <v>0</v>
      </c>
      <c r="F8" s="67">
        <f>data!E212</f>
        <v>14662543.99</v>
      </c>
    </row>
    <row r="9" spans="1:6" ht="20.100000000000001" customHeight="1" x14ac:dyDescent="0.25">
      <c r="A9" s="63">
        <v>3</v>
      </c>
      <c r="B9" s="67" t="s">
        <v>394</v>
      </c>
      <c r="C9" s="67">
        <f>data!B213</f>
        <v>2039356829.6200001</v>
      </c>
      <c r="D9" s="67">
        <f>data!C213</f>
        <v>74194735.529999971</v>
      </c>
      <c r="E9" s="67">
        <f>data!D213</f>
        <v>0</v>
      </c>
      <c r="F9" s="67">
        <f>data!E213</f>
        <v>2113551565.1500001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68561870.269999996</v>
      </c>
      <c r="D11" s="67">
        <f>data!C215</f>
        <v>3362810.8200000077</v>
      </c>
      <c r="E11" s="67">
        <f>data!D215</f>
        <v>0</v>
      </c>
      <c r="F11" s="67">
        <f>data!E215</f>
        <v>71924681.090000004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699290646.57000005</v>
      </c>
      <c r="D12" s="67">
        <f>data!C216</f>
        <v>61112074.809999943</v>
      </c>
      <c r="E12" s="67">
        <f>data!D216</f>
        <v>14644885.569999935</v>
      </c>
      <c r="F12" s="67">
        <f>data!E216</f>
        <v>745757835.81000006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399</v>
      </c>
      <c r="C14" s="67">
        <f>data!B218</f>
        <v>102949957.25</v>
      </c>
      <c r="D14" s="67">
        <f>data!C218</f>
        <v>4880.9800000041723</v>
      </c>
      <c r="E14" s="67">
        <f>data!D218</f>
        <v>0</v>
      </c>
      <c r="F14" s="67">
        <f>data!E218</f>
        <v>102954838.23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122046224.84999999</v>
      </c>
      <c r="D15" s="67">
        <f>data!C219</f>
        <v>153839670.87999842</v>
      </c>
      <c r="E15" s="67">
        <f>data!D219</f>
        <v>129996246.04999983</v>
      </c>
      <c r="F15" s="67">
        <f>data!E219</f>
        <v>145889649.67999858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3313856385.9500003</v>
      </c>
      <c r="D16" s="67">
        <f>data!C220</f>
        <v>292514173.01999831</v>
      </c>
      <c r="E16" s="67">
        <f>data!D220</f>
        <v>144641131.61999977</v>
      </c>
      <c r="F16" s="67">
        <f>data!E220</f>
        <v>3461729427.3499985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401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228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392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393</v>
      </c>
      <c r="C24" s="67">
        <f>data!B225</f>
        <v>11049607.43</v>
      </c>
      <c r="D24" s="67">
        <f>data!C225</f>
        <v>748791.03000000119</v>
      </c>
      <c r="E24" s="67">
        <f>data!D225</f>
        <v>0</v>
      </c>
      <c r="F24" s="67">
        <f>data!E225</f>
        <v>11798398.460000001</v>
      </c>
    </row>
    <row r="25" spans="1:6" ht="20.100000000000001" customHeight="1" x14ac:dyDescent="0.25">
      <c r="A25" s="63">
        <v>13</v>
      </c>
      <c r="B25" s="67" t="s">
        <v>394</v>
      </c>
      <c r="C25" s="67">
        <f>data!B226</f>
        <v>594527426.61000001</v>
      </c>
      <c r="D25" s="67">
        <f>data!C226</f>
        <v>49522409.949999928</v>
      </c>
      <c r="E25" s="67">
        <f>data!D226</f>
        <v>0</v>
      </c>
      <c r="F25" s="67">
        <f>data!E226</f>
        <v>644049836.55999994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37265794.009999998</v>
      </c>
      <c r="D27" s="67">
        <f>data!C228</f>
        <v>2783004.5399999991</v>
      </c>
      <c r="E27" s="67">
        <f>data!D228</f>
        <v>0</v>
      </c>
      <c r="F27" s="67">
        <f>data!E228</f>
        <v>40048798.549999997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406945598.26000005</v>
      </c>
      <c r="D28" s="67">
        <f>data!C229</f>
        <v>68471797.189999923</v>
      </c>
      <c r="E28" s="67">
        <f>data!D229</f>
        <v>13703949.389999911</v>
      </c>
      <c r="F28" s="67">
        <f>data!E229</f>
        <v>461713446.06000006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399</v>
      </c>
      <c r="C30" s="67">
        <f>data!B231</f>
        <v>47451667.579999998</v>
      </c>
      <c r="D30" s="67">
        <f>data!C231</f>
        <v>8975443.8900000006</v>
      </c>
      <c r="E30" s="67">
        <f>data!D231</f>
        <v>0</v>
      </c>
      <c r="F30" s="67">
        <f>data!E231</f>
        <v>56427111.469999999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1097240093.8899999</v>
      </c>
      <c r="D32" s="67">
        <f>data!C233</f>
        <v>130501446.59999986</v>
      </c>
      <c r="E32" s="67">
        <f>data!D233</f>
        <v>13703949.389999911</v>
      </c>
      <c r="F32" s="67">
        <f>data!E233</f>
        <v>1214037591.1000001</v>
      </c>
    </row>
    <row r="36" spans="2:2" ht="20.100000000000001" customHeight="1" x14ac:dyDescent="0.25">
      <c r="B36" s="1" t="s">
        <v>1387</v>
      </c>
    </row>
    <row r="42" spans="2:2" ht="20.100000000000001" customHeight="1" x14ac:dyDescent="0.25">
      <c r="B42" s="1" t="s">
        <v>1388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60AE-C55E-4165-8F8D-6DAFC7579E86}">
  <sheetPr codeName="Sheet7">
    <pageSetUpPr fitToPage="1"/>
  </sheetPr>
  <dimension ref="A1:D42"/>
  <sheetViews>
    <sheetView topLeftCell="A16" workbookViewId="0">
      <selection activeCell="F23" sqref="F23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Seattle Children's Hospital</v>
      </c>
      <c r="B2" s="69"/>
      <c r="C2" s="69"/>
      <c r="D2" s="142" t="str">
        <f>"FYE: "&amp;data!C96</f>
        <v>FYE: 09/30/2024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403</v>
      </c>
      <c r="D5" s="67">
        <f>data!D237</f>
        <v>3373892.5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356</v>
      </c>
      <c r="D7" s="67">
        <f>data!C239</f>
        <v>32831787.089999996</v>
      </c>
    </row>
    <row r="8" spans="1:4" ht="20.100000000000001" customHeight="1" x14ac:dyDescent="0.25">
      <c r="A8" s="63">
        <v>4</v>
      </c>
      <c r="B8" s="158">
        <v>5820</v>
      </c>
      <c r="C8" s="67" t="s">
        <v>357</v>
      </c>
      <c r="D8" s="67">
        <f>data!C240</f>
        <v>1563475645.8099999</v>
      </c>
    </row>
    <row r="9" spans="1:4" ht="20.100000000000001" customHeight="1" x14ac:dyDescent="0.25">
      <c r="A9" s="63">
        <v>5</v>
      </c>
      <c r="B9" s="158">
        <v>5830</v>
      </c>
      <c r="C9" s="67" t="s">
        <v>369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408</v>
      </c>
      <c r="D10" s="67">
        <f>data!C242</f>
        <v>83904984.920000002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445719578.73999989</v>
      </c>
    </row>
    <row r="12" spans="1:4" ht="20.100000000000001" customHeight="1" x14ac:dyDescent="0.25">
      <c r="A12" s="63">
        <v>8</v>
      </c>
      <c r="B12" s="158">
        <v>5860</v>
      </c>
      <c r="C12" s="67" t="s">
        <v>157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2125931996.5599999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412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29663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414</v>
      </c>
      <c r="D18" s="67">
        <f>data!C249</f>
        <v>2787220.42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28708781.280000001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31496001.700000003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418</v>
      </c>
      <c r="D24" s="67">
        <f>data!C254</f>
        <v>18303058.300000001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18303058.300000001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  <row r="36" spans="1:4" ht="20.100000000000001" customHeight="1" x14ac:dyDescent="0.25">
      <c r="B36" s="1" t="s">
        <v>1387</v>
      </c>
    </row>
    <row r="42" spans="1:4" ht="20.100000000000001" customHeight="1" x14ac:dyDescent="0.25">
      <c r="B42" s="1" t="s">
        <v>1388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2025-03-21T21:20:19Z</cp:lastPrinted>
  <dcterms:created xsi:type="dcterms:W3CDTF">1999-06-02T22:01:56Z</dcterms:created>
  <dcterms:modified xsi:type="dcterms:W3CDTF">2025-04-02T21:20:50Z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