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F5127EE1-0407-4C13-8BE5-E13F88F00F83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4" i="24" l="1"/>
  <c r="C380" i="24"/>
  <c r="C244" i="24"/>
  <c r="C240" i="24"/>
  <c r="C239" i="24"/>
  <c r="C335" i="24"/>
  <c r="C316" i="24"/>
  <c r="C359" i="24"/>
  <c r="AJ88" i="24" l="1"/>
  <c r="AG88" i="24"/>
  <c r="AE88" i="24"/>
  <c r="Z88" i="24"/>
  <c r="R88" i="24"/>
  <c r="E88" i="24"/>
  <c r="AE87" i="24"/>
  <c r="AJ87" i="24"/>
  <c r="AG87" i="24"/>
  <c r="Y87" i="24"/>
  <c r="R87" i="24"/>
  <c r="P87" i="24"/>
  <c r="E87" i="24"/>
  <c r="CC64" i="24" l="1"/>
  <c r="B48" i="24"/>
  <c r="AJ73" i="24"/>
  <c r="BN66" i="24" l="1"/>
  <c r="BK66" i="24"/>
  <c r="BH66" i="24"/>
  <c r="BE66" i="24"/>
  <c r="AJ66" i="24"/>
  <c r="AG66" i="24"/>
  <c r="AE66" i="24"/>
  <c r="R66" i="24"/>
  <c r="AJ65" i="24"/>
  <c r="BN64" i="24"/>
  <c r="BK64" i="24"/>
  <c r="BH64" i="24"/>
  <c r="BE64" i="24"/>
  <c r="AJ64" i="24"/>
  <c r="AI64" i="24"/>
  <c r="AG64" i="24"/>
  <c r="AB64" i="24"/>
  <c r="Y64" i="24"/>
  <c r="BN63" i="24"/>
  <c r="AJ63" i="24"/>
  <c r="CC61" i="24"/>
  <c r="BN61" i="24"/>
  <c r="BH61" i="24"/>
  <c r="BE61" i="24"/>
  <c r="AJ61" i="24"/>
  <c r="AG61" i="24"/>
  <c r="AE47" i="24"/>
  <c r="AE61" i="24"/>
  <c r="E61" i="24"/>
  <c r="CC47" i="24"/>
  <c r="BN47" i="24"/>
  <c r="BH47" i="24"/>
  <c r="AJ47" i="24"/>
  <c r="AG47" i="24"/>
  <c r="AV47" i="24"/>
  <c r="E47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D687" i="34"/>
  <c r="C687" i="34"/>
  <c r="C686" i="34"/>
  <c r="C685" i="34"/>
  <c r="D684" i="34"/>
  <c r="C684" i="34"/>
  <c r="C683" i="34"/>
  <c r="C682" i="34"/>
  <c r="C681" i="34"/>
  <c r="C680" i="34"/>
  <c r="C679" i="34"/>
  <c r="C678" i="34"/>
  <c r="C677" i="34"/>
  <c r="D676" i="34"/>
  <c r="C676" i="34"/>
  <c r="C675" i="34"/>
  <c r="C674" i="34"/>
  <c r="C673" i="34"/>
  <c r="D672" i="34"/>
  <c r="C672" i="34"/>
  <c r="C671" i="34"/>
  <c r="C670" i="34"/>
  <c r="C669" i="34"/>
  <c r="D668" i="34"/>
  <c r="C668" i="34"/>
  <c r="C647" i="34"/>
  <c r="C646" i="34"/>
  <c r="D645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48" i="34" s="1"/>
  <c r="M716" i="34" s="1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D620" i="34"/>
  <c r="C620" i="34"/>
  <c r="C619" i="34"/>
  <c r="C618" i="34"/>
  <c r="D617" i="34"/>
  <c r="C617" i="34"/>
  <c r="C616" i="34"/>
  <c r="C615" i="34"/>
  <c r="C614" i="34"/>
  <c r="D615" i="34" s="1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G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F69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H64" i="15"/>
  <c r="I64" i="15" s="1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8" i="15"/>
  <c r="I58" i="15" s="1"/>
  <c r="E58" i="15"/>
  <c r="D58" i="15"/>
  <c r="B58" i="15"/>
  <c r="F58" i="15" s="1"/>
  <c r="H57" i="15"/>
  <c r="I57" i="15" s="1"/>
  <c r="E57" i="15"/>
  <c r="D57" i="15"/>
  <c r="B57" i="15"/>
  <c r="F57" i="15" s="1"/>
  <c r="E56" i="15"/>
  <c r="D56" i="15"/>
  <c r="B56" i="15"/>
  <c r="E55" i="15"/>
  <c r="D55" i="15"/>
  <c r="B55" i="15"/>
  <c r="H54" i="15"/>
  <c r="I54" i="15" s="1"/>
  <c r="E54" i="15"/>
  <c r="D54" i="15"/>
  <c r="B54" i="15"/>
  <c r="F54" i="15" s="1"/>
  <c r="H53" i="15"/>
  <c r="I53" i="15" s="1"/>
  <c r="E53" i="15"/>
  <c r="D53" i="15"/>
  <c r="B53" i="15"/>
  <c r="F53" i="15" s="1"/>
  <c r="E52" i="15"/>
  <c r="D52" i="15"/>
  <c r="B52" i="15"/>
  <c r="E51" i="15"/>
  <c r="D51" i="15"/>
  <c r="B51" i="15"/>
  <c r="H50" i="15"/>
  <c r="I50" i="15" s="1"/>
  <c r="E50" i="15"/>
  <c r="D50" i="15"/>
  <c r="B50" i="15"/>
  <c r="F50" i="15" s="1"/>
  <c r="H49" i="15"/>
  <c r="I49" i="15" s="1"/>
  <c r="E49" i="15"/>
  <c r="D49" i="15"/>
  <c r="B49" i="15"/>
  <c r="F49" i="15" s="1"/>
  <c r="E48" i="15"/>
  <c r="D48" i="15"/>
  <c r="B48" i="15"/>
  <c r="E47" i="15"/>
  <c r="D47" i="15"/>
  <c r="B47" i="15"/>
  <c r="E46" i="15"/>
  <c r="D46" i="15"/>
  <c r="B46" i="15"/>
  <c r="F46" i="15" s="1"/>
  <c r="E45" i="15"/>
  <c r="D45" i="15"/>
  <c r="B45" i="15"/>
  <c r="F45" i="15" s="1"/>
  <c r="E44" i="15"/>
  <c r="D44" i="15"/>
  <c r="B44" i="15"/>
  <c r="E43" i="15"/>
  <c r="D43" i="15"/>
  <c r="B43" i="15"/>
  <c r="H42" i="15"/>
  <c r="I42" i="15" s="1"/>
  <c r="E42" i="15"/>
  <c r="D42" i="15"/>
  <c r="B42" i="15"/>
  <c r="F42" i="15" s="1"/>
  <c r="F41" i="15"/>
  <c r="E41" i="15"/>
  <c r="D41" i="15"/>
  <c r="B41" i="15"/>
  <c r="I40" i="15"/>
  <c r="B40" i="15"/>
  <c r="F39" i="15"/>
  <c r="E39" i="15"/>
  <c r="D39" i="15"/>
  <c r="B39" i="15"/>
  <c r="E38" i="15"/>
  <c r="D38" i="15"/>
  <c r="B38" i="15"/>
  <c r="E37" i="15"/>
  <c r="D37" i="15"/>
  <c r="B37" i="15"/>
  <c r="E36" i="15"/>
  <c r="D36" i="15"/>
  <c r="F36" i="15" s="1"/>
  <c r="B36" i="15"/>
  <c r="E35" i="15"/>
  <c r="D35" i="15"/>
  <c r="B35" i="15"/>
  <c r="E34" i="15"/>
  <c r="D34" i="15"/>
  <c r="B34" i="15"/>
  <c r="H34" i="15" s="1"/>
  <c r="I34" i="15" s="1"/>
  <c r="E33" i="15"/>
  <c r="D33" i="15"/>
  <c r="F33" i="15" s="1"/>
  <c r="B33" i="15"/>
  <c r="I32" i="15"/>
  <c r="B32" i="15"/>
  <c r="I31" i="15"/>
  <c r="B31" i="15"/>
  <c r="F30" i="15"/>
  <c r="E30" i="15"/>
  <c r="D30" i="15"/>
  <c r="B30" i="15"/>
  <c r="F29" i="15"/>
  <c r="E29" i="15"/>
  <c r="D29" i="15"/>
  <c r="B29" i="15"/>
  <c r="H29" i="15" s="1"/>
  <c r="I29" i="15" s="1"/>
  <c r="E28" i="15"/>
  <c r="D28" i="15"/>
  <c r="B28" i="15"/>
  <c r="F27" i="15"/>
  <c r="E27" i="15"/>
  <c r="D27" i="15"/>
  <c r="B27" i="15"/>
  <c r="H27" i="15" s="1"/>
  <c r="I27" i="15" s="1"/>
  <c r="E26" i="15"/>
  <c r="D26" i="15"/>
  <c r="B26" i="15"/>
  <c r="E25" i="15"/>
  <c r="D25" i="15"/>
  <c r="B25" i="15"/>
  <c r="H25" i="15" s="1"/>
  <c r="I25" i="15" s="1"/>
  <c r="F24" i="15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F21" i="15"/>
  <c r="E21" i="15"/>
  <c r="D21" i="15"/>
  <c r="B21" i="15"/>
  <c r="H21" i="15" s="1"/>
  <c r="I21" i="15" s="1"/>
  <c r="E20" i="15"/>
  <c r="D20" i="15"/>
  <c r="B20" i="15"/>
  <c r="H20" i="15" s="1"/>
  <c r="I20" i="15" s="1"/>
  <c r="H19" i="15"/>
  <c r="I19" i="15" s="1"/>
  <c r="E19" i="15"/>
  <c r="D19" i="15"/>
  <c r="B19" i="15"/>
  <c r="F19" i="15" s="1"/>
  <c r="E18" i="15"/>
  <c r="D18" i="15"/>
  <c r="B18" i="15"/>
  <c r="H18" i="15" s="1"/>
  <c r="I18" i="15" s="1"/>
  <c r="E17" i="15"/>
  <c r="D17" i="15"/>
  <c r="F17" i="15" s="1"/>
  <c r="B17" i="15"/>
  <c r="H16" i="15"/>
  <c r="I16" i="15" s="1"/>
  <c r="F16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415" i="24"/>
  <c r="CP2" i="30" s="1"/>
  <c r="D381" i="24"/>
  <c r="BQ2" i="30" s="1"/>
  <c r="D360" i="24"/>
  <c r="D340" i="24"/>
  <c r="C86" i="8" s="1"/>
  <c r="D339" i="24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J612" i="24" s="1"/>
  <c r="CE92" i="24"/>
  <c r="CE90" i="24"/>
  <c r="D612" i="24" s="1"/>
  <c r="AV89" i="24"/>
  <c r="AU89" i="24"/>
  <c r="AT89" i="24"/>
  <c r="AS89" i="24"/>
  <c r="AE44" i="31" s="1"/>
  <c r="AR89" i="24"/>
  <c r="AQ89" i="24"/>
  <c r="AP89" i="24"/>
  <c r="AE41" i="31" s="1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AE13" i="31" s="1"/>
  <c r="M89" i="24"/>
  <c r="L89" i="24"/>
  <c r="AE11" i="31" s="1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O75" i="31" s="1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O43" i="31" s="1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O23" i="31" s="1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E51" i="24"/>
  <c r="B49" i="24"/>
  <c r="BY48" i="24"/>
  <c r="BY62" i="24" s="1"/>
  <c r="CE47" i="24"/>
  <c r="L612" i="24" l="1"/>
  <c r="I383" i="32"/>
  <c r="D383" i="24"/>
  <c r="C137" i="8" s="1"/>
  <c r="G10" i="4"/>
  <c r="I380" i="32"/>
  <c r="CF90" i="24"/>
  <c r="C52" i="24" s="1"/>
  <c r="F48" i="24"/>
  <c r="F62" i="24" s="1"/>
  <c r="I48" i="24"/>
  <c r="I62" i="24" s="1"/>
  <c r="I12" i="32" s="1"/>
  <c r="K48" i="24"/>
  <c r="K62" i="24" s="1"/>
  <c r="H10" i="31" s="1"/>
  <c r="H48" i="24"/>
  <c r="H62" i="24" s="1"/>
  <c r="H12" i="32" s="1"/>
  <c r="Q48" i="24"/>
  <c r="Q62" i="24" s="1"/>
  <c r="H16" i="31" s="1"/>
  <c r="S48" i="24"/>
  <c r="S62" i="24" s="1"/>
  <c r="L48" i="24"/>
  <c r="L62" i="24" s="1"/>
  <c r="T48" i="24"/>
  <c r="T62" i="24" s="1"/>
  <c r="H19" i="31" s="1"/>
  <c r="U48" i="24"/>
  <c r="U62" i="24" s="1"/>
  <c r="V48" i="24"/>
  <c r="V62" i="24" s="1"/>
  <c r="AG48" i="24"/>
  <c r="AG62" i="24" s="1"/>
  <c r="H32" i="31" s="1"/>
  <c r="AC48" i="24"/>
  <c r="AC62" i="24" s="1"/>
  <c r="AD48" i="24"/>
  <c r="AD62" i="24" s="1"/>
  <c r="AJ48" i="24"/>
  <c r="AJ62" i="24" s="1"/>
  <c r="AK48" i="24"/>
  <c r="AK62" i="24" s="1"/>
  <c r="M48" i="24"/>
  <c r="M62" i="24" s="1"/>
  <c r="H12" i="31" s="1"/>
  <c r="AM48" i="24"/>
  <c r="AM62" i="24" s="1"/>
  <c r="D48" i="24"/>
  <c r="D62" i="24" s="1"/>
  <c r="H3" i="31" s="1"/>
  <c r="N48" i="24"/>
  <c r="N62" i="24" s="1"/>
  <c r="Y48" i="24"/>
  <c r="Y62" i="24" s="1"/>
  <c r="D108" i="32" s="1"/>
  <c r="AY48" i="24"/>
  <c r="AY62" i="24" s="1"/>
  <c r="H50" i="31" s="1"/>
  <c r="C48" i="24"/>
  <c r="C62" i="24" s="1"/>
  <c r="H2" i="31" s="1"/>
  <c r="X48" i="24"/>
  <c r="X62" i="24" s="1"/>
  <c r="H23" i="31" s="1"/>
  <c r="E48" i="24"/>
  <c r="E62" i="24" s="1"/>
  <c r="P48" i="24"/>
  <c r="P62" i="24" s="1"/>
  <c r="H15" i="31" s="1"/>
  <c r="AB48" i="24"/>
  <c r="AB62" i="24" s="1"/>
  <c r="H27" i="31" s="1"/>
  <c r="AZ48" i="24"/>
  <c r="AZ62" i="24" s="1"/>
  <c r="C236" i="32" s="1"/>
  <c r="AR48" i="24"/>
  <c r="AR62" i="24" s="1"/>
  <c r="I172" i="32" s="1"/>
  <c r="BA48" i="24"/>
  <c r="BA62" i="24" s="1"/>
  <c r="BH48" i="24"/>
  <c r="BH62" i="24" s="1"/>
  <c r="D268" i="32" s="1"/>
  <c r="G48" i="24"/>
  <c r="G62" i="24" s="1"/>
  <c r="H6" i="31" s="1"/>
  <c r="O48" i="24"/>
  <c r="O62" i="24" s="1"/>
  <c r="H14" i="31" s="1"/>
  <c r="W48" i="24"/>
  <c r="W62" i="24" s="1"/>
  <c r="I76" i="32" s="1"/>
  <c r="AE48" i="24"/>
  <c r="AE62" i="24" s="1"/>
  <c r="H30" i="31" s="1"/>
  <c r="AO48" i="24"/>
  <c r="AO62" i="24" s="1"/>
  <c r="H40" i="31" s="1"/>
  <c r="BC48" i="24"/>
  <c r="BC62" i="24" s="1"/>
  <c r="H54" i="31" s="1"/>
  <c r="AF48" i="24"/>
  <c r="AF62" i="24" s="1"/>
  <c r="H31" i="31" s="1"/>
  <c r="AQ48" i="24"/>
  <c r="AQ62" i="24" s="1"/>
  <c r="H42" i="31" s="1"/>
  <c r="BG48" i="24"/>
  <c r="BG62" i="24" s="1"/>
  <c r="H58" i="31" s="1"/>
  <c r="J48" i="24"/>
  <c r="J62" i="24" s="1"/>
  <c r="R48" i="24"/>
  <c r="R62" i="24" s="1"/>
  <c r="Z48" i="24"/>
  <c r="Z62" i="24" s="1"/>
  <c r="AH48" i="24"/>
  <c r="AH62" i="24" s="1"/>
  <c r="AS48" i="24"/>
  <c r="AS62" i="24" s="1"/>
  <c r="H44" i="31" s="1"/>
  <c r="BQ48" i="24"/>
  <c r="BQ62" i="24" s="1"/>
  <c r="H68" i="31" s="1"/>
  <c r="AA48" i="24"/>
  <c r="AA62" i="24" s="1"/>
  <c r="F108" i="32" s="1"/>
  <c r="AI48" i="24"/>
  <c r="AI62" i="24" s="1"/>
  <c r="G140" i="32" s="1"/>
  <c r="AU48" i="24"/>
  <c r="AU62" i="24" s="1"/>
  <c r="H46" i="31" s="1"/>
  <c r="BS48" i="24"/>
  <c r="BS62" i="24" s="1"/>
  <c r="H70" i="31" s="1"/>
  <c r="BK48" i="24"/>
  <c r="BK62" i="24" s="1"/>
  <c r="G268" i="32" s="1"/>
  <c r="BO48" i="24"/>
  <c r="BO62" i="24" s="1"/>
  <c r="D300" i="32" s="1"/>
  <c r="BP48" i="24"/>
  <c r="BP62" i="24" s="1"/>
  <c r="H67" i="31" s="1"/>
  <c r="CA48" i="24"/>
  <c r="CA62" i="24" s="1"/>
  <c r="H78" i="31" s="1"/>
  <c r="BI48" i="24"/>
  <c r="BI62" i="24" s="1"/>
  <c r="AL48" i="24"/>
  <c r="AL62" i="24" s="1"/>
  <c r="AT48" i="24"/>
  <c r="AT62" i="24" s="1"/>
  <c r="BB48" i="24"/>
  <c r="BB62" i="24" s="1"/>
  <c r="H53" i="31" s="1"/>
  <c r="BJ48" i="24"/>
  <c r="BJ62" i="24" s="1"/>
  <c r="BR48" i="24"/>
  <c r="BR62" i="24" s="1"/>
  <c r="BZ48" i="24"/>
  <c r="BZ62" i="24" s="1"/>
  <c r="AN48" i="24"/>
  <c r="AN62" i="24" s="1"/>
  <c r="H39" i="31" s="1"/>
  <c r="AV48" i="24"/>
  <c r="AV62" i="24" s="1"/>
  <c r="H47" i="31" s="1"/>
  <c r="BD48" i="24"/>
  <c r="BD62" i="24" s="1"/>
  <c r="G236" i="32" s="1"/>
  <c r="BL48" i="24"/>
  <c r="BL62" i="24" s="1"/>
  <c r="BT48" i="24"/>
  <c r="BT62" i="24" s="1"/>
  <c r="H71" i="31" s="1"/>
  <c r="CB48" i="24"/>
  <c r="CB62" i="24" s="1"/>
  <c r="H79" i="31" s="1"/>
  <c r="AW48" i="24"/>
  <c r="AW62" i="24" s="1"/>
  <c r="H48" i="31" s="1"/>
  <c r="BE48" i="24"/>
  <c r="BE62" i="24" s="1"/>
  <c r="H56" i="31" s="1"/>
  <c r="BM48" i="24"/>
  <c r="BM62" i="24" s="1"/>
  <c r="H64" i="31" s="1"/>
  <c r="BU48" i="24"/>
  <c r="BU62" i="24" s="1"/>
  <c r="CC48" i="24"/>
  <c r="CC62" i="24" s="1"/>
  <c r="AP48" i="24"/>
  <c r="AP62" i="24" s="1"/>
  <c r="AX48" i="24"/>
  <c r="AX62" i="24" s="1"/>
  <c r="BF48" i="24"/>
  <c r="BF62" i="24" s="1"/>
  <c r="I236" i="32" s="1"/>
  <c r="BN48" i="24"/>
  <c r="BN62" i="24" s="1"/>
  <c r="BV48" i="24"/>
  <c r="BV62" i="24" s="1"/>
  <c r="D332" i="32" s="1"/>
  <c r="CD48" i="24"/>
  <c r="BW48" i="24"/>
  <c r="BW62" i="24" s="1"/>
  <c r="E332" i="32" s="1"/>
  <c r="BX48" i="24"/>
  <c r="BX62" i="24" s="1"/>
  <c r="H75" i="31" s="1"/>
  <c r="AE10" i="31"/>
  <c r="D58" i="32"/>
  <c r="AE26" i="31"/>
  <c r="F122" i="32"/>
  <c r="AE42" i="31"/>
  <c r="H186" i="32"/>
  <c r="F26" i="6"/>
  <c r="E233" i="24"/>
  <c r="F32" i="6" s="1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E371" i="32"/>
  <c r="C615" i="24"/>
  <c r="D13" i="7"/>
  <c r="D258" i="24"/>
  <c r="AE18" i="31"/>
  <c r="E90" i="32"/>
  <c r="C74" i="8"/>
  <c r="BK2" i="30"/>
  <c r="I362" i="32"/>
  <c r="H612" i="24"/>
  <c r="O3" i="31"/>
  <c r="D19" i="32"/>
  <c r="O11" i="31"/>
  <c r="E51" i="32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C16" i="8"/>
  <c r="D308" i="24"/>
  <c r="AE34" i="31"/>
  <c r="G154" i="32"/>
  <c r="F12" i="32"/>
  <c r="CD85" i="24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CE89" i="24"/>
  <c r="I382" i="32"/>
  <c r="I612" i="24"/>
  <c r="CE69" i="24"/>
  <c r="I371" i="32" s="1"/>
  <c r="H15" i="15"/>
  <c r="I15" i="15" s="1"/>
  <c r="F15" i="15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C85" i="8"/>
  <c r="D341" i="24"/>
  <c r="C87" i="8" s="1"/>
  <c r="F43" i="15"/>
  <c r="F52" i="15"/>
  <c r="H52" i="15"/>
  <c r="I52" i="15" s="1"/>
  <c r="F59" i="15"/>
  <c r="H59" i="15"/>
  <c r="I59" i="15" s="1"/>
  <c r="I179" i="32"/>
  <c r="O19" i="31"/>
  <c r="F83" i="32"/>
  <c r="O27" i="31"/>
  <c r="G115" i="32"/>
  <c r="O35" i="31"/>
  <c r="H147" i="32"/>
  <c r="O51" i="31"/>
  <c r="C243" i="32"/>
  <c r="O59" i="31"/>
  <c r="D275" i="32"/>
  <c r="O67" i="31"/>
  <c r="E307" i="32"/>
  <c r="AE16" i="31"/>
  <c r="C90" i="32"/>
  <c r="AE32" i="31"/>
  <c r="E154" i="32"/>
  <c r="C715" i="34"/>
  <c r="AE8" i="31"/>
  <c r="I26" i="32"/>
  <c r="AE24" i="31"/>
  <c r="D122" i="32"/>
  <c r="AE40" i="31"/>
  <c r="F186" i="32"/>
  <c r="G28" i="4"/>
  <c r="E28" i="4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F18" i="15"/>
  <c r="F23" i="15"/>
  <c r="F35" i="15"/>
  <c r="F47" i="15"/>
  <c r="H47" i="15"/>
  <c r="I47" i="15" s="1"/>
  <c r="F56" i="15"/>
  <c r="H56" i="15"/>
  <c r="I56" i="15" s="1"/>
  <c r="F339" i="32"/>
  <c r="O14" i="31"/>
  <c r="H51" i="32"/>
  <c r="O38" i="31"/>
  <c r="D179" i="32"/>
  <c r="O78" i="31"/>
  <c r="I339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E220" i="24"/>
  <c r="C113" i="8"/>
  <c r="F612" i="24"/>
  <c r="H26" i="15"/>
  <c r="I26" i="15" s="1"/>
  <c r="F26" i="15"/>
  <c r="H38" i="15"/>
  <c r="I38" i="15" s="1"/>
  <c r="F38" i="15"/>
  <c r="F44" i="15"/>
  <c r="H44" i="15"/>
  <c r="I44" i="15" s="1"/>
  <c r="F51" i="15"/>
  <c r="H51" i="15"/>
  <c r="I51" i="15" s="1"/>
  <c r="G58" i="32"/>
  <c r="C115" i="32"/>
  <c r="C218" i="32"/>
  <c r="O6" i="31"/>
  <c r="G19" i="32"/>
  <c r="O22" i="31"/>
  <c r="I83" i="32"/>
  <c r="O46" i="31"/>
  <c r="E211" i="32"/>
  <c r="O62" i="31"/>
  <c r="G275" i="32"/>
  <c r="O70" i="31"/>
  <c r="H307" i="32"/>
  <c r="AE3" i="31"/>
  <c r="D26" i="32"/>
  <c r="H76" i="31"/>
  <c r="G332" i="32"/>
  <c r="O7" i="31"/>
  <c r="H19" i="32"/>
  <c r="O15" i="31"/>
  <c r="I51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CE91" i="24"/>
  <c r="D416" i="24"/>
  <c r="F20" i="15"/>
  <c r="F22" i="15"/>
  <c r="F28" i="15"/>
  <c r="F34" i="15"/>
  <c r="F63" i="15"/>
  <c r="O30" i="31"/>
  <c r="C147" i="32"/>
  <c r="O54" i="31"/>
  <c r="F243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21" i="31"/>
  <c r="H90" i="32"/>
  <c r="AE29" i="31"/>
  <c r="I122" i="32"/>
  <c r="AE37" i="31"/>
  <c r="C186" i="32"/>
  <c r="AE45" i="31"/>
  <c r="D218" i="32"/>
  <c r="C365" i="24"/>
  <c r="F48" i="15"/>
  <c r="F55" i="15"/>
  <c r="H55" i="15"/>
  <c r="I55" i="15" s="1"/>
  <c r="AE33" i="31"/>
  <c r="F154" i="32"/>
  <c r="CF2" i="28"/>
  <c r="D5" i="7"/>
  <c r="DF2" i="30"/>
  <c r="C170" i="8"/>
  <c r="F25" i="15"/>
  <c r="F37" i="15"/>
  <c r="D716" i="34"/>
  <c r="D712" i="34"/>
  <c r="D704" i="34"/>
  <c r="D709" i="34"/>
  <c r="D701" i="34"/>
  <c r="D706" i="34"/>
  <c r="D698" i="34"/>
  <c r="D708" i="34"/>
  <c r="D700" i="34"/>
  <c r="D710" i="34"/>
  <c r="D702" i="34"/>
  <c r="D707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E612" i="34" s="1"/>
  <c r="D705" i="34"/>
  <c r="D696" i="34"/>
  <c r="D688" i="34"/>
  <c r="D693" i="34"/>
  <c r="D685" i="34"/>
  <c r="D677" i="34"/>
  <c r="D669" i="34"/>
  <c r="D713" i="34"/>
  <c r="D703" i="34"/>
  <c r="D690" i="34"/>
  <c r="D682" i="34"/>
  <c r="D674" i="34"/>
  <c r="D699" i="34"/>
  <c r="D697" i="34"/>
  <c r="D689" i="34"/>
  <c r="D681" i="34"/>
  <c r="D673" i="34"/>
  <c r="D678" i="34"/>
  <c r="D670" i="34"/>
  <c r="D646" i="34"/>
  <c r="D629" i="34"/>
  <c r="D623" i="34"/>
  <c r="D619" i="34"/>
  <c r="D686" i="34"/>
  <c r="D679" i="34"/>
  <c r="D671" i="34"/>
  <c r="D627" i="34"/>
  <c r="D622" i="34"/>
  <c r="D618" i="34"/>
  <c r="D694" i="34"/>
  <c r="D647" i="34"/>
  <c r="D625" i="34"/>
  <c r="D628" i="34"/>
  <c r="D680" i="34"/>
  <c r="D711" i="34"/>
  <c r="D616" i="34"/>
  <c r="D621" i="34"/>
  <c r="D626" i="34"/>
  <c r="D692" i="34"/>
  <c r="D695" i="34"/>
  <c r="D350" i="24" l="1"/>
  <c r="E380" i="24"/>
  <c r="D12" i="33"/>
  <c r="BW52" i="24"/>
  <c r="BW67" i="24" s="1"/>
  <c r="M74" i="31" s="1"/>
  <c r="AU52" i="24"/>
  <c r="AU67" i="24" s="1"/>
  <c r="BQ52" i="24"/>
  <c r="BQ67" i="24" s="1"/>
  <c r="M68" i="31" s="1"/>
  <c r="O52" i="24"/>
  <c r="O67" i="24" s="1"/>
  <c r="O85" i="24" s="1"/>
  <c r="H53" i="32" s="1"/>
  <c r="AC52" i="24"/>
  <c r="AC67" i="24" s="1"/>
  <c r="M28" i="31" s="1"/>
  <c r="M52" i="24"/>
  <c r="M67" i="24" s="1"/>
  <c r="F49" i="32" s="1"/>
  <c r="AD52" i="24"/>
  <c r="AD67" i="24" s="1"/>
  <c r="I113" i="32" s="1"/>
  <c r="E52" i="24"/>
  <c r="E67" i="24" s="1"/>
  <c r="N52" i="24"/>
  <c r="N67" i="24" s="1"/>
  <c r="G49" i="32" s="1"/>
  <c r="T52" i="24"/>
  <c r="T67" i="24" s="1"/>
  <c r="F81" i="32" s="1"/>
  <c r="BK52" i="24"/>
  <c r="BK67" i="24" s="1"/>
  <c r="G273" i="32" s="1"/>
  <c r="BJ52" i="24"/>
  <c r="BJ67" i="24" s="1"/>
  <c r="M61" i="31" s="1"/>
  <c r="CA52" i="24"/>
  <c r="CA67" i="24" s="1"/>
  <c r="CA85" i="24" s="1"/>
  <c r="C91" i="15" s="1"/>
  <c r="G91" i="15" s="1"/>
  <c r="F52" i="24"/>
  <c r="F67" i="24" s="1"/>
  <c r="M5" i="31" s="1"/>
  <c r="L52" i="24"/>
  <c r="L67" i="24" s="1"/>
  <c r="E49" i="32" s="1"/>
  <c r="BC52" i="24"/>
  <c r="BC67" i="24" s="1"/>
  <c r="M54" i="31" s="1"/>
  <c r="BG52" i="24"/>
  <c r="BG67" i="24" s="1"/>
  <c r="BG85" i="24" s="1"/>
  <c r="C71" i="15" s="1"/>
  <c r="G71" i="15" s="1"/>
  <c r="AO52" i="24"/>
  <c r="AO67" i="24" s="1"/>
  <c r="AY52" i="24"/>
  <c r="AY67" i="24" s="1"/>
  <c r="AY85" i="24" s="1"/>
  <c r="I213" i="32" s="1"/>
  <c r="Q52" i="24"/>
  <c r="Q67" i="24" s="1"/>
  <c r="K52" i="24"/>
  <c r="K67" i="24" s="1"/>
  <c r="D49" i="32" s="1"/>
  <c r="BZ52" i="24"/>
  <c r="BZ67" i="24" s="1"/>
  <c r="M77" i="31" s="1"/>
  <c r="BU52" i="24"/>
  <c r="BU67" i="24" s="1"/>
  <c r="BX52" i="24"/>
  <c r="BX67" i="24" s="1"/>
  <c r="M75" i="31" s="1"/>
  <c r="CD52" i="24"/>
  <c r="F305" i="32"/>
  <c r="BR52" i="24"/>
  <c r="BR67" i="24" s="1"/>
  <c r="BR85" i="24" s="1"/>
  <c r="G309" i="32" s="1"/>
  <c r="BY52" i="24"/>
  <c r="BY67" i="24" s="1"/>
  <c r="AJ52" i="24"/>
  <c r="AJ67" i="24" s="1"/>
  <c r="M35" i="31" s="1"/>
  <c r="BF52" i="24"/>
  <c r="BF67" i="24" s="1"/>
  <c r="M57" i="31" s="1"/>
  <c r="C67" i="24"/>
  <c r="C85" i="24" s="1"/>
  <c r="C21" i="32" s="1"/>
  <c r="BS52" i="24"/>
  <c r="BS67" i="24" s="1"/>
  <c r="BS85" i="24" s="1"/>
  <c r="C83" i="15" s="1"/>
  <c r="G83" i="15" s="1"/>
  <c r="G52" i="24"/>
  <c r="G67" i="24" s="1"/>
  <c r="G85" i="24" s="1"/>
  <c r="G21" i="32" s="1"/>
  <c r="V52" i="24"/>
  <c r="V67" i="24" s="1"/>
  <c r="V85" i="24" s="1"/>
  <c r="Y52" i="24"/>
  <c r="Y67" i="24" s="1"/>
  <c r="Y85" i="24" s="1"/>
  <c r="D117" i="32" s="1"/>
  <c r="U52" i="24"/>
  <c r="U67" i="24" s="1"/>
  <c r="AG52" i="24"/>
  <c r="AG67" i="24" s="1"/>
  <c r="AG85" i="24" s="1"/>
  <c r="C45" i="15" s="1"/>
  <c r="AB52" i="24"/>
  <c r="AB67" i="24" s="1"/>
  <c r="AB85" i="24" s="1"/>
  <c r="C693" i="24" s="1"/>
  <c r="BO52" i="24"/>
  <c r="BO67" i="24" s="1"/>
  <c r="BO85" i="24" s="1"/>
  <c r="C79" i="15" s="1"/>
  <c r="G79" i="15" s="1"/>
  <c r="CB52" i="24"/>
  <c r="CB67" i="24" s="1"/>
  <c r="CB85" i="24" s="1"/>
  <c r="C373" i="32" s="1"/>
  <c r="BT52" i="24"/>
  <c r="BT67" i="24" s="1"/>
  <c r="BT85" i="24" s="1"/>
  <c r="I309" i="32" s="1"/>
  <c r="BD52" i="24"/>
  <c r="BD67" i="24" s="1"/>
  <c r="BD85" i="24" s="1"/>
  <c r="G245" i="32" s="1"/>
  <c r="AV52" i="24"/>
  <c r="AV67" i="24" s="1"/>
  <c r="AV85" i="24" s="1"/>
  <c r="C60" i="15" s="1"/>
  <c r="AF52" i="24"/>
  <c r="AF67" i="24" s="1"/>
  <c r="AF85" i="24" s="1"/>
  <c r="D149" i="32" s="1"/>
  <c r="H52" i="24"/>
  <c r="H67" i="24" s="1"/>
  <c r="BL52" i="24"/>
  <c r="BL67" i="24" s="1"/>
  <c r="AN52" i="24"/>
  <c r="AN67" i="24" s="1"/>
  <c r="P52" i="24"/>
  <c r="P67" i="24" s="1"/>
  <c r="P85" i="24" s="1"/>
  <c r="C681" i="24" s="1"/>
  <c r="X52" i="24"/>
  <c r="X67" i="24" s="1"/>
  <c r="X85" i="24" s="1"/>
  <c r="C36" i="15" s="1"/>
  <c r="BI52" i="24"/>
  <c r="BI67" i="24" s="1"/>
  <c r="BI85" i="24" s="1"/>
  <c r="C73" i="15" s="1"/>
  <c r="G73" i="15" s="1"/>
  <c r="R52" i="24"/>
  <c r="R67" i="24" s="1"/>
  <c r="R85" i="24" s="1"/>
  <c r="BP52" i="24"/>
  <c r="BP67" i="24" s="1"/>
  <c r="D52" i="24"/>
  <c r="D67" i="24" s="1"/>
  <c r="D85" i="24" s="1"/>
  <c r="C669" i="24" s="1"/>
  <c r="AQ52" i="24"/>
  <c r="AQ67" i="24" s="1"/>
  <c r="AQ85" i="24" s="1"/>
  <c r="H181" i="32" s="1"/>
  <c r="AP52" i="24"/>
  <c r="AP67" i="24" s="1"/>
  <c r="AM52" i="24"/>
  <c r="AM67" i="24" s="1"/>
  <c r="AM85" i="24" s="1"/>
  <c r="BB52" i="24"/>
  <c r="BB67" i="24" s="1"/>
  <c r="BB85" i="24" s="1"/>
  <c r="C66" i="15" s="1"/>
  <c r="G66" i="15" s="1"/>
  <c r="BV52" i="24"/>
  <c r="BV67" i="24" s="1"/>
  <c r="BV85" i="24" s="1"/>
  <c r="D341" i="32" s="1"/>
  <c r="BA52" i="24"/>
  <c r="BA67" i="24" s="1"/>
  <c r="CC52" i="24"/>
  <c r="CC67" i="24" s="1"/>
  <c r="CC85" i="24" s="1"/>
  <c r="BH52" i="24"/>
  <c r="BH67" i="24" s="1"/>
  <c r="BH85" i="24" s="1"/>
  <c r="D277" i="32" s="1"/>
  <c r="BN52" i="24"/>
  <c r="BN67" i="24" s="1"/>
  <c r="BN85" i="24" s="1"/>
  <c r="AI52" i="24"/>
  <c r="AI67" i="24" s="1"/>
  <c r="Z52" i="24"/>
  <c r="Z67" i="24" s="1"/>
  <c r="AE52" i="24"/>
  <c r="AE67" i="24" s="1"/>
  <c r="AE85" i="24" s="1"/>
  <c r="C43" i="15" s="1"/>
  <c r="AT52" i="24"/>
  <c r="AT67" i="24" s="1"/>
  <c r="AT85" i="24" s="1"/>
  <c r="J52" i="24"/>
  <c r="J67" i="24" s="1"/>
  <c r="J85" i="24" s="1"/>
  <c r="AS52" i="24"/>
  <c r="AS67" i="24" s="1"/>
  <c r="AS85" i="24" s="1"/>
  <c r="C213" i="32" s="1"/>
  <c r="BE52" i="24"/>
  <c r="BE67" i="24" s="1"/>
  <c r="BE85" i="24" s="1"/>
  <c r="H245" i="32" s="1"/>
  <c r="AZ52" i="24"/>
  <c r="AZ67" i="24" s="1"/>
  <c r="AX52" i="24"/>
  <c r="AX67" i="24" s="1"/>
  <c r="AA52" i="24"/>
  <c r="AA67" i="24" s="1"/>
  <c r="AA85" i="24" s="1"/>
  <c r="F117" i="32" s="1"/>
  <c r="BM52" i="24"/>
  <c r="BM67" i="24" s="1"/>
  <c r="BM85" i="24" s="1"/>
  <c r="I277" i="32" s="1"/>
  <c r="W52" i="24"/>
  <c r="W67" i="24" s="1"/>
  <c r="AL52" i="24"/>
  <c r="AL67" i="24" s="1"/>
  <c r="AK52" i="24"/>
  <c r="AK67" i="24" s="1"/>
  <c r="AW52" i="24"/>
  <c r="AW67" i="24" s="1"/>
  <c r="AW85" i="24" s="1"/>
  <c r="C631" i="24" s="1"/>
  <c r="AR52" i="24"/>
  <c r="AR67" i="24" s="1"/>
  <c r="AR85" i="24" s="1"/>
  <c r="C56" i="15" s="1"/>
  <c r="G56" i="15" s="1"/>
  <c r="AH52" i="24"/>
  <c r="AH67" i="24" s="1"/>
  <c r="AH85" i="24" s="1"/>
  <c r="F149" i="32" s="1"/>
  <c r="S52" i="24"/>
  <c r="S67" i="24" s="1"/>
  <c r="S85" i="24" s="1"/>
  <c r="I52" i="24"/>
  <c r="I67" i="24" s="1"/>
  <c r="I85" i="24" s="1"/>
  <c r="I21" i="32" s="1"/>
  <c r="C76" i="32"/>
  <c r="H8" i="31"/>
  <c r="H5" i="31"/>
  <c r="H108" i="32"/>
  <c r="H7" i="31"/>
  <c r="H24" i="31"/>
  <c r="H140" i="32"/>
  <c r="E76" i="32"/>
  <c r="H18" i="31"/>
  <c r="H55" i="31"/>
  <c r="D44" i="32"/>
  <c r="H28" i="31"/>
  <c r="C172" i="32"/>
  <c r="H36" i="31"/>
  <c r="F76" i="32"/>
  <c r="E44" i="32"/>
  <c r="H268" i="32"/>
  <c r="D204" i="32"/>
  <c r="G76" i="32"/>
  <c r="F44" i="32"/>
  <c r="H63" i="31"/>
  <c r="H20" i="31"/>
  <c r="H11" i="31"/>
  <c r="E140" i="32"/>
  <c r="H43" i="31"/>
  <c r="I140" i="32"/>
  <c r="H21" i="31"/>
  <c r="H77" i="31"/>
  <c r="H35" i="31"/>
  <c r="I108" i="32"/>
  <c r="H25" i="31"/>
  <c r="H29" i="31"/>
  <c r="H59" i="31"/>
  <c r="H76" i="32"/>
  <c r="H41" i="31"/>
  <c r="D76" i="32"/>
  <c r="C44" i="32"/>
  <c r="H45" i="31"/>
  <c r="C140" i="32"/>
  <c r="H22" i="31"/>
  <c r="H17" i="31"/>
  <c r="E12" i="32"/>
  <c r="H9" i="31"/>
  <c r="H4" i="31"/>
  <c r="H44" i="32"/>
  <c r="E204" i="32"/>
  <c r="G172" i="32"/>
  <c r="H38" i="31"/>
  <c r="H66" i="31"/>
  <c r="H62" i="31"/>
  <c r="G204" i="32"/>
  <c r="G44" i="32"/>
  <c r="H57" i="31"/>
  <c r="I44" i="32"/>
  <c r="D172" i="32"/>
  <c r="H300" i="32"/>
  <c r="G108" i="32"/>
  <c r="C108" i="32"/>
  <c r="G12" i="32"/>
  <c r="C268" i="32"/>
  <c r="H13" i="31"/>
  <c r="D364" i="32"/>
  <c r="D12" i="32"/>
  <c r="H51" i="31"/>
  <c r="H80" i="31"/>
  <c r="I204" i="32"/>
  <c r="H37" i="31"/>
  <c r="C300" i="32"/>
  <c r="H34" i="31"/>
  <c r="D236" i="32"/>
  <c r="C204" i="32"/>
  <c r="F236" i="32"/>
  <c r="D140" i="32"/>
  <c r="H236" i="32"/>
  <c r="H52" i="31"/>
  <c r="F140" i="32"/>
  <c r="F332" i="32"/>
  <c r="H33" i="31"/>
  <c r="H73" i="31"/>
  <c r="E108" i="32"/>
  <c r="F172" i="32"/>
  <c r="G300" i="32"/>
  <c r="H65" i="31"/>
  <c r="H332" i="32"/>
  <c r="E172" i="32"/>
  <c r="H69" i="31"/>
  <c r="H26" i="31"/>
  <c r="H74" i="31"/>
  <c r="F300" i="32"/>
  <c r="F204" i="32"/>
  <c r="H172" i="32"/>
  <c r="C364" i="32"/>
  <c r="C332" i="32"/>
  <c r="E268" i="32"/>
  <c r="H60" i="31"/>
  <c r="F268" i="32"/>
  <c r="I332" i="32"/>
  <c r="I268" i="32"/>
  <c r="BQ85" i="24"/>
  <c r="C81" i="15" s="1"/>
  <c r="G81" i="15" s="1"/>
  <c r="BK85" i="24"/>
  <c r="C635" i="24" s="1"/>
  <c r="H72" i="31"/>
  <c r="E300" i="32"/>
  <c r="H61" i="31"/>
  <c r="E236" i="32"/>
  <c r="H204" i="32"/>
  <c r="I300" i="32"/>
  <c r="H49" i="31"/>
  <c r="CE62" i="24"/>
  <c r="I364" i="32" s="1"/>
  <c r="C12" i="32"/>
  <c r="CE48" i="24"/>
  <c r="I378" i="32"/>
  <c r="K612" i="24"/>
  <c r="E373" i="32"/>
  <c r="C94" i="15"/>
  <c r="G94" i="15" s="1"/>
  <c r="C50" i="8"/>
  <c r="F309" i="24"/>
  <c r="D352" i="24"/>
  <c r="C103" i="8" s="1"/>
  <c r="BP2" i="30"/>
  <c r="C119" i="8"/>
  <c r="D26" i="33"/>
  <c r="C167" i="8"/>
  <c r="E414" i="24"/>
  <c r="BN2" i="30"/>
  <c r="C117" i="8"/>
  <c r="D366" i="24"/>
  <c r="D715" i="34"/>
  <c r="E623" i="34"/>
  <c r="I381" i="32"/>
  <c r="G612" i="24"/>
  <c r="CF91" i="24"/>
  <c r="F16" i="6"/>
  <c r="F234" i="24"/>
  <c r="CE52" i="24" l="1"/>
  <c r="BX85" i="24"/>
  <c r="F341" i="32" s="1"/>
  <c r="F337" i="32"/>
  <c r="M62" i="31"/>
  <c r="BJ85" i="24"/>
  <c r="F277" i="32" s="1"/>
  <c r="BF85" i="24"/>
  <c r="I245" i="32" s="1"/>
  <c r="H145" i="32"/>
  <c r="BW85" i="24"/>
  <c r="C643" i="24" s="1"/>
  <c r="M12" i="31"/>
  <c r="N85" i="24"/>
  <c r="C26" i="15" s="1"/>
  <c r="G26" i="15" s="1"/>
  <c r="M11" i="31"/>
  <c r="F241" i="32"/>
  <c r="AD85" i="24"/>
  <c r="C42" i="15" s="1"/>
  <c r="G42" i="15" s="1"/>
  <c r="BC85" i="24"/>
  <c r="C67" i="15" s="1"/>
  <c r="G67" i="15" s="1"/>
  <c r="F273" i="32"/>
  <c r="M85" i="24"/>
  <c r="F53" i="32" s="1"/>
  <c r="AC85" i="24"/>
  <c r="H117" i="32" s="1"/>
  <c r="C22" i="15"/>
  <c r="G22" i="15" s="1"/>
  <c r="C53" i="32"/>
  <c r="E209" i="32"/>
  <c r="M46" i="31"/>
  <c r="M4" i="31"/>
  <c r="E17" i="32"/>
  <c r="H113" i="32"/>
  <c r="E337" i="32"/>
  <c r="M78" i="31"/>
  <c r="I337" i="32"/>
  <c r="M19" i="31"/>
  <c r="E85" i="24"/>
  <c r="AU85" i="24"/>
  <c r="E213" i="32" s="1"/>
  <c r="L85" i="24"/>
  <c r="M14" i="31"/>
  <c r="H49" i="32"/>
  <c r="M13" i="31"/>
  <c r="F17" i="32"/>
  <c r="I241" i="32"/>
  <c r="T85" i="24"/>
  <c r="F85" i="32" s="1"/>
  <c r="F85" i="24"/>
  <c r="C18" i="15" s="1"/>
  <c r="G18" i="15" s="1"/>
  <c r="M29" i="31"/>
  <c r="C273" i="32"/>
  <c r="M58" i="31"/>
  <c r="D373" i="32"/>
  <c r="C93" i="15"/>
  <c r="G93" i="15" s="1"/>
  <c r="C58" i="15"/>
  <c r="G58" i="15" s="1"/>
  <c r="C711" i="24"/>
  <c r="D85" i="32"/>
  <c r="C30" i="15"/>
  <c r="G30" i="15" s="1"/>
  <c r="C683" i="24"/>
  <c r="M16" i="31"/>
  <c r="C81" i="32"/>
  <c r="M76" i="31"/>
  <c r="G337" i="32"/>
  <c r="BY85" i="24"/>
  <c r="C337" i="32"/>
  <c r="M72" i="31"/>
  <c r="AJ85" i="24"/>
  <c r="Q85" i="24"/>
  <c r="C85" i="32" s="1"/>
  <c r="M40" i="31"/>
  <c r="F177" i="32"/>
  <c r="C74" i="15"/>
  <c r="G74" i="15" s="1"/>
  <c r="E277" i="32"/>
  <c r="AO85" i="24"/>
  <c r="F181" i="32" s="1"/>
  <c r="H337" i="32"/>
  <c r="BU85" i="24"/>
  <c r="M69" i="31"/>
  <c r="G305" i="32"/>
  <c r="M50" i="31"/>
  <c r="I209" i="32"/>
  <c r="C675" i="24"/>
  <c r="C634" i="24"/>
  <c r="BZ85" i="24"/>
  <c r="M10" i="31"/>
  <c r="K85" i="24"/>
  <c r="C309" i="32"/>
  <c r="C619" i="24"/>
  <c r="C78" i="15"/>
  <c r="G78" i="15" s="1"/>
  <c r="E85" i="32"/>
  <c r="C31" i="15"/>
  <c r="G31" i="15" s="1"/>
  <c r="C684" i="24"/>
  <c r="C34" i="15"/>
  <c r="G34" i="15" s="1"/>
  <c r="C687" i="24"/>
  <c r="H85" i="32"/>
  <c r="C51" i="15"/>
  <c r="G51" i="15" s="1"/>
  <c r="D181" i="32"/>
  <c r="C704" i="24"/>
  <c r="M26" i="31"/>
  <c r="F113" i="32"/>
  <c r="G177" i="32"/>
  <c r="M41" i="31"/>
  <c r="M39" i="31"/>
  <c r="E177" i="32"/>
  <c r="G81" i="32"/>
  <c r="M20" i="31"/>
  <c r="C620" i="24"/>
  <c r="C674" i="24"/>
  <c r="M8" i="31"/>
  <c r="I17" i="32"/>
  <c r="M49" i="31"/>
  <c r="H209" i="32"/>
  <c r="M34" i="31"/>
  <c r="G145" i="32"/>
  <c r="M42" i="31"/>
  <c r="H177" i="32"/>
  <c r="M63" i="31"/>
  <c r="H273" i="32"/>
  <c r="M24" i="31"/>
  <c r="D113" i="32"/>
  <c r="M22" i="31"/>
  <c r="I81" i="32"/>
  <c r="M51" i="31"/>
  <c r="C241" i="32"/>
  <c r="M3" i="31"/>
  <c r="D17" i="32"/>
  <c r="M33" i="31"/>
  <c r="F145" i="32"/>
  <c r="D273" i="32"/>
  <c r="M59" i="31"/>
  <c r="AI85" i="24"/>
  <c r="C47" i="15" s="1"/>
  <c r="G47" i="15" s="1"/>
  <c r="W85" i="24"/>
  <c r="C688" i="24" s="1"/>
  <c r="M43" i="31"/>
  <c r="I177" i="32"/>
  <c r="M44" i="31"/>
  <c r="C209" i="32"/>
  <c r="M80" i="31"/>
  <c r="D369" i="32"/>
  <c r="M17" i="31"/>
  <c r="D81" i="32"/>
  <c r="M47" i="31"/>
  <c r="F209" i="32"/>
  <c r="H305" i="32"/>
  <c r="M70" i="31"/>
  <c r="AP85" i="24"/>
  <c r="M25" i="31"/>
  <c r="E113" i="32"/>
  <c r="U85" i="24"/>
  <c r="Z85" i="24"/>
  <c r="M7" i="31"/>
  <c r="H17" i="32"/>
  <c r="M56" i="31"/>
  <c r="H241" i="32"/>
  <c r="E305" i="32"/>
  <c r="M67" i="31"/>
  <c r="M31" i="31"/>
  <c r="D145" i="32"/>
  <c r="M6" i="31"/>
  <c r="G17" i="32"/>
  <c r="BL85" i="24"/>
  <c r="C82" i="15"/>
  <c r="G82" i="15" s="1"/>
  <c r="C699" i="24"/>
  <c r="H85" i="24"/>
  <c r="H21" i="32" s="1"/>
  <c r="M48" i="31"/>
  <c r="G209" i="32"/>
  <c r="AX85" i="24"/>
  <c r="M9" i="31"/>
  <c r="C49" i="32"/>
  <c r="D241" i="32"/>
  <c r="M52" i="31"/>
  <c r="M60" i="31"/>
  <c r="E273" i="32"/>
  <c r="G241" i="32"/>
  <c r="M55" i="31"/>
  <c r="M66" i="31"/>
  <c r="D305" i="32"/>
  <c r="M38" i="31"/>
  <c r="D177" i="32"/>
  <c r="AN85" i="24"/>
  <c r="E181" i="32" s="1"/>
  <c r="D213" i="32"/>
  <c r="M36" i="31"/>
  <c r="I145" i="32"/>
  <c r="M45" i="31"/>
  <c r="D209" i="32"/>
  <c r="M73" i="31"/>
  <c r="D337" i="32"/>
  <c r="BA85" i="24"/>
  <c r="M23" i="31"/>
  <c r="C113" i="32"/>
  <c r="M71" i="31"/>
  <c r="I305" i="32"/>
  <c r="M27" i="31"/>
  <c r="G113" i="32"/>
  <c r="AK85" i="24"/>
  <c r="C21" i="15"/>
  <c r="G21" i="15" s="1"/>
  <c r="M18" i="31"/>
  <c r="E81" i="32"/>
  <c r="M65" i="31"/>
  <c r="C305" i="32"/>
  <c r="M21" i="31"/>
  <c r="H81" i="32"/>
  <c r="C46" i="15"/>
  <c r="G46" i="15" s="1"/>
  <c r="BP85" i="24"/>
  <c r="E309" i="32" s="1"/>
  <c r="C626" i="24"/>
  <c r="AZ85" i="24"/>
  <c r="C245" i="32" s="1"/>
  <c r="M37" i="31"/>
  <c r="C177" i="32"/>
  <c r="I273" i="32"/>
  <c r="M64" i="31"/>
  <c r="C145" i="32"/>
  <c r="M30" i="31"/>
  <c r="M53" i="31"/>
  <c r="E241" i="32"/>
  <c r="M15" i="31"/>
  <c r="I49" i="32"/>
  <c r="M79" i="31"/>
  <c r="C369" i="32"/>
  <c r="M32" i="31"/>
  <c r="E145" i="32"/>
  <c r="AL85" i="24"/>
  <c r="M2" i="31"/>
  <c r="C17" i="32"/>
  <c r="CE67" i="24"/>
  <c r="I369" i="32" s="1"/>
  <c r="C618" i="24"/>
  <c r="C37" i="15"/>
  <c r="G37" i="15" s="1"/>
  <c r="C277" i="32"/>
  <c r="C27" i="15"/>
  <c r="G27" i="15" s="1"/>
  <c r="C40" i="15"/>
  <c r="G40" i="15" s="1"/>
  <c r="E149" i="32"/>
  <c r="C698" i="24"/>
  <c r="C690" i="24"/>
  <c r="C709" i="24"/>
  <c r="I181" i="32"/>
  <c r="C57" i="15"/>
  <c r="G57" i="15" s="1"/>
  <c r="C710" i="24"/>
  <c r="C16" i="15"/>
  <c r="G16" i="15" s="1"/>
  <c r="C672" i="24"/>
  <c r="I341" i="32"/>
  <c r="C647" i="24"/>
  <c r="H309" i="32"/>
  <c r="C19" i="15"/>
  <c r="G19" i="15" s="1"/>
  <c r="C639" i="24"/>
  <c r="G117" i="32"/>
  <c r="C625" i="24"/>
  <c r="C689" i="24"/>
  <c r="C84" i="15"/>
  <c r="G84" i="15" s="1"/>
  <c r="C63" i="15"/>
  <c r="D309" i="32"/>
  <c r="D21" i="32"/>
  <c r="I53" i="32"/>
  <c r="C88" i="15"/>
  <c r="G88" i="15" s="1"/>
  <c r="C28" i="15"/>
  <c r="C92" i="15"/>
  <c r="G92" i="15" s="1"/>
  <c r="C696" i="24"/>
  <c r="C622" i="24"/>
  <c r="C644" i="24"/>
  <c r="C640" i="24"/>
  <c r="C697" i="24"/>
  <c r="C149" i="32"/>
  <c r="C636" i="24"/>
  <c r="C642" i="24"/>
  <c r="E245" i="32"/>
  <c r="C61" i="15"/>
  <c r="C72" i="15"/>
  <c r="G72" i="15" s="1"/>
  <c r="C117" i="32"/>
  <c r="C632" i="24"/>
  <c r="G213" i="32"/>
  <c r="C68" i="15"/>
  <c r="G68" i="15" s="1"/>
  <c r="C44" i="15"/>
  <c r="G44" i="15" s="1"/>
  <c r="C627" i="24"/>
  <c r="C680" i="24"/>
  <c r="C638" i="24"/>
  <c r="F213" i="32"/>
  <c r="C624" i="24"/>
  <c r="F309" i="32"/>
  <c r="C713" i="24"/>
  <c r="C692" i="24"/>
  <c r="C39" i="15"/>
  <c r="C614" i="24"/>
  <c r="D615" i="24" s="1"/>
  <c r="C69" i="15"/>
  <c r="C668" i="24"/>
  <c r="C75" i="15"/>
  <c r="G75" i="15" s="1"/>
  <c r="C86" i="15"/>
  <c r="G86" i="15" s="1"/>
  <c r="C77" i="15"/>
  <c r="G77" i="15" s="1"/>
  <c r="C708" i="24"/>
  <c r="G277" i="32"/>
  <c r="C15" i="15"/>
  <c r="G15" i="15" s="1"/>
  <c r="C55" i="15"/>
  <c r="G55" i="15" s="1"/>
  <c r="C623" i="24"/>
  <c r="G36" i="15"/>
  <c r="H36" i="15"/>
  <c r="I36" i="15" s="1"/>
  <c r="G43" i="15"/>
  <c r="H43" i="15" s="1"/>
  <c r="I43" i="15" s="1"/>
  <c r="G45" i="15"/>
  <c r="H45" i="15" s="1"/>
  <c r="I45" i="15" s="1"/>
  <c r="E709" i="34"/>
  <c r="E701" i="34"/>
  <c r="E706" i="34"/>
  <c r="E711" i="34"/>
  <c r="E703" i="34"/>
  <c r="E713" i="34"/>
  <c r="E705" i="34"/>
  <c r="E716" i="34"/>
  <c r="E707" i="34"/>
  <c r="E699" i="34"/>
  <c r="E712" i="34"/>
  <c r="E702" i="34"/>
  <c r="E696" i="34"/>
  <c r="E688" i="34"/>
  <c r="E680" i="34"/>
  <c r="E672" i="34"/>
  <c r="E700" i="34"/>
  <c r="E693" i="34"/>
  <c r="E710" i="34"/>
  <c r="E690" i="34"/>
  <c r="E682" i="34"/>
  <c r="E674" i="34"/>
  <c r="E708" i="34"/>
  <c r="E695" i="34"/>
  <c r="E687" i="34"/>
  <c r="E679" i="34"/>
  <c r="E671" i="34"/>
  <c r="E704" i="34"/>
  <c r="E694" i="34"/>
  <c r="E686" i="34"/>
  <c r="E678" i="34"/>
  <c r="E670" i="34"/>
  <c r="E647" i="34"/>
  <c r="E646" i="34"/>
  <c r="E645" i="34"/>
  <c r="E629" i="34"/>
  <c r="E626" i="34"/>
  <c r="E698" i="34"/>
  <c r="E627" i="34"/>
  <c r="E691" i="34"/>
  <c r="E644" i="34"/>
  <c r="E642" i="34"/>
  <c r="E640" i="34"/>
  <c r="E638" i="34"/>
  <c r="E636" i="34"/>
  <c r="E634" i="34"/>
  <c r="E632" i="34"/>
  <c r="E625" i="34"/>
  <c r="E689" i="34"/>
  <c r="E683" i="34"/>
  <c r="E675" i="34"/>
  <c r="E630" i="34"/>
  <c r="E635" i="34"/>
  <c r="E681" i="34"/>
  <c r="E676" i="34"/>
  <c r="E641" i="34"/>
  <c r="E697" i="34"/>
  <c r="E669" i="34"/>
  <c r="E631" i="34"/>
  <c r="E628" i="34"/>
  <c r="E637" i="34"/>
  <c r="E624" i="34"/>
  <c r="E685" i="34"/>
  <c r="E673" i="34"/>
  <c r="E668" i="34"/>
  <c r="E643" i="34"/>
  <c r="E692" i="34"/>
  <c r="E677" i="34"/>
  <c r="E633" i="34"/>
  <c r="E684" i="34"/>
  <c r="E639" i="34"/>
  <c r="C120" i="8"/>
  <c r="D367" i="24"/>
  <c r="CE85" i="24" l="1"/>
  <c r="I373" i="32" s="1"/>
  <c r="C70" i="15"/>
  <c r="G70" i="15" s="1"/>
  <c r="F245" i="32"/>
  <c r="I117" i="32"/>
  <c r="C678" i="24"/>
  <c r="C25" i="15"/>
  <c r="G25" i="15" s="1"/>
  <c r="C87" i="15"/>
  <c r="G87" i="15" s="1"/>
  <c r="C617" i="24"/>
  <c r="E341" i="32"/>
  <c r="C671" i="24"/>
  <c r="C633" i="24"/>
  <c r="G53" i="32"/>
  <c r="C629" i="24"/>
  <c r="C685" i="24"/>
  <c r="C679" i="24"/>
  <c r="C695" i="24"/>
  <c r="C694" i="24"/>
  <c r="C41" i="15"/>
  <c r="G41" i="15" s="1"/>
  <c r="C700" i="24"/>
  <c r="H46" i="15"/>
  <c r="I46" i="15" s="1"/>
  <c r="C32" i="15"/>
  <c r="G32" i="15" s="1"/>
  <c r="I85" i="32"/>
  <c r="F21" i="32"/>
  <c r="H30" i="15"/>
  <c r="G149" i="32"/>
  <c r="C59" i="15"/>
  <c r="G59" i="15" s="1"/>
  <c r="C712" i="24"/>
  <c r="E53" i="32"/>
  <c r="C24" i="15"/>
  <c r="G24" i="15" s="1"/>
  <c r="C677" i="24"/>
  <c r="C673" i="24"/>
  <c r="C17" i="15"/>
  <c r="C670" i="24"/>
  <c r="E21" i="32"/>
  <c r="C53" i="15"/>
  <c r="G53" i="15" s="1"/>
  <c r="C706" i="24"/>
  <c r="C20" i="15"/>
  <c r="G20" i="15" s="1"/>
  <c r="C52" i="15"/>
  <c r="G52" i="15" s="1"/>
  <c r="C80" i="15"/>
  <c r="G80" i="15" s="1"/>
  <c r="C85" i="15"/>
  <c r="G85" i="15" s="1"/>
  <c r="C641" i="24"/>
  <c r="C341" i="32"/>
  <c r="H149" i="32"/>
  <c r="C701" i="24"/>
  <c r="C48" i="15"/>
  <c r="G341" i="32"/>
  <c r="C89" i="15"/>
  <c r="G89" i="15" s="1"/>
  <c r="C645" i="24"/>
  <c r="C676" i="24"/>
  <c r="D53" i="32"/>
  <c r="C23" i="15"/>
  <c r="G23" i="15" s="1"/>
  <c r="C64" i="15"/>
  <c r="G64" i="15" s="1"/>
  <c r="C628" i="24"/>
  <c r="C621" i="24"/>
  <c r="C705" i="24"/>
  <c r="C35" i="15"/>
  <c r="C90" i="15"/>
  <c r="G90" i="15" s="1"/>
  <c r="C646" i="24"/>
  <c r="H341" i="32"/>
  <c r="C682" i="24"/>
  <c r="C29" i="15"/>
  <c r="G29" i="15" s="1"/>
  <c r="G181" i="32"/>
  <c r="C54" i="15"/>
  <c r="G54" i="15" s="1"/>
  <c r="C707" i="24"/>
  <c r="H277" i="32"/>
  <c r="C76" i="15"/>
  <c r="G76" i="15" s="1"/>
  <c r="C637" i="24"/>
  <c r="C616" i="24"/>
  <c r="H213" i="32"/>
  <c r="C62" i="15"/>
  <c r="C50" i="15"/>
  <c r="G50" i="15" s="1"/>
  <c r="C181" i="32"/>
  <c r="C703" i="24"/>
  <c r="D245" i="32"/>
  <c r="C65" i="15"/>
  <c r="C630" i="24"/>
  <c r="C686" i="24"/>
  <c r="C33" i="15"/>
  <c r="G85" i="32"/>
  <c r="I149" i="32"/>
  <c r="C49" i="15"/>
  <c r="G49" i="15" s="1"/>
  <c r="C702" i="24"/>
  <c r="E117" i="32"/>
  <c r="C38" i="15"/>
  <c r="G38" i="15" s="1"/>
  <c r="C691" i="24"/>
  <c r="H37" i="15"/>
  <c r="I37" i="15" s="1"/>
  <c r="G63" i="15"/>
  <c r="H63" i="15" s="1"/>
  <c r="I63" i="15" s="1"/>
  <c r="G28" i="15"/>
  <c r="H28" i="15" s="1"/>
  <c r="C716" i="24"/>
  <c r="G69" i="15"/>
  <c r="H69" i="15" s="1"/>
  <c r="I69" i="15" s="1"/>
  <c r="G39" i="15"/>
  <c r="H39" i="15" s="1"/>
  <c r="C121" i="8"/>
  <c r="D384" i="24"/>
  <c r="E715" i="34"/>
  <c r="F624" i="34"/>
  <c r="D709" i="24"/>
  <c r="D701" i="24"/>
  <c r="D693" i="24"/>
  <c r="D685" i="24"/>
  <c r="D677" i="24"/>
  <c r="D669" i="24"/>
  <c r="D627" i="24"/>
  <c r="D706" i="24"/>
  <c r="D698" i="24"/>
  <c r="D690" i="24"/>
  <c r="D682" i="24"/>
  <c r="D674" i="24"/>
  <c r="D623" i="24"/>
  <c r="D619" i="24"/>
  <c r="D708" i="24"/>
  <c r="D700" i="24"/>
  <c r="D692" i="24"/>
  <c r="D713" i="24"/>
  <c r="D712" i="24"/>
  <c r="D691" i="24"/>
  <c r="D643" i="24"/>
  <c r="D639" i="24"/>
  <c r="D635" i="24"/>
  <c r="D631" i="24"/>
  <c r="D716" i="24"/>
  <c r="D687" i="24"/>
  <c r="D645" i="24"/>
  <c r="D621" i="24"/>
  <c r="D699" i="24"/>
  <c r="D622" i="24"/>
  <c r="D617" i="24"/>
  <c r="D694" i="24"/>
  <c r="D686" i="24"/>
  <c r="D684" i="24"/>
  <c r="D629" i="24"/>
  <c r="D707" i="24"/>
  <c r="D644" i="24"/>
  <c r="D640" i="24"/>
  <c r="D636" i="24"/>
  <c r="D632" i="24"/>
  <c r="D625" i="24"/>
  <c r="D702" i="24"/>
  <c r="D695" i="24"/>
  <c r="D683" i="24"/>
  <c r="D681" i="24"/>
  <c r="D679" i="24"/>
  <c r="D641" i="24"/>
  <c r="D637" i="24"/>
  <c r="D633" i="24"/>
  <c r="D703" i="24"/>
  <c r="D689" i="24"/>
  <c r="D678" i="24"/>
  <c r="D710" i="24"/>
  <c r="D688" i="24"/>
  <c r="D680" i="24"/>
  <c r="D676" i="24"/>
  <c r="D646" i="24"/>
  <c r="D620" i="24"/>
  <c r="D711" i="24"/>
  <c r="D697" i="24"/>
  <c r="D696" i="24"/>
  <c r="D675" i="24"/>
  <c r="D673" i="24"/>
  <c r="D671" i="24"/>
  <c r="D642" i="24"/>
  <c r="D638" i="24"/>
  <c r="D634" i="24"/>
  <c r="D630" i="24"/>
  <c r="D624" i="24"/>
  <c r="D705" i="24"/>
  <c r="D704" i="24"/>
  <c r="D628" i="24"/>
  <c r="D668" i="24"/>
  <c r="D626" i="24"/>
  <c r="D670" i="24"/>
  <c r="D647" i="24"/>
  <c r="D618" i="24"/>
  <c r="D672" i="24"/>
  <c r="D616" i="24"/>
  <c r="C715" i="24" l="1"/>
  <c r="C648" i="24"/>
  <c r="M716" i="24" s="1"/>
  <c r="H41" i="15"/>
  <c r="G35" i="15"/>
  <c r="H35" i="15" s="1"/>
  <c r="I35" i="15" s="1"/>
  <c r="G17" i="15"/>
  <c r="H17" i="15"/>
  <c r="G48" i="15"/>
  <c r="H48" i="15" s="1"/>
  <c r="I48" i="15" s="1"/>
  <c r="H65" i="15"/>
  <c r="I65" i="15" s="1"/>
  <c r="G65" i="15"/>
  <c r="G33" i="15"/>
  <c r="H33" i="15"/>
  <c r="I33" i="15" s="1"/>
  <c r="D417" i="24"/>
  <c r="C138" i="8"/>
  <c r="D715" i="24"/>
  <c r="E623" i="24"/>
  <c r="E612" i="24"/>
  <c r="F706" i="34"/>
  <c r="F711" i="34"/>
  <c r="F703" i="34"/>
  <c r="F708" i="34"/>
  <c r="F700" i="34"/>
  <c r="F710" i="34"/>
  <c r="F702" i="34"/>
  <c r="F712" i="34"/>
  <c r="F704" i="34"/>
  <c r="F705" i="34"/>
  <c r="F693" i="34"/>
  <c r="F685" i="34"/>
  <c r="F677" i="34"/>
  <c r="F669" i="34"/>
  <c r="F627" i="34"/>
  <c r="F690" i="34"/>
  <c r="F713" i="34"/>
  <c r="F695" i="34"/>
  <c r="F687" i="34"/>
  <c r="F679" i="34"/>
  <c r="F671" i="34"/>
  <c r="F698" i="34"/>
  <c r="F692" i="34"/>
  <c r="F684" i="34"/>
  <c r="F676" i="34"/>
  <c r="F668" i="34"/>
  <c r="F709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86" i="34"/>
  <c r="F682" i="34"/>
  <c r="F674" i="34"/>
  <c r="F696" i="34"/>
  <c r="F625" i="34"/>
  <c r="F701" i="34"/>
  <c r="F694" i="34"/>
  <c r="F689" i="34"/>
  <c r="F647" i="34"/>
  <c r="F680" i="34"/>
  <c r="F672" i="34"/>
  <c r="F707" i="34"/>
  <c r="F681" i="34"/>
  <c r="F697" i="34"/>
  <c r="F628" i="34"/>
  <c r="F688" i="34"/>
  <c r="F678" i="34"/>
  <c r="F673" i="34"/>
  <c r="F646" i="34"/>
  <c r="F716" i="34"/>
  <c r="F626" i="34"/>
  <c r="F670" i="34"/>
  <c r="F645" i="34"/>
  <c r="F629" i="34"/>
  <c r="F699" i="34"/>
  <c r="E706" i="24" l="1"/>
  <c r="E698" i="24"/>
  <c r="E690" i="24"/>
  <c r="E682" i="24"/>
  <c r="E674" i="24"/>
  <c r="E711" i="24"/>
  <c r="E703" i="24"/>
  <c r="E695" i="24"/>
  <c r="E687" i="24"/>
  <c r="E679" i="24"/>
  <c r="E671" i="24"/>
  <c r="E625" i="24"/>
  <c r="E713" i="24"/>
  <c r="E705" i="24"/>
  <c r="E697" i="24"/>
  <c r="E689" i="24"/>
  <c r="E699" i="24"/>
  <c r="E692" i="24"/>
  <c r="E701" i="24"/>
  <c r="E685" i="24"/>
  <c r="E683" i="24"/>
  <c r="E681" i="24"/>
  <c r="E637" i="24"/>
  <c r="E633" i="24"/>
  <c r="E627" i="24"/>
  <c r="E707" i="24"/>
  <c r="E700" i="24"/>
  <c r="E644" i="24"/>
  <c r="E640" i="24"/>
  <c r="E636" i="24"/>
  <c r="E632" i="24"/>
  <c r="E702" i="24"/>
  <c r="E641" i="24"/>
  <c r="E716" i="24"/>
  <c r="E708" i="24"/>
  <c r="E694" i="24"/>
  <c r="E693" i="24"/>
  <c r="E686" i="24"/>
  <c r="E684" i="24"/>
  <c r="E645" i="24"/>
  <c r="E629" i="24"/>
  <c r="E710" i="24"/>
  <c r="E709" i="24"/>
  <c r="E688" i="24"/>
  <c r="E680" i="24"/>
  <c r="E678" i="24"/>
  <c r="E676" i="24"/>
  <c r="E646" i="24"/>
  <c r="E675" i="24"/>
  <c r="E673" i="24"/>
  <c r="E634" i="24"/>
  <c r="E630" i="24"/>
  <c r="E624" i="24"/>
  <c r="F624" i="24" s="1"/>
  <c r="F708" i="24" s="1"/>
  <c r="E696" i="24"/>
  <c r="E677" i="24"/>
  <c r="E642" i="24"/>
  <c r="E638" i="24"/>
  <c r="E704" i="24"/>
  <c r="E672" i="24"/>
  <c r="E670" i="24"/>
  <c r="E668" i="24"/>
  <c r="E647" i="24"/>
  <c r="E628" i="24"/>
  <c r="E626" i="24"/>
  <c r="E712" i="24"/>
  <c r="E691" i="24"/>
  <c r="E669" i="24"/>
  <c r="E639" i="24"/>
  <c r="E635" i="24"/>
  <c r="E643" i="24"/>
  <c r="E631" i="24"/>
  <c r="F715" i="34"/>
  <c r="G625" i="34"/>
  <c r="C168" i="8"/>
  <c r="D421" i="24"/>
  <c r="F647" i="24" l="1"/>
  <c r="F673" i="24"/>
  <c r="F641" i="24"/>
  <c r="F713" i="24"/>
  <c r="F644" i="24"/>
  <c r="F685" i="24"/>
  <c r="F688" i="24"/>
  <c r="F645" i="24"/>
  <c r="F669" i="24"/>
  <c r="F705" i="24"/>
  <c r="F697" i="24"/>
  <c r="F676" i="24"/>
  <c r="F687" i="24"/>
  <c r="F689" i="24"/>
  <c r="F632" i="24"/>
  <c r="F710" i="24"/>
  <c r="F625" i="24"/>
  <c r="G625" i="24" s="1"/>
  <c r="F698" i="24"/>
  <c r="F690" i="24"/>
  <c r="F704" i="24"/>
  <c r="F675" i="24"/>
  <c r="F681" i="24"/>
  <c r="F709" i="24"/>
  <c r="F636" i="24"/>
  <c r="F628" i="24"/>
  <c r="F671" i="24"/>
  <c r="F699" i="24"/>
  <c r="F691" i="24"/>
  <c r="F626" i="24"/>
  <c r="F677" i="24"/>
  <c r="F683" i="24"/>
  <c r="F629" i="24"/>
  <c r="F640" i="24"/>
  <c r="F668" i="24"/>
  <c r="F679" i="24"/>
  <c r="F703" i="24"/>
  <c r="F630" i="24"/>
  <c r="F686" i="24"/>
  <c r="F695" i="24"/>
  <c r="F670" i="24"/>
  <c r="F634" i="24"/>
  <c r="F646" i="24"/>
  <c r="F693" i="24"/>
  <c r="F692" i="24"/>
  <c r="F639" i="24"/>
  <c r="F638" i="24"/>
  <c r="F633" i="24"/>
  <c r="F680" i="24"/>
  <c r="F716" i="24"/>
  <c r="F694" i="24"/>
  <c r="F700" i="24"/>
  <c r="F711" i="24"/>
  <c r="F631" i="24"/>
  <c r="F712" i="24"/>
  <c r="F696" i="24"/>
  <c r="F701" i="24"/>
  <c r="F706" i="24"/>
  <c r="F684" i="24"/>
  <c r="F635" i="24"/>
  <c r="F627" i="24"/>
  <c r="F707" i="24"/>
  <c r="F672" i="24"/>
  <c r="F643" i="24"/>
  <c r="F674" i="24"/>
  <c r="F642" i="24"/>
  <c r="F637" i="24"/>
  <c r="F682" i="24"/>
  <c r="F678" i="24"/>
  <c r="F702" i="24"/>
  <c r="C172" i="8"/>
  <c r="D424" i="24"/>
  <c r="C177" i="8" s="1"/>
  <c r="G711" i="34"/>
  <c r="G703" i="34"/>
  <c r="G708" i="34"/>
  <c r="G700" i="34"/>
  <c r="G713" i="34"/>
  <c r="G705" i="34"/>
  <c r="G716" i="34"/>
  <c r="G707" i="34"/>
  <c r="G699" i="34"/>
  <c r="G709" i="34"/>
  <c r="G701" i="34"/>
  <c r="G690" i="34"/>
  <c r="G682" i="34"/>
  <c r="G674" i="34"/>
  <c r="G710" i="34"/>
  <c r="G695" i="34"/>
  <c r="G687" i="34"/>
  <c r="G698" i="34"/>
  <c r="G692" i="34"/>
  <c r="G684" i="34"/>
  <c r="G676" i="34"/>
  <c r="G668" i="34"/>
  <c r="G697" i="34"/>
  <c r="G689" i="34"/>
  <c r="G681" i="34"/>
  <c r="G673" i="34"/>
  <c r="G696" i="34"/>
  <c r="G688" i="34"/>
  <c r="G680" i="34"/>
  <c r="G672" i="34"/>
  <c r="G702" i="34"/>
  <c r="G627" i="34"/>
  <c r="G712" i="34"/>
  <c r="G694" i="34"/>
  <c r="G691" i="34"/>
  <c r="G679" i="34"/>
  <c r="G671" i="34"/>
  <c r="G647" i="34"/>
  <c r="G644" i="34"/>
  <c r="G642" i="34"/>
  <c r="G640" i="34"/>
  <c r="G638" i="34"/>
  <c r="G636" i="34"/>
  <c r="G634" i="34"/>
  <c r="G632" i="34"/>
  <c r="G683" i="34"/>
  <c r="G675" i="34"/>
  <c r="G630" i="34"/>
  <c r="G645" i="34"/>
  <c r="G628" i="34"/>
  <c r="G686" i="34"/>
  <c r="G641" i="34"/>
  <c r="G669" i="34"/>
  <c r="G631" i="34"/>
  <c r="G706" i="34"/>
  <c r="G678" i="34"/>
  <c r="G646" i="34"/>
  <c r="G637" i="34"/>
  <c r="G685" i="34"/>
  <c r="G643" i="34"/>
  <c r="G633" i="34"/>
  <c r="G704" i="34"/>
  <c r="G693" i="34"/>
  <c r="G626" i="34"/>
  <c r="G715" i="34" s="1"/>
  <c r="G670" i="34"/>
  <c r="G635" i="34"/>
  <c r="G629" i="34"/>
  <c r="G677" i="34"/>
  <c r="G639" i="34"/>
  <c r="E715" i="24"/>
  <c r="F715" i="24" l="1"/>
  <c r="G713" i="24"/>
  <c r="G699" i="24"/>
  <c r="G634" i="24"/>
  <c r="G633" i="24"/>
  <c r="G709" i="24"/>
  <c r="G704" i="24"/>
  <c r="G671" i="24"/>
  <c r="G698" i="24"/>
  <c r="G639" i="24"/>
  <c r="G711" i="24"/>
  <c r="G708" i="24"/>
  <c r="G705" i="24"/>
  <c r="G691" i="24"/>
  <c r="G630" i="24"/>
  <c r="G627" i="24"/>
  <c r="G702" i="24"/>
  <c r="G703" i="24"/>
  <c r="G669" i="24"/>
  <c r="G706" i="24"/>
  <c r="G716" i="24"/>
  <c r="G678" i="24"/>
  <c r="G642" i="24"/>
  <c r="G646" i="24"/>
  <c r="G700" i="24"/>
  <c r="G697" i="24"/>
  <c r="G693" i="24"/>
  <c r="G701" i="24"/>
  <c r="G710" i="24"/>
  <c r="G688" i="24"/>
  <c r="G674" i="24"/>
  <c r="G631" i="24"/>
  <c r="G640" i="24"/>
  <c r="G668" i="24"/>
  <c r="G695" i="24"/>
  <c r="G641" i="24"/>
  <c r="G675" i="24"/>
  <c r="G626" i="24"/>
  <c r="G707" i="24"/>
  <c r="G637" i="24"/>
  <c r="G635" i="24"/>
  <c r="G692" i="24"/>
  <c r="G689" i="24"/>
  <c r="G686" i="24"/>
  <c r="G694" i="24"/>
  <c r="G696" i="24"/>
  <c r="G687" i="24"/>
  <c r="G672" i="24"/>
  <c r="G712" i="24"/>
  <c r="G644" i="24"/>
  <c r="G683" i="24"/>
  <c r="G684" i="24"/>
  <c r="G681" i="24"/>
  <c r="G645" i="24"/>
  <c r="G685" i="24"/>
  <c r="G679" i="24"/>
  <c r="G682" i="24"/>
  <c r="G670" i="24"/>
  <c r="G690" i="24"/>
  <c r="G636" i="24"/>
  <c r="G676" i="24"/>
  <c r="G673" i="24"/>
  <c r="G629" i="24"/>
  <c r="G677" i="24"/>
  <c r="G680" i="24"/>
  <c r="G647" i="24"/>
  <c r="G643" i="24"/>
  <c r="G632" i="24"/>
  <c r="G628" i="24"/>
  <c r="G638" i="24"/>
  <c r="H628" i="34"/>
  <c r="G715" i="24" l="1"/>
  <c r="H628" i="24"/>
  <c r="H708" i="34"/>
  <c r="H700" i="34"/>
  <c r="H713" i="34"/>
  <c r="H705" i="34"/>
  <c r="H710" i="34"/>
  <c r="H702" i="34"/>
  <c r="H716" i="34"/>
  <c r="H712" i="34"/>
  <c r="H704" i="34"/>
  <c r="H706" i="34"/>
  <c r="H698" i="34"/>
  <c r="H695" i="34"/>
  <c r="H687" i="34"/>
  <c r="H679" i="34"/>
  <c r="H671" i="34"/>
  <c r="H692" i="34"/>
  <c r="H703" i="34"/>
  <c r="H697" i="34"/>
  <c r="H689" i="34"/>
  <c r="H681" i="34"/>
  <c r="H673" i="34"/>
  <c r="H701" i="34"/>
  <c r="H694" i="34"/>
  <c r="H686" i="34"/>
  <c r="H678" i="34"/>
  <c r="H670" i="34"/>
  <c r="H647" i="34"/>
  <c r="H646" i="34"/>
  <c r="H645" i="34"/>
  <c r="H707" i="34"/>
  <c r="H693" i="34"/>
  <c r="H685" i="34"/>
  <c r="H677" i="34"/>
  <c r="H669" i="34"/>
  <c r="H696" i="34"/>
  <c r="H691" i="34"/>
  <c r="H644" i="34"/>
  <c r="H642" i="34"/>
  <c r="H640" i="34"/>
  <c r="H638" i="34"/>
  <c r="H636" i="34"/>
  <c r="H634" i="34"/>
  <c r="H632" i="34"/>
  <c r="H709" i="34"/>
  <c r="H683" i="34"/>
  <c r="H675" i="34"/>
  <c r="H630" i="34"/>
  <c r="H680" i="34"/>
  <c r="H672" i="34"/>
  <c r="H711" i="34"/>
  <c r="H684" i="34"/>
  <c r="H676" i="34"/>
  <c r="H668" i="34"/>
  <c r="H674" i="34"/>
  <c r="H631" i="34"/>
  <c r="H637" i="34"/>
  <c r="H688" i="34"/>
  <c r="H643" i="34"/>
  <c r="H633" i="34"/>
  <c r="H639" i="34"/>
  <c r="H641" i="34"/>
  <c r="H635" i="34"/>
  <c r="H682" i="34"/>
  <c r="H629" i="34"/>
  <c r="H699" i="34"/>
  <c r="H690" i="34"/>
  <c r="H710" i="24" l="1"/>
  <c r="H645" i="24"/>
  <c r="H700" i="24"/>
  <c r="H674" i="24"/>
  <c r="H695" i="24"/>
  <c r="H711" i="24"/>
  <c r="H698" i="24"/>
  <c r="H632" i="24"/>
  <c r="H639" i="24"/>
  <c r="H636" i="24"/>
  <c r="H702" i="24"/>
  <c r="H629" i="24"/>
  <c r="I629" i="24" s="1"/>
  <c r="H685" i="24"/>
  <c r="H672" i="24"/>
  <c r="H679" i="24"/>
  <c r="H690" i="24"/>
  <c r="H691" i="24"/>
  <c r="H707" i="24"/>
  <c r="H647" i="24"/>
  <c r="H682" i="24"/>
  <c r="H640" i="24"/>
  <c r="H646" i="24"/>
  <c r="H676" i="24"/>
  <c r="H630" i="24"/>
  <c r="H713" i="24"/>
  <c r="H694" i="24"/>
  <c r="H712" i="24"/>
  <c r="H683" i="24"/>
  <c r="H709" i="24"/>
  <c r="H677" i="24"/>
  <c r="H671" i="24"/>
  <c r="H668" i="24"/>
  <c r="H693" i="24"/>
  <c r="H688" i="24"/>
  <c r="H681" i="24"/>
  <c r="H716" i="24"/>
  <c r="H703" i="24"/>
  <c r="H635" i="24"/>
  <c r="H701" i="24"/>
  <c r="H680" i="24"/>
  <c r="H631" i="24"/>
  <c r="H705" i="24"/>
  <c r="H686" i="24"/>
  <c r="H704" i="24"/>
  <c r="H641" i="24"/>
  <c r="H708" i="24"/>
  <c r="H675" i="24"/>
  <c r="H669" i="24"/>
  <c r="H706" i="24"/>
  <c r="H692" i="24"/>
  <c r="H689" i="24"/>
  <c r="H684" i="24"/>
  <c r="H644" i="24"/>
  <c r="H673" i="24"/>
  <c r="H697" i="24"/>
  <c r="H678" i="24"/>
  <c r="H696" i="24"/>
  <c r="H637" i="24"/>
  <c r="H687" i="24"/>
  <c r="H642" i="24"/>
  <c r="H643" i="24"/>
  <c r="H699" i="24"/>
  <c r="H670" i="24"/>
  <c r="H633" i="24"/>
  <c r="H638" i="24"/>
  <c r="H634" i="24"/>
  <c r="H715" i="34"/>
  <c r="I629" i="34"/>
  <c r="I699" i="24" l="1"/>
  <c r="I640" i="24"/>
  <c r="I671" i="24"/>
  <c r="I687" i="24"/>
  <c r="I630" i="24"/>
  <c r="J630" i="24" s="1"/>
  <c r="I689" i="24"/>
  <c r="I672" i="24"/>
  <c r="I690" i="24"/>
  <c r="I645" i="24"/>
  <c r="I712" i="24"/>
  <c r="I713" i="24"/>
  <c r="I676" i="24"/>
  <c r="I646" i="24"/>
  <c r="I716" i="24"/>
  <c r="I708" i="24"/>
  <c r="I709" i="24"/>
  <c r="I701" i="24"/>
  <c r="I704" i="24"/>
  <c r="I631" i="24"/>
  <c r="I695" i="24"/>
  <c r="I677" i="24"/>
  <c r="I639" i="24"/>
  <c r="I675" i="24"/>
  <c r="I710" i="24"/>
  <c r="I641" i="24"/>
  <c r="I637" i="24"/>
  <c r="I636" i="24"/>
  <c r="I703" i="24"/>
  <c r="I684" i="24"/>
  <c r="I686" i="24"/>
  <c r="I683" i="24"/>
  <c r="I685" i="24"/>
  <c r="I702" i="24"/>
  <c r="I694" i="24"/>
  <c r="I643" i="24"/>
  <c r="I635" i="24"/>
  <c r="I682" i="24"/>
  <c r="I634" i="24"/>
  <c r="I691" i="24"/>
  <c r="I674" i="24"/>
  <c r="I693" i="24"/>
  <c r="I696" i="24"/>
  <c r="I705" i="24"/>
  <c r="I697" i="24"/>
  <c r="I668" i="24"/>
  <c r="I644" i="24"/>
  <c r="I669" i="24"/>
  <c r="I670" i="24"/>
  <c r="I711" i="24"/>
  <c r="I706" i="24"/>
  <c r="I680" i="24"/>
  <c r="I647" i="24"/>
  <c r="I698" i="24"/>
  <c r="I679" i="24"/>
  <c r="I688" i="24"/>
  <c r="I638" i="24"/>
  <c r="I692" i="24"/>
  <c r="I678" i="24"/>
  <c r="I632" i="24"/>
  <c r="I642" i="24"/>
  <c r="I681" i="24"/>
  <c r="I707" i="24"/>
  <c r="I700" i="24"/>
  <c r="I673" i="24"/>
  <c r="I633" i="24"/>
  <c r="H715" i="24"/>
  <c r="I713" i="34"/>
  <c r="I705" i="34"/>
  <c r="I710" i="34"/>
  <c r="I702" i="34"/>
  <c r="I716" i="34"/>
  <c r="I707" i="34"/>
  <c r="I699" i="34"/>
  <c r="I709" i="34"/>
  <c r="I701" i="34"/>
  <c r="I711" i="34"/>
  <c r="I703" i="34"/>
  <c r="I700" i="34"/>
  <c r="I692" i="34"/>
  <c r="I684" i="34"/>
  <c r="I676" i="34"/>
  <c r="I668" i="34"/>
  <c r="I698" i="34"/>
  <c r="I697" i="34"/>
  <c r="I689" i="34"/>
  <c r="I708" i="34"/>
  <c r="I694" i="34"/>
  <c r="I686" i="34"/>
  <c r="I678" i="34"/>
  <c r="I670" i="34"/>
  <c r="I647" i="34"/>
  <c r="I646" i="34"/>
  <c r="I645" i="34"/>
  <c r="I706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712" i="34"/>
  <c r="I690" i="34"/>
  <c r="I682" i="34"/>
  <c r="I674" i="34"/>
  <c r="I679" i="34"/>
  <c r="I671" i="34"/>
  <c r="I630" i="34"/>
  <c r="I680" i="34"/>
  <c r="I672" i="34"/>
  <c r="I704" i="34"/>
  <c r="I687" i="34"/>
  <c r="I669" i="34"/>
  <c r="I688" i="34"/>
  <c r="I685" i="34"/>
  <c r="I673" i="34"/>
  <c r="I696" i="34"/>
  <c r="I693" i="34"/>
  <c r="I695" i="34"/>
  <c r="I677" i="34"/>
  <c r="I681" i="34"/>
  <c r="J682" i="24" l="1"/>
  <c r="J686" i="24"/>
  <c r="J672" i="24"/>
  <c r="J712" i="24"/>
  <c r="J639" i="24"/>
  <c r="J637" i="24"/>
  <c r="J695" i="24"/>
  <c r="J694" i="24"/>
  <c r="J688" i="24"/>
  <c r="J710" i="24"/>
  <c r="J643" i="24"/>
  <c r="J693" i="24"/>
  <c r="J646" i="24"/>
  <c r="J706" i="24"/>
  <c r="J696" i="24"/>
  <c r="J633" i="24"/>
  <c r="J678" i="24"/>
  <c r="J687" i="24"/>
  <c r="J697" i="24"/>
  <c r="J681" i="24"/>
  <c r="J716" i="24"/>
  <c r="J707" i="24"/>
  <c r="J631" i="24"/>
  <c r="J690" i="24"/>
  <c r="J708" i="24"/>
  <c r="J647" i="24"/>
  <c r="J669" i="24"/>
  <c r="J638" i="24"/>
  <c r="J713" i="24"/>
  <c r="J632" i="24"/>
  <c r="J683" i="24"/>
  <c r="J689" i="24"/>
  <c r="J711" i="24"/>
  <c r="J705" i="24"/>
  <c r="J680" i="24"/>
  <c r="J709" i="24"/>
  <c r="J692" i="24"/>
  <c r="J671" i="24"/>
  <c r="J668" i="24"/>
  <c r="J701" i="24"/>
  <c r="J691" i="24"/>
  <c r="J640" i="24"/>
  <c r="J684" i="24"/>
  <c r="J642" i="24"/>
  <c r="J699" i="24"/>
  <c r="J634" i="24"/>
  <c r="J676" i="24"/>
  <c r="J670" i="24"/>
  <c r="J698" i="24"/>
  <c r="J677" i="24"/>
  <c r="J704" i="24"/>
  <c r="J635" i="24"/>
  <c r="J679" i="24"/>
  <c r="J636" i="24"/>
  <c r="J700" i="24"/>
  <c r="J685" i="24"/>
  <c r="J675" i="24"/>
  <c r="J641" i="24"/>
  <c r="J644" i="24"/>
  <c r="J645" i="24"/>
  <c r="J702" i="24"/>
  <c r="J673" i="24"/>
  <c r="J703" i="24"/>
  <c r="J674" i="24"/>
  <c r="I715" i="24"/>
  <c r="I715" i="34"/>
  <c r="J630" i="34"/>
  <c r="L647" i="24" l="1"/>
  <c r="L710" i="24" s="1"/>
  <c r="K644" i="24"/>
  <c r="K684" i="24" s="1"/>
  <c r="J715" i="24"/>
  <c r="L695" i="24"/>
  <c r="L689" i="24"/>
  <c r="L679" i="24"/>
  <c r="L693" i="24"/>
  <c r="L681" i="24"/>
  <c r="L699" i="24"/>
  <c r="L671" i="24"/>
  <c r="L703" i="24"/>
  <c r="L678" i="24"/>
  <c r="L686" i="24"/>
  <c r="L712" i="24"/>
  <c r="L670" i="24"/>
  <c r="L713" i="24"/>
  <c r="L684" i="24"/>
  <c r="L716" i="24"/>
  <c r="L691" i="24"/>
  <c r="L672" i="24"/>
  <c r="L702" i="24"/>
  <c r="L669" i="24"/>
  <c r="L676" i="24"/>
  <c r="L668" i="24"/>
  <c r="L715" i="24" s="1"/>
  <c r="L700" i="24"/>
  <c r="L694" i="24"/>
  <c r="L688" i="24"/>
  <c r="L692" i="24"/>
  <c r="L708" i="24"/>
  <c r="L704" i="24"/>
  <c r="L711" i="24"/>
  <c r="L709" i="24"/>
  <c r="L706" i="24"/>
  <c r="L697" i="24"/>
  <c r="L680" i="24"/>
  <c r="L707" i="24"/>
  <c r="L682" i="24"/>
  <c r="L683" i="24"/>
  <c r="L685" i="24"/>
  <c r="L698" i="24"/>
  <c r="L687" i="24"/>
  <c r="L673" i="24"/>
  <c r="L705" i="24"/>
  <c r="L674" i="24"/>
  <c r="L690" i="24"/>
  <c r="L675" i="24"/>
  <c r="L696" i="24"/>
  <c r="L677" i="24"/>
  <c r="L701" i="24"/>
  <c r="K708" i="24"/>
  <c r="K670" i="24"/>
  <c r="K707" i="24"/>
  <c r="K678" i="24"/>
  <c r="K693" i="24"/>
  <c r="K689" i="24"/>
  <c r="K712" i="24"/>
  <c r="K694" i="24"/>
  <c r="K676" i="24"/>
  <c r="K701" i="24"/>
  <c r="M701" i="24" s="1"/>
  <c r="H151" i="32" s="1"/>
  <c r="K711" i="24"/>
  <c r="K672" i="24"/>
  <c r="K682" i="24"/>
  <c r="K680" i="24"/>
  <c r="K691" i="24"/>
  <c r="M691" i="24" s="1"/>
  <c r="K709" i="24"/>
  <c r="K695" i="24"/>
  <c r="M695" i="24" s="1"/>
  <c r="I119" i="32" s="1"/>
  <c r="K688" i="24"/>
  <c r="M688" i="24" s="1"/>
  <c r="I87" i="32" s="1"/>
  <c r="K706" i="24"/>
  <c r="K700" i="24"/>
  <c r="K696" i="24"/>
  <c r="K697" i="24"/>
  <c r="K677" i="24"/>
  <c r="K705" i="24"/>
  <c r="K685" i="24"/>
  <c r="K679" i="24"/>
  <c r="K669" i="24"/>
  <c r="K692" i="24"/>
  <c r="K671" i="24"/>
  <c r="K716" i="24"/>
  <c r="K686" i="24"/>
  <c r="M686" i="24" s="1"/>
  <c r="G87" i="32" s="1"/>
  <c r="J710" i="34"/>
  <c r="J702" i="34"/>
  <c r="J716" i="34"/>
  <c r="J707" i="34"/>
  <c r="J699" i="34"/>
  <c r="J712" i="34"/>
  <c r="J704" i="34"/>
  <c r="J706" i="34"/>
  <c r="J698" i="34"/>
  <c r="J708" i="34"/>
  <c r="J700" i="34"/>
  <c r="J697" i="34"/>
  <c r="J689" i="34"/>
  <c r="J681" i="34"/>
  <c r="J673" i="34"/>
  <c r="J713" i="34"/>
  <c r="J703" i="34"/>
  <c r="J694" i="34"/>
  <c r="J686" i="34"/>
  <c r="J701" i="34"/>
  <c r="J691" i="34"/>
  <c r="J683" i="34"/>
  <c r="J675" i="34"/>
  <c r="J644" i="34"/>
  <c r="K644" i="34" s="1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11" i="34"/>
  <c r="J696" i="34"/>
  <c r="J688" i="34"/>
  <c r="J680" i="34"/>
  <c r="J672" i="34"/>
  <c r="J695" i="34"/>
  <c r="J687" i="34"/>
  <c r="J679" i="34"/>
  <c r="J671" i="34"/>
  <c r="J709" i="34"/>
  <c r="J647" i="34"/>
  <c r="L647" i="34" s="1"/>
  <c r="J705" i="34"/>
  <c r="J684" i="34"/>
  <c r="J676" i="34"/>
  <c r="J668" i="34"/>
  <c r="J645" i="34"/>
  <c r="J692" i="34"/>
  <c r="J685" i="34"/>
  <c r="J677" i="34"/>
  <c r="J669" i="34"/>
  <c r="J678" i="34"/>
  <c r="J646" i="34"/>
  <c r="J693" i="34"/>
  <c r="J682" i="34"/>
  <c r="J670" i="34"/>
  <c r="J690" i="34"/>
  <c r="J674" i="34"/>
  <c r="M684" i="24" l="1"/>
  <c r="E87" i="32" s="1"/>
  <c r="M694" i="24"/>
  <c r="H119" i="32" s="1"/>
  <c r="K704" i="24"/>
  <c r="K710" i="24"/>
  <c r="M710" i="24" s="1"/>
  <c r="C215" i="32" s="1"/>
  <c r="K703" i="24"/>
  <c r="K699" i="24"/>
  <c r="K690" i="24"/>
  <c r="M690" i="24" s="1"/>
  <c r="D119" i="32" s="1"/>
  <c r="K668" i="24"/>
  <c r="K673" i="24"/>
  <c r="M673" i="24" s="1"/>
  <c r="H23" i="32" s="1"/>
  <c r="K698" i="24"/>
  <c r="K702" i="24"/>
  <c r="M702" i="24" s="1"/>
  <c r="I151" i="32" s="1"/>
  <c r="K713" i="24"/>
  <c r="K683" i="24"/>
  <c r="K675" i="24"/>
  <c r="M675" i="24" s="1"/>
  <c r="C55" i="32" s="1"/>
  <c r="K681" i="24"/>
  <c r="M681" i="24" s="1"/>
  <c r="I55" i="32" s="1"/>
  <c r="K674" i="24"/>
  <c r="M674" i="24" s="1"/>
  <c r="I23" i="32" s="1"/>
  <c r="K687" i="24"/>
  <c r="M687" i="24" s="1"/>
  <c r="H87" i="32" s="1"/>
  <c r="M679" i="24"/>
  <c r="M685" i="24"/>
  <c r="F87" i="32" s="1"/>
  <c r="M676" i="24"/>
  <c r="D55" i="32" s="1"/>
  <c r="M704" i="24"/>
  <c r="D183" i="32" s="1"/>
  <c r="M712" i="24"/>
  <c r="E215" i="32" s="1"/>
  <c r="M683" i="24"/>
  <c r="D87" i="32" s="1"/>
  <c r="M693" i="24"/>
  <c r="G55" i="32" s="1"/>
  <c r="M708" i="24"/>
  <c r="H183" i="32" s="1"/>
  <c r="M696" i="24"/>
  <c r="C151" i="32" s="1"/>
  <c r="M670" i="24"/>
  <c r="E23" i="32" s="1"/>
  <c r="M699" i="24"/>
  <c r="F151" i="32" s="1"/>
  <c r="M698" i="24"/>
  <c r="E151" i="32" s="1"/>
  <c r="M711" i="24"/>
  <c r="D215" i="32" s="1"/>
  <c r="M682" i="24"/>
  <c r="C87" i="32" s="1"/>
  <c r="M678" i="24"/>
  <c r="M689" i="24"/>
  <c r="C119" i="32" s="1"/>
  <c r="M703" i="24"/>
  <c r="C183" i="32" s="1"/>
  <c r="M709" i="24"/>
  <c r="I183" i="32" s="1"/>
  <c r="M677" i="24"/>
  <c r="E119" i="32"/>
  <c r="E55" i="32"/>
  <c r="M697" i="24"/>
  <c r="D151" i="32" s="1"/>
  <c r="M680" i="24"/>
  <c r="H55" i="32" s="1"/>
  <c r="M707" i="24"/>
  <c r="G183" i="32" s="1"/>
  <c r="M705" i="24"/>
  <c r="E183" i="32" s="1"/>
  <c r="M671" i="24"/>
  <c r="F23" i="32" s="1"/>
  <c r="M692" i="24"/>
  <c r="M700" i="24"/>
  <c r="G151" i="32" s="1"/>
  <c r="M672" i="24"/>
  <c r="G23" i="32" s="1"/>
  <c r="M669" i="24"/>
  <c r="D23" i="32" s="1"/>
  <c r="M706" i="24"/>
  <c r="F183" i="32" s="1"/>
  <c r="M713" i="24"/>
  <c r="F215" i="32" s="1"/>
  <c r="J715" i="34"/>
  <c r="K716" i="34"/>
  <c r="K707" i="34"/>
  <c r="K699" i="34"/>
  <c r="K712" i="34"/>
  <c r="K704" i="34"/>
  <c r="K709" i="34"/>
  <c r="K701" i="34"/>
  <c r="K711" i="34"/>
  <c r="K703" i="34"/>
  <c r="K713" i="34"/>
  <c r="K705" i="34"/>
  <c r="K710" i="34"/>
  <c r="K698" i="34"/>
  <c r="K694" i="34"/>
  <c r="K686" i="34"/>
  <c r="K678" i="34"/>
  <c r="K670" i="34"/>
  <c r="K708" i="34"/>
  <c r="K691" i="34"/>
  <c r="K706" i="34"/>
  <c r="K696" i="34"/>
  <c r="K688" i="34"/>
  <c r="K680" i="34"/>
  <c r="K672" i="34"/>
  <c r="K693" i="34"/>
  <c r="K685" i="34"/>
  <c r="K677" i="34"/>
  <c r="K669" i="34"/>
  <c r="K702" i="34"/>
  <c r="K692" i="34"/>
  <c r="K684" i="34"/>
  <c r="K676" i="34"/>
  <c r="K668" i="34"/>
  <c r="K683" i="34"/>
  <c r="K675" i="34"/>
  <c r="K689" i="34"/>
  <c r="K687" i="34"/>
  <c r="K697" i="34"/>
  <c r="K681" i="34"/>
  <c r="K673" i="34"/>
  <c r="K671" i="34"/>
  <c r="K700" i="34"/>
  <c r="K682" i="34"/>
  <c r="K690" i="34"/>
  <c r="K679" i="34"/>
  <c r="K674" i="34"/>
  <c r="K695" i="34"/>
  <c r="L716" i="34"/>
  <c r="L712" i="34"/>
  <c r="M712" i="34" s="1"/>
  <c r="L704" i="34"/>
  <c r="M704" i="34" s="1"/>
  <c r="L709" i="34"/>
  <c r="L701" i="34"/>
  <c r="L706" i="34"/>
  <c r="M706" i="34" s="1"/>
  <c r="L698" i="34"/>
  <c r="M698" i="34" s="1"/>
  <c r="L708" i="34"/>
  <c r="M708" i="34" s="1"/>
  <c r="L700" i="34"/>
  <c r="M700" i="34" s="1"/>
  <c r="L710" i="34"/>
  <c r="M710" i="34" s="1"/>
  <c r="L702" i="34"/>
  <c r="M702" i="34" s="1"/>
  <c r="L713" i="34"/>
  <c r="M713" i="34" s="1"/>
  <c r="L703" i="34"/>
  <c r="M703" i="34" s="1"/>
  <c r="L691" i="34"/>
  <c r="M691" i="34" s="1"/>
  <c r="L683" i="34"/>
  <c r="M683" i="34" s="1"/>
  <c r="L675" i="34"/>
  <c r="M675" i="34" s="1"/>
  <c r="L696" i="34"/>
  <c r="M696" i="34" s="1"/>
  <c r="L688" i="34"/>
  <c r="L711" i="34"/>
  <c r="M711" i="34" s="1"/>
  <c r="L693" i="34"/>
  <c r="M693" i="34" s="1"/>
  <c r="L685" i="34"/>
  <c r="M685" i="34" s="1"/>
  <c r="L677" i="34"/>
  <c r="M677" i="34" s="1"/>
  <c r="L669" i="34"/>
  <c r="M669" i="34" s="1"/>
  <c r="L699" i="34"/>
  <c r="M699" i="34" s="1"/>
  <c r="L690" i="34"/>
  <c r="M690" i="34" s="1"/>
  <c r="L682" i="34"/>
  <c r="M682" i="34" s="1"/>
  <c r="L674" i="34"/>
  <c r="L705" i="34"/>
  <c r="M705" i="34" s="1"/>
  <c r="L697" i="34"/>
  <c r="L689" i="34"/>
  <c r="M689" i="34" s="1"/>
  <c r="L681" i="34"/>
  <c r="L673" i="34"/>
  <c r="M673" i="34" s="1"/>
  <c r="L694" i="34"/>
  <c r="L680" i="34"/>
  <c r="L672" i="34"/>
  <c r="M672" i="34" s="1"/>
  <c r="L687" i="34"/>
  <c r="M687" i="34" s="1"/>
  <c r="L684" i="34"/>
  <c r="L676" i="34"/>
  <c r="M676" i="34" s="1"/>
  <c r="L668" i="34"/>
  <c r="L692" i="34"/>
  <c r="M692" i="34" s="1"/>
  <c r="L695" i="34"/>
  <c r="L678" i="34"/>
  <c r="M678" i="34" s="1"/>
  <c r="L671" i="34"/>
  <c r="M671" i="34" s="1"/>
  <c r="L670" i="34"/>
  <c r="M670" i="34" s="1"/>
  <c r="L679" i="34"/>
  <c r="M679" i="34" s="1"/>
  <c r="L707" i="34"/>
  <c r="M707" i="34" s="1"/>
  <c r="L686" i="34"/>
  <c r="K715" i="24" l="1"/>
  <c r="M668" i="24"/>
  <c r="G119" i="32"/>
  <c r="F119" i="32"/>
  <c r="F55" i="32"/>
  <c r="C23" i="32"/>
  <c r="M715" i="24"/>
  <c r="M681" i="34"/>
  <c r="M684" i="34"/>
  <c r="M697" i="34"/>
  <c r="M701" i="34"/>
  <c r="M709" i="34"/>
  <c r="M674" i="34"/>
  <c r="M686" i="34"/>
  <c r="L715" i="34"/>
  <c r="M668" i="34"/>
  <c r="M715" i="34" s="1"/>
  <c r="M680" i="34"/>
  <c r="M688" i="34"/>
  <c r="K715" i="34"/>
  <c r="M695" i="34"/>
  <c r="M694" i="34"/>
</calcChain>
</file>

<file path=xl/sharedStrings.xml><?xml version="1.0" encoding="utf-8"?>
<sst xmlns="http://schemas.openxmlformats.org/spreadsheetml/2006/main" count="4878" uniqueCount="1380">
  <si>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</si>
  <si>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</si>
  <si>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</si>
  <si>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</si>
  <si>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</si>
  <si>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</si>
  <si>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</si>
  <si>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</si>
  <si>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</si>
  <si>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</si>
  <si>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</si>
  <si>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</si>
  <si>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</si>
  <si>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</si>
  <si>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</si>
  <si>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</si>
  <si>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</si>
  <si>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</si>
  <si>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</si>
  <si>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</si>
  <si>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</si>
  <si>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</si>
  <si>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</si>
  <si>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</si>
  <si>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</si>
  <si>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</si>
  <si>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</si>
  <si>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</si>
  <si>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</si>
  <si>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</si>
  <si>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</si>
  <si>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</si>
  <si>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</si>
  <si>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</si>
  <si>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</si>
  <si>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</si>
  <si>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</si>
  <si>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</si>
  <si>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</si>
  <si>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</si>
  <si>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</si>
  <si>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</si>
  <si>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</si>
  <si>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</si>
  <si>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</si>
  <si>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</si>
  <si>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</si>
  <si>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</si>
  <si>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</si>
  <si>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</si>
  <si>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</si>
  <si>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</si>
  <si>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</si>
  <si>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</si>
  <si>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</si>
  <si>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</si>
  <si>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</si>
  <si>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</si>
  <si>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</si>
  <si>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</si>
  <si>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</si>
  <si>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</si>
  <si>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</si>
  <si>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</si>
  <si>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</si>
  <si>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</si>
  <si>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</si>
  <si>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</si>
  <si>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</si>
  <si>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</si>
  <si>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</si>
  <si>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</si>
  <si>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</si>
  <si>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</si>
  <si>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</si>
  <si>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</si>
  <si>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</si>
  <si>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</si>
  <si>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</si>
  <si>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</si>
  <si>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</si>
  <si>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</si>
  <si>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</si>
  <si>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</si>
  <si>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</si>
  <si>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</si>
  <si>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</si>
  <si>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</si>
  <si>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</si>
  <si>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</si>
  <si>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</si>
  <si>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</si>
  <si>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</si>
  <si>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</si>
  <si>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</si>
  <si>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</si>
  <si>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</si>
  <si>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</si>
  <si>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</si>
  <si>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</si>
  <si>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</si>
  <si>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</si>
  <si>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</si>
  <si>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</si>
  <si>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</si>
  <si>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</si>
  <si>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</si>
  <si>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</si>
  <si>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</si>
  <si>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</si>
  <si>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</si>
  <si>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</si>
  <si>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</si>
  <si>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</si>
  <si>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</si>
  <si>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</si>
  <si>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</si>
  <si>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</si>
  <si>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</si>
  <si>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</si>
  <si>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</si>
  <si>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</si>
  <si>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</si>
  <si>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</si>
  <si>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</si>
  <si>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</si>
  <si>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</si>
  <si>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</si>
  <si>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</si>
  <si>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</si>
  <si>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</si>
  <si>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</si>
  <si>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</si>
  <si>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</si>
  <si>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</si>
  <si>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</si>
  <si>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</si>
  <si>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</si>
  <si>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</si>
  <si>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</si>
  <si>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</si>
  <si>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</si>
  <si>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</si>
  <si>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</si>
  <si>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</si>
  <si>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</si>
  <si>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</si>
  <si>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</si>
  <si>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</si>
  <si>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</si>
  <si>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</si>
  <si>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</si>
  <si>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</si>
  <si>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</si>
  <si>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</si>
  <si>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</si>
  <si>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</si>
  <si>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</si>
  <si>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</si>
  <si>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</si>
  <si>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</si>
  <si>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</si>
  <si>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</si>
  <si>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</si>
  <si>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</si>
  <si>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</si>
  <si>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</si>
  <si>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</si>
  <si>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</si>
  <si>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</si>
  <si>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</si>
  <si>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</si>
  <si>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</si>
  <si>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</si>
  <si>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</si>
  <si>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</si>
  <si>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</si>
  <si>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</si>
  <si>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</si>
  <si>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</si>
  <si>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</si>
  <si>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</si>
  <si>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</si>
  <si>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</si>
  <si>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</si>
  <si>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</si>
  <si>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</si>
  <si>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</si>
  <si>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</si>
  <si>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</si>
  <si>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</si>
  <si>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</si>
  <si>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</si>
  <si>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</si>
  <si>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</si>
  <si>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</si>
  <si>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</si>
  <si>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</si>
  <si>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</si>
  <si>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</si>
  <si>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</si>
  <si>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</si>
  <si>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</si>
  <si>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</si>
  <si>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</si>
  <si>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</si>
  <si>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</si>
  <si>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</si>
  <si>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</si>
  <si>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</si>
  <si>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</si>
  <si>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</si>
  <si>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</si>
  <si>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</si>
  <si>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</si>
  <si>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</si>
  <si>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</si>
  <si>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</si>
  <si>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</si>
  <si>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</si>
  <si>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</si>
  <si>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</si>
  <si>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</si>
  <si>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</si>
  <si>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</si>
  <si>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</si>
  <si>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</si>
  <si>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</si>
  <si>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</si>
  <si>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</si>
  <si>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</si>
  <si>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</si>
  <si>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</si>
  <si>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</si>
  <si>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</si>
  <si>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</si>
  <si>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</si>
  <si>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</si>
  <si>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</si>
  <si>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</si>
  <si>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</si>
  <si>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</si>
  <si>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</si>
  <si>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</si>
  <si>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</si>
  <si>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</si>
  <si>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</si>
  <si>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</si>
  <si>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</si>
  <si>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</si>
  <si>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</si>
  <si>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</si>
  <si>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</si>
  <si>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</si>
  <si>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</si>
  <si>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</si>
  <si>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</si>
  <si>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</si>
  <si>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</si>
  <si>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</si>
  <si>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</si>
  <si>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</si>
  <si>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</si>
  <si>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</si>
  <si>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</si>
  <si>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</si>
  <si>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</si>
  <si>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</si>
  <si>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</si>
  <si>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</si>
  <si>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</si>
  <si>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</si>
  <si>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</si>
  <si>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</si>
  <si>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</si>
  <si>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</si>
  <si>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</si>
  <si>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</si>
  <si>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</si>
  <si>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</si>
  <si>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</si>
  <si>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</si>
  <si>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</si>
  <si>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</si>
  <si>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</si>
  <si>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</si>
  <si>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</si>
  <si>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</si>
  <si>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</si>
  <si>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</si>
  <si>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</si>
  <si>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</si>
  <si>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</si>
  <si>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</si>
  <si>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</si>
  <si>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</si>
  <si>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</si>
  <si>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</si>
  <si>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</si>
  <si>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</si>
  <si>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173</t>
  </si>
  <si>
    <t>Hospital Name</t>
  </si>
  <si>
    <t>Arbor Health</t>
  </si>
  <si>
    <t>Mailing Address</t>
  </si>
  <si>
    <t>PO Box 1138</t>
  </si>
  <si>
    <t>City</t>
  </si>
  <si>
    <t>Morton</t>
  </si>
  <si>
    <t>State</t>
  </si>
  <si>
    <t>WA</t>
  </si>
  <si>
    <t>Zip</t>
  </si>
  <si>
    <t>County</t>
  </si>
  <si>
    <t>Lewis</t>
  </si>
  <si>
    <t>Chief Executive Officer</t>
  </si>
  <si>
    <t>Chief Financial Officer</t>
  </si>
  <si>
    <t>Chair of Governing Board</t>
  </si>
  <si>
    <t>Telephone Number</t>
  </si>
  <si>
    <t>360-496-5112</t>
  </si>
  <si>
    <t>Facsimile Number</t>
  </si>
  <si>
    <t>360-496-3511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</si>
  <si>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</si>
  <si>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</si>
  <si>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</si>
  <si>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</si>
  <si>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</si>
  <si>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</si>
  <si>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</si>
  <si>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</si>
  <si>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</si>
  <si>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</si>
  <si>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</si>
  <si>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</si>
  <si>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</si>
  <si>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</si>
  <si>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</si>
  <si>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</si>
  <si>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</si>
  <si>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</si>
  <si>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</si>
  <si>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</si>
  <si>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</si>
  <si>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</si>
  <si>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</si>
  <si>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</si>
  <si>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</si>
  <si>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</si>
  <si>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</si>
  <si>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</si>
  <si>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</si>
  <si>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</si>
  <si>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</si>
  <si>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</si>
  <si>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</si>
  <si>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</si>
  <si>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</si>
  <si>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</si>
  <si>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</si>
  <si>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</si>
  <si>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</si>
  <si>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</si>
  <si>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</si>
  <si>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</si>
  <si>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</si>
  <si>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</si>
  <si>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</si>
  <si>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</si>
  <si>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</si>
  <si>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</si>
  <si>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</si>
  <si>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</si>
  <si>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</si>
  <si>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</si>
  <si>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</si>
  <si>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</si>
  <si>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</si>
  <si>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</si>
  <si>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</si>
  <si>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</si>
  <si>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</si>
  <si>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</si>
  <si>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</si>
  <si>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</si>
  <si>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</si>
  <si>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</si>
  <si>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</si>
  <si>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</si>
  <si>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</si>
  <si>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</si>
  <si>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</si>
  <si>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</si>
  <si>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</si>
  <si>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</si>
  <si>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</si>
  <si>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</si>
  <si>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</si>
  <si>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</si>
  <si>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</si>
  <si>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</si>
  <si>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</si>
  <si>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</si>
  <si>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</si>
  <si>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</si>
  <si>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</si>
  <si>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</si>
  <si>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</si>
  <si>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</si>
  <si>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</si>
  <si>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</si>
  <si>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</si>
  <si>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</si>
  <si>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</si>
  <si>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</si>
  <si>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</si>
  <si>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</si>
  <si>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</si>
  <si>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</si>
  <si>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</si>
  <si>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</si>
  <si>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</si>
  <si>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</si>
  <si>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</si>
  <si>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</si>
  <si>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</si>
  <si>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</si>
  <si>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</si>
  <si>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</si>
  <si>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</si>
  <si>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</si>
  <si>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</si>
  <si>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</si>
  <si>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</si>
  <si>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</si>
  <si>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</si>
  <si>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</si>
  <si>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</si>
  <si>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</si>
  <si>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</si>
  <si>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</si>
  <si>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</si>
  <si>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</si>
  <si>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</si>
  <si>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</si>
  <si>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</si>
  <si>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</si>
  <si>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</si>
  <si>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</si>
  <si>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</si>
  <si>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</si>
  <si>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</si>
  <si>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</si>
  <si>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</si>
  <si>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</si>
  <si>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</si>
  <si>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</si>
  <si>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</si>
  <si>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</si>
  <si>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</si>
  <si>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</si>
  <si>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</si>
  <si>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</si>
  <si>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</si>
  <si>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</si>
  <si>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</si>
  <si>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</si>
  <si>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</si>
  <si>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</si>
  <si>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</si>
  <si>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</si>
  <si>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</si>
  <si>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</si>
  <si>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</si>
  <si>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</si>
  <si>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</si>
  <si>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</si>
  <si>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</si>
  <si>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</si>
  <si>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</si>
  <si>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</si>
  <si>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</si>
  <si>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</si>
  <si>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</si>
  <si>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</si>
  <si>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</si>
  <si>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</si>
  <si>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</si>
  <si>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</si>
  <si>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</si>
  <si>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</si>
  <si>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</si>
  <si>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</si>
  <si>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</si>
  <si>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</si>
  <si>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</si>
  <si>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</si>
  <si>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</si>
  <si>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</si>
  <si>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</si>
  <si>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</si>
  <si>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</si>
  <si>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</si>
  <si>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</si>
  <si>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</si>
  <si>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</si>
  <si>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</si>
  <si>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</si>
  <si>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</si>
  <si>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</si>
  <si>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</si>
  <si>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</si>
  <si>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</si>
  <si>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</si>
  <si>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</si>
  <si>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</si>
  <si>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</si>
  <si>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</si>
  <si>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</si>
  <si>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</si>
  <si>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</si>
  <si>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</si>
  <si>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</si>
  <si>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</si>
  <si>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</si>
  <si>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</si>
  <si>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</si>
  <si>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</si>
  <si>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</si>
  <si>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</si>
  <si>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</si>
  <si>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</si>
  <si>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</si>
  <si>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</si>
  <si>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</si>
  <si>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</si>
  <si>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</si>
  <si>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</si>
  <si>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</si>
  <si>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</si>
  <si>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</si>
  <si>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</si>
  <si>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</si>
  <si>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</si>
  <si>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</si>
  <si>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</si>
  <si>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</si>
  <si>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</si>
  <si>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</si>
  <si>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</si>
  <si>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</si>
  <si>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</si>
  <si>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</si>
  <si>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</si>
  <si>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</si>
  <si>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</si>
  <si>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</si>
  <si>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</si>
  <si>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</si>
  <si>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</si>
  <si>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</si>
  <si>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</si>
  <si>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</si>
  <si>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</si>
  <si>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</si>
  <si>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</si>
  <si>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</si>
  <si>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</si>
  <si>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</si>
  <si>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</si>
  <si>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</si>
  <si>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</si>
  <si>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</si>
  <si>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</si>
  <si>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</si>
  <si>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</si>
  <si>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</si>
  <si>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</si>
  <si>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</si>
  <si>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</si>
  <si>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</si>
  <si>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</si>
  <si>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</si>
  <si>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</si>
  <si>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</si>
  <si>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</si>
  <si>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</si>
  <si>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</si>
  <si>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</si>
  <si>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</si>
  <si>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</si>
  <si>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</si>
  <si>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</si>
  <si>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</si>
  <si>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</si>
  <si>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</si>
  <si>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</si>
  <si>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</si>
  <si>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</si>
  <si>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</si>
  <si>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</si>
  <si>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</si>
  <si>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</si>
  <si>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</si>
  <si>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</si>
  <si>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</si>
  <si>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</si>
  <si>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</si>
  <si>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</si>
  <si>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</si>
  <si>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</si>
  <si>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</si>
  <si>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</si>
  <si>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</si>
  <si>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</si>
  <si>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</si>
  <si>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</si>
  <si>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</si>
  <si>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</si>
  <si>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</si>
  <si>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</si>
  <si>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</si>
  <si>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</si>
  <si>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</si>
  <si>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</si>
  <si>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</si>
  <si>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</si>
  <si>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</si>
  <si>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</si>
  <si>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</si>
  <si>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</si>
  <si>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</si>
  <si>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</si>
  <si>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</si>
  <si>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</si>
  <si>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</si>
  <si>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</si>
  <si>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</si>
  <si>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</si>
  <si>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</si>
  <si>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</si>
  <si>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</si>
  <si>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</si>
  <si>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</si>
  <si>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</si>
  <si>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</si>
  <si>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</si>
  <si>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</si>
  <si>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</si>
  <si>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</si>
  <si>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</si>
  <si>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</si>
  <si>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</si>
  <si>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</si>
  <si>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</si>
  <si>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</si>
  <si>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</si>
  <si>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</si>
  <si>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</si>
  <si>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</si>
  <si>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</si>
  <si>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</si>
  <si>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</si>
  <si>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</si>
  <si>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</si>
  <si>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</si>
  <si>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</si>
  <si>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</si>
  <si>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</si>
  <si>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</si>
  <si>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</si>
  <si>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</si>
  <si>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</si>
  <si>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</si>
  <si>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</si>
  <si>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</si>
  <si>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</si>
  <si>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</si>
  <si>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</si>
  <si>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</si>
  <si>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</si>
  <si>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</si>
  <si>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</si>
  <si>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</si>
  <si>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</si>
  <si>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</si>
  <si>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</si>
  <si>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</si>
  <si>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</si>
  <si>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</si>
  <si>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</si>
  <si>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</si>
  <si>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</si>
  <si>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</si>
  <si>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</si>
  <si>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</si>
  <si>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</si>
  <si>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</si>
  <si>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</si>
  <si>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</si>
  <si>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</si>
  <si>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</si>
  <si>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</si>
  <si>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</si>
  <si>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</si>
  <si>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</si>
  <si>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</si>
  <si>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</si>
  <si>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</si>
  <si>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</si>
  <si>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</si>
  <si>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</si>
  <si>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</si>
  <si>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</si>
  <si>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</si>
  <si>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</si>
  <si>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</si>
  <si>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</si>
  <si>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</si>
  <si>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</si>
  <si>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</si>
  <si>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</si>
  <si>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</si>
  <si>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</si>
  <si>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</si>
  <si>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</si>
  <si>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</si>
  <si>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</si>
  <si>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</si>
  <si>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</si>
  <si>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</si>
  <si>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</si>
  <si>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</si>
  <si>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</si>
  <si>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</si>
  <si>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</si>
  <si>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</si>
  <si>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</si>
  <si>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</si>
  <si>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</si>
  <si>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</si>
  <si>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</si>
  <si>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</si>
  <si>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</si>
  <si>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</si>
  <si>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</si>
  <si>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</si>
  <si>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</si>
  <si>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</si>
  <si>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</si>
  <si>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</si>
  <si>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</si>
  <si>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</si>
  <si>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</si>
  <si>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</si>
  <si>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</si>
  <si>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</si>
  <si>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</si>
  <si>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</si>
  <si>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</si>
  <si>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</si>
  <si>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</si>
  <si>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</si>
  <si>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</si>
  <si>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</si>
  <si>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</si>
  <si>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</si>
  <si>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</si>
  <si>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</si>
  <si>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</si>
  <si>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</si>
  <si>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</si>
  <si>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</si>
  <si>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</si>
  <si>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</si>
  <si>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</si>
  <si>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</si>
  <si>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</si>
  <si>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</si>
  <si>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</si>
  <si>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</si>
  <si>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</si>
  <si>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</si>
  <si>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</si>
  <si>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</si>
  <si>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</si>
  <si>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</si>
  <si>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</si>
  <si>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</si>
  <si>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</si>
  <si>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</si>
  <si>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</si>
  <si>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</si>
  <si>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</si>
  <si>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</si>
  <si>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</si>
  <si>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</si>
  <si>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</si>
  <si>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</si>
  <si>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</si>
  <si>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</si>
  <si>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</si>
  <si>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</si>
  <si>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</si>
  <si>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</si>
  <si>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</si>
  <si>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</si>
  <si>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</si>
  <si>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</si>
  <si>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</si>
  <si>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</si>
  <si>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</si>
  <si>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</si>
  <si>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</si>
  <si>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</si>
  <si>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</si>
  <si>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</si>
  <si>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</si>
  <si>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</si>
  <si>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</si>
  <si>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</si>
  <si>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</si>
  <si>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</si>
  <si>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</si>
  <si>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</si>
  <si>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</si>
  <si>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</si>
  <si>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</si>
  <si>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</si>
  <si>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</si>
  <si>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</si>
  <si>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</si>
  <si>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</si>
  <si>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</si>
  <si>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</si>
  <si>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</si>
  <si>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</si>
  <si>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</si>
  <si>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</si>
  <si>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</si>
  <si>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</si>
  <si>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</si>
  <si>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</si>
  <si>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</si>
  <si>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</si>
  <si>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</si>
  <si>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</si>
  <si>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</si>
  <si>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</si>
  <si>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</si>
  <si>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</si>
  <si>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</si>
  <si>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</si>
  <si>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</si>
  <si>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</si>
  <si>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</si>
  <si>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</si>
  <si>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</si>
  <si>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</si>
  <si>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</si>
  <si>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</si>
  <si>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</si>
  <si>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</si>
  <si>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</si>
  <si>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</si>
  <si>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</si>
  <si>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</si>
  <si>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</si>
  <si>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</si>
  <si>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</si>
  <si>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</si>
  <si>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</si>
  <si>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</si>
  <si>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</si>
  <si>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</si>
  <si>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</si>
  <si>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</si>
  <si>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</si>
  <si>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</si>
  <si>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</si>
  <si>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</si>
  <si>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</si>
  <si>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</si>
  <si>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</si>
  <si>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</si>
  <si>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</si>
  <si>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</si>
  <si>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</si>
  <si>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</si>
  <si>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</si>
  <si>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</si>
  <si>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</si>
  <si>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</si>
  <si>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</si>
  <si>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</si>
  <si>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</si>
  <si>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</si>
  <si>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</si>
  <si>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</si>
  <si>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</si>
  <si>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</si>
  <si>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</si>
  <si>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</si>
  <si>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</si>
  <si>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</si>
  <si>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</si>
  <si>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</si>
  <si>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</si>
  <si>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</si>
  <si>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</si>
  <si>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</si>
  <si>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</si>
  <si>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</si>
  <si>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</si>
  <si>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</si>
  <si>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</si>
  <si>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</si>
  <si>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</si>
  <si>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</si>
  <si>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</si>
  <si>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</si>
  <si>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</si>
  <si>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</si>
  <si>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</si>
  <si>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</si>
  <si>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</si>
  <si>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</si>
  <si>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</si>
  <si>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</si>
  <si>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</si>
  <si>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</si>
  <si>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</si>
  <si>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</si>
  <si>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</si>
  <si>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</si>
  <si>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</si>
  <si>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</si>
  <si>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</si>
  <si>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</si>
  <si>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</si>
  <si>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</si>
  <si>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</si>
  <si>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</si>
  <si>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</si>
  <si>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</si>
  <si>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</si>
  <si>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</si>
  <si>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</si>
  <si>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</si>
  <si>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</si>
  <si>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</si>
  <si>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</si>
  <si>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</si>
  <si>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</si>
  <si>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</si>
  <si>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</si>
  <si>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</si>
  <si>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</si>
  <si>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</si>
  <si>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</si>
  <si>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</si>
  <si>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</si>
  <si>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</si>
  <si>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</si>
  <si>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</si>
  <si>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</si>
  <si>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</si>
  <si>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</si>
  <si>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</si>
  <si>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</si>
  <si>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</si>
  <si>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</si>
  <si>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</si>
  <si>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</si>
  <si>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</si>
  <si>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</si>
  <si>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</si>
  <si>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</si>
  <si>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</si>
  <si>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</si>
  <si>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</si>
  <si>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</si>
  <si>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</si>
  <si>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</si>
  <si>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</si>
  <si>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</si>
  <si>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</si>
  <si>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</si>
  <si>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</si>
  <si>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</si>
  <si>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</si>
  <si>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</si>
  <si>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</si>
  <si>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</si>
  <si>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</si>
  <si>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</si>
  <si>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</si>
  <si>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</si>
  <si>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</si>
  <si>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</si>
  <si>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</si>
  <si>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</si>
  <si>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</si>
  <si>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</si>
  <si>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</si>
  <si>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</si>
  <si>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</si>
  <si>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</si>
  <si>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</si>
  <si>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</si>
  <si>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</si>
  <si>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</si>
  <si>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</si>
  <si>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</si>
  <si>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</si>
  <si>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</si>
  <si>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</si>
  <si>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</si>
  <si>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</si>
  <si>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</si>
  <si>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</si>
  <si>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</si>
  <si>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</si>
  <si>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</si>
  <si>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</si>
  <si>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</si>
  <si>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</si>
  <si>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</si>
  <si>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</si>
  <si>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</si>
  <si>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</si>
  <si>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</si>
  <si>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</si>
  <si>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</si>
  <si>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</si>
  <si>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</si>
  <si>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</si>
  <si>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</si>
  <si>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</si>
  <si>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</si>
  <si>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</si>
  <si>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</si>
  <si>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</si>
  <si>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</si>
  <si>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</si>
  <si>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</si>
  <si>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</si>
  <si>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</si>
  <si>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</si>
  <si>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</si>
  <si>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</si>
  <si>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</si>
  <si>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</si>
  <si>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</si>
  <si>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</si>
  <si>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</si>
  <si>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</si>
  <si>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</si>
  <si>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</si>
  <si>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</si>
  <si>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</si>
  <si>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</si>
  <si>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</si>
  <si>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</si>
  <si>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Robert Mach</t>
  </si>
  <si>
    <t>Cheryl Cornwell</t>
  </si>
  <si>
    <t>Tom Herrin</t>
  </si>
  <si>
    <t>Clint Scogin</t>
  </si>
  <si>
    <t>cscogin@myarborhealth.org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</si>
  <si>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</si>
  <si>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</si>
  <si>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</si>
  <si>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</si>
  <si>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</si>
  <si>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</si>
  <si>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</si>
  <si>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</si>
  <si>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</si>
  <si>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</si>
  <si>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</si>
  <si>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</si>
  <si>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</si>
  <si>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</si>
  <si>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</si>
  <si>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</si>
  <si>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</si>
  <si>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</si>
  <si>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</si>
  <si>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</si>
  <si>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</si>
  <si>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</si>
  <si>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</si>
  <si>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</si>
  <si>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</si>
  <si>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</si>
  <si>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</si>
  <si>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</si>
  <si>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</si>
  <si>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</si>
  <si>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</si>
  <si>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</si>
  <si>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</si>
  <si>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</si>
  <si>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</si>
  <si>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</si>
  <si>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</si>
  <si>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</si>
  <si>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</si>
  <si>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</si>
  <si>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</si>
  <si>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</si>
  <si>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</si>
  <si>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</si>
  <si>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</si>
  <si>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</si>
  <si>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</si>
  <si>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</si>
  <si>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</si>
  <si>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</si>
  <si>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</si>
  <si>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</si>
  <si>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</si>
  <si>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</si>
  <si>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</si>
  <si>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</si>
  <si>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</si>
  <si>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</si>
  <si>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</si>
  <si>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</si>
  <si>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</si>
  <si>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</si>
  <si>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</si>
  <si>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</si>
  <si>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</si>
  <si>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</si>
  <si>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</si>
  <si>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</si>
  <si>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</si>
  <si>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</si>
  <si>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</si>
  <si>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</si>
  <si>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</si>
  <si>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</si>
  <si>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</si>
  <si>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</si>
  <si>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</si>
  <si>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</si>
  <si>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</si>
  <si>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</si>
  <si>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</si>
  <si>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</si>
  <si>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</si>
  <si>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</si>
  <si>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</si>
  <si>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</si>
  <si>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</si>
  <si>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</si>
  <si>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</si>
  <si>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</si>
  <si>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</si>
  <si>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</si>
  <si>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</si>
  <si>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</si>
  <si>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</si>
  <si>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</si>
  <si>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</si>
  <si>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</si>
  <si>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</si>
  <si>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</si>
  <si>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</si>
  <si>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</si>
  <si>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</si>
  <si>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</si>
  <si>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</si>
  <si>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</si>
  <si>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</si>
  <si>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</si>
  <si>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</si>
  <si>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</si>
  <si>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</si>
  <si>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</si>
  <si>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</si>
  <si>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</si>
  <si>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</si>
  <si>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</si>
  <si>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</si>
  <si>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</si>
  <si>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</si>
  <si>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</si>
  <si>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</si>
  <si>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</si>
  <si>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</si>
  <si>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</si>
  <si>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</si>
  <si>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</si>
  <si>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</si>
  <si>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</si>
  <si>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</si>
  <si>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</si>
  <si>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</si>
  <si>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</si>
  <si>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</si>
  <si>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</si>
  <si>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</si>
  <si>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</si>
  <si>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</si>
  <si>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</si>
  <si>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</si>
  <si>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</si>
  <si>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</si>
  <si>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</si>
  <si>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</si>
  <si>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</si>
  <si>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</si>
  <si>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</si>
  <si>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</si>
  <si>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</si>
  <si>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</si>
  <si>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</si>
  <si>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</si>
  <si>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</si>
  <si>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</si>
  <si>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</si>
  <si>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</si>
  <si>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</si>
  <si>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</si>
  <si>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</si>
  <si>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</si>
  <si>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</si>
  <si>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</si>
  <si>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</si>
  <si>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</si>
  <si>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</si>
  <si>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</si>
  <si>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</si>
  <si>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</si>
  <si>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</si>
  <si>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</si>
  <si>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</si>
  <si>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</si>
  <si>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</si>
  <si>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</si>
  <si>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</si>
  <si>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</si>
  <si>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</si>
  <si>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</si>
  <si>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</si>
  <si>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</si>
  <si>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</si>
  <si>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</si>
  <si>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</si>
  <si>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</si>
  <si>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</si>
  <si>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</si>
  <si>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</si>
  <si>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</si>
  <si>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</si>
  <si>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</si>
  <si>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</si>
  <si>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</si>
  <si>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</si>
  <si>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</si>
  <si>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</si>
  <si>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</si>
  <si>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</si>
  <si>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</si>
  <si>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</si>
  <si>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</si>
  <si>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</si>
  <si>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</si>
  <si>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</si>
  <si>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</si>
  <si>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</si>
  <si>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</si>
  <si>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</si>
  <si>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</si>
  <si>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</si>
  <si>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</si>
  <si>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</si>
  <si>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</si>
  <si>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</si>
  <si>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</si>
  <si>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</si>
  <si>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</si>
  <si>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</si>
  <si>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</si>
  <si>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</si>
  <si>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</si>
  <si>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</si>
  <si>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</si>
  <si>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</si>
  <si>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</si>
  <si>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</si>
  <si>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</si>
  <si>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</si>
  <si>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</si>
  <si>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</si>
  <si>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</si>
  <si>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</si>
  <si>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</si>
  <si>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</si>
  <si>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</si>
  <si>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</si>
  <si>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</si>
  <si>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</si>
  <si>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</si>
  <si>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</si>
  <si>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</si>
  <si>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</si>
  <si>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</si>
  <si>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</si>
  <si>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</si>
  <si>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</si>
  <si>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</si>
  <si>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</si>
  <si>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</si>
  <si>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</si>
  <si>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</si>
  <si>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</si>
  <si>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</si>
  <si>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</si>
  <si>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</si>
  <si>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</si>
  <si>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</si>
  <si>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</si>
  <si>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</si>
  <si>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</si>
  <si>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</si>
  <si>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</si>
  <si>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</si>
  <si>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</si>
  <si>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</si>
  <si>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</si>
  <si>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</si>
  <si>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</si>
  <si>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</si>
  <si>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</si>
  <si>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</si>
  <si>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</si>
  <si>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</si>
  <si>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</si>
  <si>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</si>
  <si>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</si>
  <si>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</si>
  <si>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</si>
  <si>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</si>
  <si>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</si>
  <si>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</si>
  <si>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</si>
  <si>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</si>
  <si>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</si>
  <si>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</si>
  <si>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</si>
  <si>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</si>
  <si>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</si>
  <si>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</si>
  <si>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</si>
  <si>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</si>
  <si>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</si>
  <si>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</si>
  <si>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</si>
  <si>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</si>
  <si>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</si>
  <si>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</si>
  <si>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</si>
  <si>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</si>
  <si>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</si>
  <si>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</si>
  <si>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</si>
  <si>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</si>
  <si>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</si>
  <si>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</si>
  <si>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</si>
  <si>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</si>
  <si>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Large decrease in Agency nursing cexpenses</t>
  </si>
  <si>
    <t>Decrease in Anesthesia minutes</t>
  </si>
  <si>
    <t>Increase in Nuc Med visits</t>
  </si>
  <si>
    <t>Increase in treatments with similar costs</t>
  </si>
  <si>
    <t>340B Revenue</t>
  </si>
  <si>
    <t>Medicaid Safety Net revenue</t>
  </si>
  <si>
    <t>Bond subsidy</t>
  </si>
  <si>
    <t>Collection interest</t>
  </si>
  <si>
    <t>Capital payments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</si>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</sst>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cscogin@myarborhealth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C415" sqref="C415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/>
      <c r="D47" s="273"/>
      <c r="E47" s="273">
        <f>204664+14807</f>
        <v>219471</v>
      </c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>
        <v>23760</v>
      </c>
      <c r="Q47" s="273"/>
      <c r="R47" s="273">
        <v>57830</v>
      </c>
      <c r="S47" s="273">
        <v>3687</v>
      </c>
      <c r="T47" s="273"/>
      <c r="U47" s="273">
        <v>44120</v>
      </c>
      <c r="V47" s="273"/>
      <c r="W47" s="273"/>
      <c r="X47" s="273"/>
      <c r="Y47" s="273">
        <v>107932</v>
      </c>
      <c r="Z47" s="273"/>
      <c r="AA47" s="273"/>
      <c r="AB47" s="273">
        <v>30570</v>
      </c>
      <c r="AC47" s="273">
        <v>31394</v>
      </c>
      <c r="AD47" s="273"/>
      <c r="AE47" s="273">
        <f>108534+3998</f>
        <v>112532</v>
      </c>
      <c r="AF47" s="273"/>
      <c r="AG47" s="273">
        <f>130811+64473</f>
        <v>195284</v>
      </c>
      <c r="AH47" s="273"/>
      <c r="AI47" s="273"/>
      <c r="AJ47" s="273">
        <f>31801+6917+26614+81705+133520+182741+46744+28899</f>
        <v>538941</v>
      </c>
      <c r="AK47" s="273">
        <v>5783</v>
      </c>
      <c r="AL47" s="273">
        <v>888</v>
      </c>
      <c r="AM47" s="273"/>
      <c r="AN47" s="273"/>
      <c r="AO47" s="273"/>
      <c r="AP47" s="273"/>
      <c r="AQ47" s="273"/>
      <c r="AR47" s="273"/>
      <c r="AS47" s="273"/>
      <c r="AT47" s="273"/>
      <c r="AU47" s="273"/>
      <c r="AV47" s="273">
        <f>22263+527+5048</f>
        <v>27838</v>
      </c>
      <c r="AW47" s="273"/>
      <c r="AX47" s="273"/>
      <c r="AY47" s="273">
        <v>45807</v>
      </c>
      <c r="AZ47" s="273"/>
      <c r="BA47" s="273">
        <v>5848</v>
      </c>
      <c r="BB47" s="273"/>
      <c r="BC47" s="273">
        <v>3645</v>
      </c>
      <c r="BD47" s="273">
        <v>19243</v>
      </c>
      <c r="BE47" s="273">
        <v>55331</v>
      </c>
      <c r="BF47" s="273">
        <v>43607</v>
      </c>
      <c r="BG47" s="273">
        <v>12764</v>
      </c>
      <c r="BH47" s="273">
        <f>43910+35082</f>
        <v>78992</v>
      </c>
      <c r="BI47" s="273"/>
      <c r="BJ47" s="273">
        <v>37266</v>
      </c>
      <c r="BK47" s="273">
        <v>81148</v>
      </c>
      <c r="BL47" s="273">
        <v>57527</v>
      </c>
      <c r="BM47" s="273"/>
      <c r="BN47" s="273">
        <f>77038+1913</f>
        <v>78951</v>
      </c>
      <c r="BO47" s="273">
        <v>9516</v>
      </c>
      <c r="BP47" s="273"/>
      <c r="BQ47" s="273"/>
      <c r="BR47" s="273">
        <v>53773</v>
      </c>
      <c r="BS47" s="273"/>
      <c r="BT47" s="273"/>
      <c r="BU47" s="273"/>
      <c r="BV47" s="273">
        <v>19216</v>
      </c>
      <c r="BW47" s="273"/>
      <c r="BX47" s="273">
        <v>20346</v>
      </c>
      <c r="BY47" s="273">
        <v>69939</v>
      </c>
      <c r="BZ47" s="273"/>
      <c r="CA47" s="273"/>
      <c r="CB47" s="273"/>
      <c r="CC47" s="273">
        <f>5002+16320+2940</f>
        <v>24262</v>
      </c>
      <c r="CD47" s="16"/>
      <c r="CE47" s="25">
        <f>SUM(C47:CC47)</f>
        <v>2117211</v>
      </c>
    </row>
    <row r="48" spans="1:83" x14ac:dyDescent="0.25">
      <c r="A48" s="25" t="s">
        <v>231</v>
      </c>
      <c r="B48" s="272">
        <f>3091469+5380</f>
        <v>3096849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330571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80306</v>
      </c>
      <c r="Q48" s="25">
        <f t="shared" si="0"/>
        <v>0</v>
      </c>
      <c r="R48" s="25">
        <f t="shared" si="0"/>
        <v>63910</v>
      </c>
      <c r="S48" s="25">
        <f t="shared" si="0"/>
        <v>6376</v>
      </c>
      <c r="T48" s="25">
        <f t="shared" si="0"/>
        <v>0</v>
      </c>
      <c r="U48" s="25">
        <f t="shared" si="0"/>
        <v>117368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170546</v>
      </c>
      <c r="Z48" s="25">
        <f t="shared" si="0"/>
        <v>0</v>
      </c>
      <c r="AA48" s="25">
        <f t="shared" si="0"/>
        <v>0</v>
      </c>
      <c r="AB48" s="25">
        <f t="shared" si="0"/>
        <v>40149</v>
      </c>
      <c r="AC48" s="25">
        <f t="shared" si="0"/>
        <v>34678</v>
      </c>
      <c r="AD48" s="25">
        <f t="shared" si="0"/>
        <v>0</v>
      </c>
      <c r="AE48" s="25">
        <f t="shared" si="0"/>
        <v>172737</v>
      </c>
      <c r="AF48" s="25">
        <f t="shared" si="0"/>
        <v>0</v>
      </c>
      <c r="AG48" s="25">
        <f t="shared" si="0"/>
        <v>423973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788066</v>
      </c>
      <c r="AK48" s="25">
        <f t="shared" si="1"/>
        <v>6984</v>
      </c>
      <c r="AL48" s="25">
        <f t="shared" si="1"/>
        <v>1413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54714</v>
      </c>
      <c r="AZ48" s="25">
        <f t="shared" si="1"/>
        <v>0</v>
      </c>
      <c r="BA48" s="25">
        <f t="shared" si="1"/>
        <v>9186</v>
      </c>
      <c r="BB48" s="25">
        <f t="shared" si="1"/>
        <v>0</v>
      </c>
      <c r="BC48" s="25">
        <f t="shared" si="1"/>
        <v>5482</v>
      </c>
      <c r="BD48" s="25">
        <f t="shared" si="1"/>
        <v>19179</v>
      </c>
      <c r="BE48" s="25">
        <f t="shared" si="1"/>
        <v>80048</v>
      </c>
      <c r="BF48" s="25">
        <f t="shared" si="1"/>
        <v>56558</v>
      </c>
      <c r="BG48" s="25">
        <f t="shared" si="1"/>
        <v>11653</v>
      </c>
      <c r="BH48" s="25">
        <f t="shared" si="1"/>
        <v>94351</v>
      </c>
      <c r="BI48" s="25">
        <f t="shared" si="1"/>
        <v>0</v>
      </c>
      <c r="BJ48" s="25">
        <f t="shared" si="1"/>
        <v>40416</v>
      </c>
      <c r="BK48" s="25">
        <f t="shared" si="1"/>
        <v>98912</v>
      </c>
      <c r="BL48" s="25">
        <f t="shared" si="1"/>
        <v>71781</v>
      </c>
      <c r="BM48" s="25">
        <f t="shared" si="1"/>
        <v>0</v>
      </c>
      <c r="BN48" s="25">
        <f t="shared" si="1"/>
        <v>97700</v>
      </c>
      <c r="BO48" s="25">
        <f t="shared" ref="BO48:CD48" si="2">IF($B$48,(ROUND((($B$48/$CE$61)*BO61),0)))</f>
        <v>8603</v>
      </c>
      <c r="BP48" s="25">
        <f t="shared" si="2"/>
        <v>0</v>
      </c>
      <c r="BQ48" s="25">
        <f t="shared" si="2"/>
        <v>0</v>
      </c>
      <c r="BR48" s="25">
        <f t="shared" si="2"/>
        <v>50431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60569</v>
      </c>
      <c r="BW48" s="25">
        <f t="shared" si="2"/>
        <v>0</v>
      </c>
      <c r="BX48" s="25">
        <f t="shared" si="2"/>
        <v>17438</v>
      </c>
      <c r="BY48" s="25">
        <f t="shared" si="2"/>
        <v>69393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13357</v>
      </c>
      <c r="CD48" s="25">
        <f t="shared" si="2"/>
        <v>0</v>
      </c>
      <c r="CE48" s="25">
        <f>SUM(C48:CD48)</f>
        <v>3096848</v>
      </c>
    </row>
    <row r="49" spans="1:83" x14ac:dyDescent="0.25">
      <c r="A49" s="16" t="s">
        <v>232</v>
      </c>
      <c r="B49" s="25">
        <f>B47+B48</f>
        <v>3096849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1617573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378059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26726</v>
      </c>
      <c r="Q52" s="25">
        <f t="shared" si="3"/>
        <v>0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21715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50585</v>
      </c>
      <c r="Z52" s="25">
        <f t="shared" si="3"/>
        <v>0</v>
      </c>
      <c r="AA52" s="25">
        <f t="shared" si="3"/>
        <v>0</v>
      </c>
      <c r="AB52" s="25">
        <f t="shared" si="3"/>
        <v>10270</v>
      </c>
      <c r="AC52" s="25">
        <f t="shared" si="3"/>
        <v>20457</v>
      </c>
      <c r="AD52" s="25">
        <f t="shared" si="3"/>
        <v>0</v>
      </c>
      <c r="AE52" s="25">
        <f t="shared" si="3"/>
        <v>58277</v>
      </c>
      <c r="AF52" s="25">
        <f t="shared" si="3"/>
        <v>0</v>
      </c>
      <c r="AG52" s="25">
        <f t="shared" si="3"/>
        <v>72960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166459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68320</v>
      </c>
      <c r="AW52" s="25">
        <f t="shared" si="4"/>
        <v>0</v>
      </c>
      <c r="AX52" s="25">
        <f t="shared" si="4"/>
        <v>0</v>
      </c>
      <c r="AY52" s="25">
        <f t="shared" si="4"/>
        <v>58071</v>
      </c>
      <c r="AZ52" s="25">
        <f t="shared" si="4"/>
        <v>0</v>
      </c>
      <c r="BA52" s="25">
        <f t="shared" si="4"/>
        <v>13961</v>
      </c>
      <c r="BB52" s="25">
        <f t="shared" si="4"/>
        <v>0</v>
      </c>
      <c r="BC52" s="25">
        <f t="shared" si="4"/>
        <v>0</v>
      </c>
      <c r="BD52" s="25">
        <f t="shared" si="4"/>
        <v>15549</v>
      </c>
      <c r="BE52" s="25">
        <f t="shared" si="4"/>
        <v>499748</v>
      </c>
      <c r="BF52" s="25">
        <f t="shared" si="4"/>
        <v>8228</v>
      </c>
      <c r="BG52" s="25">
        <f t="shared" si="4"/>
        <v>9404</v>
      </c>
      <c r="BH52" s="25">
        <f t="shared" si="4"/>
        <v>1650</v>
      </c>
      <c r="BI52" s="25">
        <f t="shared" si="4"/>
        <v>0</v>
      </c>
      <c r="BJ52" s="25">
        <f t="shared" si="4"/>
        <v>28252</v>
      </c>
      <c r="BK52" s="25">
        <f t="shared" si="4"/>
        <v>28252</v>
      </c>
      <c r="BL52" s="25">
        <f t="shared" si="4"/>
        <v>12703</v>
      </c>
      <c r="BM52" s="25">
        <f t="shared" si="4"/>
        <v>0</v>
      </c>
      <c r="BN52" s="25">
        <f t="shared" si="4"/>
        <v>18374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11589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23385</v>
      </c>
      <c r="BW52" s="25">
        <f t="shared" si="5"/>
        <v>0</v>
      </c>
      <c r="BX52" s="25">
        <f t="shared" si="5"/>
        <v>0</v>
      </c>
      <c r="BY52" s="25">
        <f t="shared" si="5"/>
        <v>14580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1617574</v>
      </c>
    </row>
    <row r="53" spans="1:83" x14ac:dyDescent="0.25">
      <c r="A53" s="16" t="s">
        <v>232</v>
      </c>
      <c r="B53" s="25">
        <f>B51+B52</f>
        <v>1617573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>
        <v>497</v>
      </c>
      <c r="F59" s="273"/>
      <c r="G59" s="273"/>
      <c r="H59" s="273"/>
      <c r="I59" s="273"/>
      <c r="J59" s="273"/>
      <c r="K59" s="273">
        <v>1069</v>
      </c>
      <c r="L59" s="273"/>
      <c r="M59" s="273"/>
      <c r="N59" s="273"/>
      <c r="O59" s="273"/>
      <c r="P59" s="274">
        <v>16611</v>
      </c>
      <c r="Q59" s="275"/>
      <c r="R59" s="275">
        <v>27082</v>
      </c>
      <c r="S59" s="263">
        <v>0</v>
      </c>
      <c r="T59" s="263">
        <v>0</v>
      </c>
      <c r="U59" s="276">
        <v>52538</v>
      </c>
      <c r="V59" s="275"/>
      <c r="W59" s="275">
        <v>489</v>
      </c>
      <c r="X59" s="275">
        <v>2729</v>
      </c>
      <c r="Y59" s="275">
        <v>5532</v>
      </c>
      <c r="Z59" s="275"/>
      <c r="AA59" s="275">
        <v>70</v>
      </c>
      <c r="AB59" s="263">
        <v>0</v>
      </c>
      <c r="AC59" s="275">
        <v>4734</v>
      </c>
      <c r="AD59" s="275"/>
      <c r="AE59" s="275">
        <v>31322</v>
      </c>
      <c r="AF59" s="275"/>
      <c r="AG59" s="275">
        <v>5633</v>
      </c>
      <c r="AH59" s="275"/>
      <c r="AI59" s="275"/>
      <c r="AJ59" s="275">
        <v>29586</v>
      </c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28181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78440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>
        <v>19</v>
      </c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4">
        <v>7</v>
      </c>
      <c r="Q60" s="274"/>
      <c r="R60" s="274">
        <v>1</v>
      </c>
      <c r="S60" s="278"/>
      <c r="T60" s="278"/>
      <c r="U60" s="279">
        <v>9</v>
      </c>
      <c r="V60" s="274"/>
      <c r="W60" s="274"/>
      <c r="X60" s="274"/>
      <c r="Y60" s="274">
        <v>10</v>
      </c>
      <c r="Z60" s="274"/>
      <c r="AA60" s="274"/>
      <c r="AB60" s="278">
        <v>2</v>
      </c>
      <c r="AC60" s="274">
        <v>3</v>
      </c>
      <c r="AD60" s="274"/>
      <c r="AE60" s="274">
        <v>11</v>
      </c>
      <c r="AF60" s="274"/>
      <c r="AG60" s="274">
        <v>13</v>
      </c>
      <c r="AH60" s="274"/>
      <c r="AI60" s="274"/>
      <c r="AJ60" s="274">
        <v>40</v>
      </c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8"/>
      <c r="AW60" s="278"/>
      <c r="AX60" s="278"/>
      <c r="AY60" s="274">
        <v>9</v>
      </c>
      <c r="AZ60" s="274"/>
      <c r="BA60" s="278">
        <v>3</v>
      </c>
      <c r="BB60" s="278"/>
      <c r="BC60" s="278">
        <v>1</v>
      </c>
      <c r="BD60" s="278">
        <v>3</v>
      </c>
      <c r="BE60" s="274">
        <v>7</v>
      </c>
      <c r="BF60" s="278">
        <v>11</v>
      </c>
      <c r="BG60" s="278">
        <v>1</v>
      </c>
      <c r="BH60" s="278">
        <v>8</v>
      </c>
      <c r="BI60" s="278"/>
      <c r="BJ60" s="278">
        <v>4</v>
      </c>
      <c r="BK60" s="278">
        <v>10</v>
      </c>
      <c r="BL60" s="278">
        <v>11</v>
      </c>
      <c r="BM60" s="278"/>
      <c r="BN60" s="278">
        <v>3</v>
      </c>
      <c r="BO60" s="278">
        <v>1</v>
      </c>
      <c r="BP60" s="278"/>
      <c r="BQ60" s="278"/>
      <c r="BR60" s="278">
        <v>4</v>
      </c>
      <c r="BS60" s="278"/>
      <c r="BT60" s="278"/>
      <c r="BU60" s="278"/>
      <c r="BV60" s="278">
        <v>5</v>
      </c>
      <c r="BW60" s="278"/>
      <c r="BX60" s="278">
        <v>0.3</v>
      </c>
      <c r="BY60" s="278">
        <v>5</v>
      </c>
      <c r="BZ60" s="278"/>
      <c r="CA60" s="278"/>
      <c r="CB60" s="278"/>
      <c r="CC60" s="278">
        <v>27</v>
      </c>
      <c r="CD60" s="209" t="s">
        <v>247</v>
      </c>
      <c r="CE60" s="227">
        <f t="shared" ref="CE60:CE68" si="6">SUM(C60:CD60)</f>
        <v>228.3</v>
      </c>
    </row>
    <row r="61" spans="1:83" x14ac:dyDescent="0.25">
      <c r="A61" s="31" t="s">
        <v>262</v>
      </c>
      <c r="B61" s="16"/>
      <c r="C61" s="273"/>
      <c r="D61" s="273"/>
      <c r="E61" s="273">
        <f>2496441+177860</f>
        <v>2674301</v>
      </c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5">
        <v>649669</v>
      </c>
      <c r="Q61" s="275"/>
      <c r="R61" s="275">
        <v>517032</v>
      </c>
      <c r="S61" s="280">
        <v>51584</v>
      </c>
      <c r="T61" s="280"/>
      <c r="U61" s="276">
        <v>949503</v>
      </c>
      <c r="V61" s="275"/>
      <c r="W61" s="275"/>
      <c r="X61" s="275"/>
      <c r="Y61" s="275">
        <v>1379708</v>
      </c>
      <c r="Z61" s="275"/>
      <c r="AA61" s="275"/>
      <c r="AB61" s="281">
        <v>324807</v>
      </c>
      <c r="AC61" s="275">
        <v>280547</v>
      </c>
      <c r="AD61" s="275"/>
      <c r="AE61" s="275">
        <f>1343611+53819</f>
        <v>1397430</v>
      </c>
      <c r="AF61" s="275"/>
      <c r="AG61" s="275">
        <f>1347668+2082253</f>
        <v>3429921</v>
      </c>
      <c r="AH61" s="275"/>
      <c r="AI61" s="275"/>
      <c r="AJ61" s="275">
        <f>171261+88682+60786+35600+318647+89068+353083+772525+1459097+2071643+384043+118783+452200</f>
        <v>6375418</v>
      </c>
      <c r="AK61" s="275">
        <v>56503</v>
      </c>
      <c r="AL61" s="275">
        <v>11429</v>
      </c>
      <c r="AM61" s="275"/>
      <c r="AN61" s="275"/>
      <c r="AO61" s="275"/>
      <c r="AP61" s="275"/>
      <c r="AQ61" s="275"/>
      <c r="AR61" s="275"/>
      <c r="AS61" s="275"/>
      <c r="AT61" s="275"/>
      <c r="AU61" s="275"/>
      <c r="AV61" s="280"/>
      <c r="AW61" s="280"/>
      <c r="AX61" s="280"/>
      <c r="AY61" s="275">
        <v>442632</v>
      </c>
      <c r="AZ61" s="275"/>
      <c r="BA61" s="280">
        <v>74312</v>
      </c>
      <c r="BB61" s="280"/>
      <c r="BC61" s="280">
        <v>44347</v>
      </c>
      <c r="BD61" s="280">
        <v>155161</v>
      </c>
      <c r="BE61" s="275">
        <f>570982+76605</f>
        <v>647587</v>
      </c>
      <c r="BF61" s="280">
        <v>457548</v>
      </c>
      <c r="BG61" s="280">
        <v>94271</v>
      </c>
      <c r="BH61" s="280">
        <f>455940+307356</f>
        <v>763296</v>
      </c>
      <c r="BI61" s="280"/>
      <c r="BJ61" s="280">
        <v>326962</v>
      </c>
      <c r="BK61" s="280">
        <v>800192</v>
      </c>
      <c r="BL61" s="280">
        <v>580707</v>
      </c>
      <c r="BM61" s="280"/>
      <c r="BN61" s="280">
        <f>764688+25704</f>
        <v>790392</v>
      </c>
      <c r="BO61" s="280">
        <v>69601</v>
      </c>
      <c r="BP61" s="280"/>
      <c r="BQ61" s="280"/>
      <c r="BR61" s="280">
        <v>407982</v>
      </c>
      <c r="BS61" s="280"/>
      <c r="BT61" s="280"/>
      <c r="BU61" s="280"/>
      <c r="BV61" s="280">
        <v>489999</v>
      </c>
      <c r="BW61" s="280"/>
      <c r="BX61" s="280">
        <v>141071</v>
      </c>
      <c r="BY61" s="280">
        <v>561385</v>
      </c>
      <c r="BZ61" s="280"/>
      <c r="CA61" s="280"/>
      <c r="CB61" s="280"/>
      <c r="CC61" s="280">
        <f>51360+34464+22233</f>
        <v>108057</v>
      </c>
      <c r="CD61" s="24" t="s">
        <v>247</v>
      </c>
      <c r="CE61" s="25">
        <f t="shared" si="6"/>
        <v>25053354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550042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104066</v>
      </c>
      <c r="Q62" s="25">
        <f t="shared" si="7"/>
        <v>0</v>
      </c>
      <c r="R62" s="25">
        <f t="shared" si="7"/>
        <v>121740</v>
      </c>
      <c r="S62" s="25">
        <f t="shared" si="7"/>
        <v>10063</v>
      </c>
      <c r="T62" s="25">
        <f t="shared" si="7"/>
        <v>0</v>
      </c>
      <c r="U62" s="25">
        <f t="shared" si="7"/>
        <v>161488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278478</v>
      </c>
      <c r="Z62" s="25">
        <f t="shared" si="7"/>
        <v>0</v>
      </c>
      <c r="AA62" s="25">
        <f t="shared" si="7"/>
        <v>0</v>
      </c>
      <c r="AB62" s="25">
        <f t="shared" si="7"/>
        <v>70719</v>
      </c>
      <c r="AC62" s="25">
        <f t="shared" si="7"/>
        <v>66072</v>
      </c>
      <c r="AD62" s="25">
        <f t="shared" si="7"/>
        <v>0</v>
      </c>
      <c r="AE62" s="25">
        <f t="shared" si="7"/>
        <v>285269</v>
      </c>
      <c r="AF62" s="25">
        <f t="shared" si="7"/>
        <v>0</v>
      </c>
      <c r="AG62" s="25">
        <f t="shared" si="7"/>
        <v>619257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1327007</v>
      </c>
      <c r="AK62" s="25">
        <f t="shared" si="8"/>
        <v>12767</v>
      </c>
      <c r="AL62" s="25">
        <f t="shared" si="8"/>
        <v>2301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27838</v>
      </c>
      <c r="AW62" s="25">
        <f t="shared" si="8"/>
        <v>0</v>
      </c>
      <c r="AX62" s="25">
        <f t="shared" si="8"/>
        <v>0</v>
      </c>
      <c r="AY62" s="25">
        <f t="shared" si="8"/>
        <v>100521</v>
      </c>
      <c r="AZ62" s="25">
        <f t="shared" si="8"/>
        <v>0</v>
      </c>
      <c r="BA62" s="25">
        <f t="shared" si="8"/>
        <v>15034</v>
      </c>
      <c r="BB62" s="25">
        <f t="shared" si="8"/>
        <v>0</v>
      </c>
      <c r="BC62" s="25">
        <f t="shared" si="8"/>
        <v>9127</v>
      </c>
      <c r="BD62" s="25">
        <f t="shared" si="8"/>
        <v>38422</v>
      </c>
      <c r="BE62" s="25">
        <f t="shared" si="8"/>
        <v>135379</v>
      </c>
      <c r="BF62" s="25">
        <f t="shared" si="8"/>
        <v>100165</v>
      </c>
      <c r="BG62" s="25">
        <f t="shared" si="8"/>
        <v>24417</v>
      </c>
      <c r="BH62" s="25">
        <f t="shared" si="8"/>
        <v>173343</v>
      </c>
      <c r="BI62" s="25">
        <f t="shared" si="8"/>
        <v>0</v>
      </c>
      <c r="BJ62" s="25">
        <f t="shared" si="8"/>
        <v>77682</v>
      </c>
      <c r="BK62" s="25">
        <f t="shared" si="8"/>
        <v>180060</v>
      </c>
      <c r="BL62" s="25">
        <f t="shared" si="8"/>
        <v>129308</v>
      </c>
      <c r="BM62" s="25">
        <f t="shared" si="8"/>
        <v>0</v>
      </c>
      <c r="BN62" s="25">
        <f t="shared" si="8"/>
        <v>176651</v>
      </c>
      <c r="BO62" s="25">
        <f t="shared" ref="BO62:CC62" si="9">ROUND(BO47+BO48,0)</f>
        <v>18119</v>
      </c>
      <c r="BP62" s="25">
        <f t="shared" si="9"/>
        <v>0</v>
      </c>
      <c r="BQ62" s="25">
        <f t="shared" si="9"/>
        <v>0</v>
      </c>
      <c r="BR62" s="25">
        <f t="shared" si="9"/>
        <v>104204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79785</v>
      </c>
      <c r="BW62" s="25">
        <f t="shared" si="9"/>
        <v>0</v>
      </c>
      <c r="BX62" s="25">
        <f t="shared" si="9"/>
        <v>37784</v>
      </c>
      <c r="BY62" s="25">
        <f t="shared" si="9"/>
        <v>139332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37619</v>
      </c>
      <c r="CD62" s="24" t="s">
        <v>247</v>
      </c>
      <c r="CE62" s="25">
        <f t="shared" si="6"/>
        <v>5214059</v>
      </c>
    </row>
    <row r="63" spans="1:83" x14ac:dyDescent="0.25">
      <c r="A63" s="31" t="s">
        <v>263</v>
      </c>
      <c r="B63" s="16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5"/>
      <c r="Q63" s="275"/>
      <c r="R63" s="275"/>
      <c r="S63" s="280"/>
      <c r="T63" s="280"/>
      <c r="U63" s="276"/>
      <c r="V63" s="275"/>
      <c r="W63" s="275"/>
      <c r="X63" s="275"/>
      <c r="Y63" s="275"/>
      <c r="Z63" s="275"/>
      <c r="AA63" s="275"/>
      <c r="AB63" s="281">
        <v>20160</v>
      </c>
      <c r="AC63" s="275"/>
      <c r="AD63" s="275"/>
      <c r="AE63" s="275"/>
      <c r="AF63" s="275"/>
      <c r="AG63" s="275">
        <v>10406</v>
      </c>
      <c r="AH63" s="275"/>
      <c r="AI63" s="275"/>
      <c r="AJ63" s="275">
        <f>12490</f>
        <v>12490</v>
      </c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>
        <v>565</v>
      </c>
      <c r="BF63" s="280"/>
      <c r="BG63" s="280"/>
      <c r="BH63" s="280"/>
      <c r="BI63" s="280"/>
      <c r="BJ63" s="280">
        <v>96677</v>
      </c>
      <c r="BK63" s="280">
        <v>199278</v>
      </c>
      <c r="BL63" s="280"/>
      <c r="BM63" s="280"/>
      <c r="BN63" s="280">
        <f>20349+2000</f>
        <v>22349</v>
      </c>
      <c r="BO63" s="280"/>
      <c r="BP63" s="280"/>
      <c r="BQ63" s="280"/>
      <c r="BR63" s="280">
        <v>26307</v>
      </c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>
        <v>4185</v>
      </c>
      <c r="CD63" s="24" t="s">
        <v>247</v>
      </c>
      <c r="CE63" s="25">
        <f t="shared" si="6"/>
        <v>392417</v>
      </c>
    </row>
    <row r="64" spans="1:83" x14ac:dyDescent="0.25">
      <c r="A64" s="31" t="s">
        <v>264</v>
      </c>
      <c r="B64" s="16"/>
      <c r="C64" s="273"/>
      <c r="D64" s="273"/>
      <c r="E64" s="273">
        <v>87717</v>
      </c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5">
        <v>530313</v>
      </c>
      <c r="Q64" s="275"/>
      <c r="R64" s="275">
        <v>13359</v>
      </c>
      <c r="S64" s="280">
        <v>19617</v>
      </c>
      <c r="T64" s="280"/>
      <c r="U64" s="276">
        <v>382827</v>
      </c>
      <c r="V64" s="275"/>
      <c r="W64" s="275"/>
      <c r="X64" s="275">
        <v>28762</v>
      </c>
      <c r="Y64" s="275">
        <f>3270+18229+8040+645</f>
        <v>30184</v>
      </c>
      <c r="Z64" s="275"/>
      <c r="AA64" s="275">
        <v>20926</v>
      </c>
      <c r="AB64" s="281">
        <f>350536+42765+108995</f>
        <v>502296</v>
      </c>
      <c r="AC64" s="275">
        <v>18387</v>
      </c>
      <c r="AD64" s="275"/>
      <c r="AE64" s="275">
        <v>27918</v>
      </c>
      <c r="AF64" s="275"/>
      <c r="AG64" s="275">
        <f>187915+5328</f>
        <v>193243</v>
      </c>
      <c r="AH64" s="275"/>
      <c r="AI64" s="275">
        <f>57+4035</f>
        <v>4092</v>
      </c>
      <c r="AJ64" s="275">
        <f>625999+11460-3481+1723+6192+4405+38820+108079+80615+34826+31450</f>
        <v>940088</v>
      </c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80"/>
      <c r="AW64" s="280"/>
      <c r="AX64" s="280"/>
      <c r="AY64" s="275">
        <v>170252</v>
      </c>
      <c r="AZ64" s="275"/>
      <c r="BA64" s="280">
        <v>38144</v>
      </c>
      <c r="BB64" s="280"/>
      <c r="BC64" s="280">
        <v>51</v>
      </c>
      <c r="BD64" s="280">
        <v>2882</v>
      </c>
      <c r="BE64" s="275">
        <f>45647+3317</f>
        <v>48964</v>
      </c>
      <c r="BF64" s="280">
        <v>48024</v>
      </c>
      <c r="BG64" s="280">
        <v>32835</v>
      </c>
      <c r="BH64" s="280">
        <f>173452</f>
        <v>173452</v>
      </c>
      <c r="BI64" s="280"/>
      <c r="BJ64" s="280">
        <v>16331</v>
      </c>
      <c r="BK64" s="280">
        <f>22+3632</f>
        <v>3654</v>
      </c>
      <c r="BL64" s="280">
        <v>6104</v>
      </c>
      <c r="BM64" s="280"/>
      <c r="BN64" s="280">
        <f>4248+4598</f>
        <v>8846</v>
      </c>
      <c r="BO64" s="280">
        <v>9910</v>
      </c>
      <c r="BP64" s="280"/>
      <c r="BQ64" s="280"/>
      <c r="BR64" s="280">
        <v>3096</v>
      </c>
      <c r="BS64" s="280"/>
      <c r="BT64" s="280"/>
      <c r="BU64" s="280"/>
      <c r="BV64" s="280">
        <v>429</v>
      </c>
      <c r="BW64" s="280"/>
      <c r="BX64" s="280">
        <v>29</v>
      </c>
      <c r="BY64" s="280"/>
      <c r="BZ64" s="280"/>
      <c r="CA64" s="280"/>
      <c r="CB64" s="280"/>
      <c r="CC64" s="280">
        <f>23727+124</f>
        <v>23851</v>
      </c>
      <c r="CD64" s="24" t="s">
        <v>247</v>
      </c>
      <c r="CE64" s="25">
        <f t="shared" si="6"/>
        <v>3386583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>
        <f>6208+11435+8880+2874</f>
        <v>29397</v>
      </c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>
        <v>5449</v>
      </c>
      <c r="BD65" s="280"/>
      <c r="BE65" s="275">
        <v>281581</v>
      </c>
      <c r="BF65" s="280"/>
      <c r="BG65" s="280"/>
      <c r="BH65" s="280">
        <v>107987</v>
      </c>
      <c r="BI65" s="280"/>
      <c r="BJ65" s="280"/>
      <c r="BK65" s="280">
        <v>5619</v>
      </c>
      <c r="BL65" s="280">
        <v>7231</v>
      </c>
      <c r="BM65" s="280"/>
      <c r="BN65" s="280"/>
      <c r="BO65" s="280"/>
      <c r="BP65" s="280"/>
      <c r="BQ65" s="280"/>
      <c r="BR65" s="280">
        <v>2316</v>
      </c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439580</v>
      </c>
    </row>
    <row r="66" spans="1:83" x14ac:dyDescent="0.25">
      <c r="A66" s="31" t="s">
        <v>266</v>
      </c>
      <c r="B66" s="16"/>
      <c r="C66" s="273"/>
      <c r="D66" s="273"/>
      <c r="E66" s="273">
        <v>92496</v>
      </c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5">
        <v>44748</v>
      </c>
      <c r="Q66" s="275"/>
      <c r="R66" s="275">
        <f>4816+4555</f>
        <v>9371</v>
      </c>
      <c r="S66" s="280">
        <v>25557</v>
      </c>
      <c r="T66" s="280"/>
      <c r="U66" s="276">
        <v>392071</v>
      </c>
      <c r="V66" s="275"/>
      <c r="W66" s="275">
        <v>267825</v>
      </c>
      <c r="X66" s="275">
        <v>92939</v>
      </c>
      <c r="Y66" s="275">
        <v>71100</v>
      </c>
      <c r="Z66" s="275"/>
      <c r="AA66" s="275">
        <v>92664</v>
      </c>
      <c r="AB66" s="281">
        <v>96718</v>
      </c>
      <c r="AC66" s="275">
        <v>1376</v>
      </c>
      <c r="AD66" s="275"/>
      <c r="AE66" s="275">
        <f>17988+795</f>
        <v>18783</v>
      </c>
      <c r="AF66" s="275"/>
      <c r="AG66" s="275">
        <f>21189+8221</f>
        <v>29410</v>
      </c>
      <c r="AH66" s="275">
        <v>500004</v>
      </c>
      <c r="AI66" s="275"/>
      <c r="AJ66" s="275">
        <f>14323+1284+40891+4080+100+929+22247+18611+39132+18870+1107+2677</f>
        <v>164251</v>
      </c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80"/>
      <c r="AW66" s="280"/>
      <c r="AX66" s="280"/>
      <c r="AY66" s="275">
        <v>18145</v>
      </c>
      <c r="AZ66" s="275"/>
      <c r="BA66" s="280">
        <v>12534</v>
      </c>
      <c r="BB66" s="280"/>
      <c r="BC66" s="280">
        <v>2342</v>
      </c>
      <c r="BD66" s="280">
        <v>12779</v>
      </c>
      <c r="BE66" s="275">
        <f>346549+11806</f>
        <v>358355</v>
      </c>
      <c r="BF66" s="280">
        <v>9426</v>
      </c>
      <c r="BG66" s="280">
        <v>342657</v>
      </c>
      <c r="BH66" s="280">
        <f>1240469-25711</f>
        <v>1214758</v>
      </c>
      <c r="BI66" s="280"/>
      <c r="BJ66" s="280">
        <v>7924</v>
      </c>
      <c r="BK66" s="280">
        <f>3891+104060</f>
        <v>107951</v>
      </c>
      <c r="BL66" s="280">
        <v>668</v>
      </c>
      <c r="BM66" s="280"/>
      <c r="BN66" s="280">
        <f>114174+33+7608</f>
        <v>121815</v>
      </c>
      <c r="BO66" s="280">
        <v>15652</v>
      </c>
      <c r="BP66" s="280"/>
      <c r="BQ66" s="280"/>
      <c r="BR66" s="280">
        <v>83461</v>
      </c>
      <c r="BS66" s="280"/>
      <c r="BT66" s="280"/>
      <c r="BU66" s="280"/>
      <c r="BV66" s="280">
        <v>32126</v>
      </c>
      <c r="BW66" s="280"/>
      <c r="BX66" s="280">
        <v>4359</v>
      </c>
      <c r="BY66" s="280">
        <v>26952</v>
      </c>
      <c r="BZ66" s="280"/>
      <c r="CA66" s="280"/>
      <c r="CB66" s="280">
        <v>4670</v>
      </c>
      <c r="CC66" s="280">
        <v>308006</v>
      </c>
      <c r="CD66" s="24" t="s">
        <v>247</v>
      </c>
      <c r="CE66" s="25">
        <f t="shared" si="6"/>
        <v>4583893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378059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26726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21715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50585</v>
      </c>
      <c r="Z67" s="25">
        <f t="shared" si="10"/>
        <v>0</v>
      </c>
      <c r="AA67" s="25">
        <f t="shared" si="10"/>
        <v>0</v>
      </c>
      <c r="AB67" s="25">
        <f t="shared" si="10"/>
        <v>10270</v>
      </c>
      <c r="AC67" s="25">
        <f t="shared" si="10"/>
        <v>20457</v>
      </c>
      <c r="AD67" s="25">
        <f t="shared" si="10"/>
        <v>0</v>
      </c>
      <c r="AE67" s="25">
        <f t="shared" si="10"/>
        <v>58277</v>
      </c>
      <c r="AF67" s="25">
        <f t="shared" si="10"/>
        <v>0</v>
      </c>
      <c r="AG67" s="25">
        <f t="shared" si="10"/>
        <v>72960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166459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68320</v>
      </c>
      <c r="AW67" s="25">
        <f t="shared" si="11"/>
        <v>0</v>
      </c>
      <c r="AX67" s="25">
        <f t="shared" si="11"/>
        <v>0</v>
      </c>
      <c r="AY67" s="25">
        <f t="shared" si="11"/>
        <v>58071</v>
      </c>
      <c r="AZ67" s="25">
        <f t="shared" si="11"/>
        <v>0</v>
      </c>
      <c r="BA67" s="25">
        <f t="shared" si="11"/>
        <v>13961</v>
      </c>
      <c r="BB67" s="25">
        <f t="shared" si="11"/>
        <v>0</v>
      </c>
      <c r="BC67" s="25">
        <f t="shared" si="11"/>
        <v>0</v>
      </c>
      <c r="BD67" s="25">
        <f t="shared" si="11"/>
        <v>15549</v>
      </c>
      <c r="BE67" s="25">
        <f t="shared" si="11"/>
        <v>499748</v>
      </c>
      <c r="BF67" s="25">
        <f t="shared" si="11"/>
        <v>8228</v>
      </c>
      <c r="BG67" s="25">
        <f t="shared" si="11"/>
        <v>9404</v>
      </c>
      <c r="BH67" s="25">
        <f t="shared" si="11"/>
        <v>1650</v>
      </c>
      <c r="BI67" s="25">
        <f t="shared" si="11"/>
        <v>0</v>
      </c>
      <c r="BJ67" s="25">
        <f t="shared" si="11"/>
        <v>28252</v>
      </c>
      <c r="BK67" s="25">
        <f t="shared" si="11"/>
        <v>28252</v>
      </c>
      <c r="BL67" s="25">
        <f t="shared" si="11"/>
        <v>12703</v>
      </c>
      <c r="BM67" s="25">
        <f t="shared" si="11"/>
        <v>0</v>
      </c>
      <c r="BN67" s="25">
        <f t="shared" si="11"/>
        <v>18374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11589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23385</v>
      </c>
      <c r="BW67" s="25">
        <f t="shared" si="12"/>
        <v>0</v>
      </c>
      <c r="BX67" s="25">
        <f t="shared" si="12"/>
        <v>0</v>
      </c>
      <c r="BY67" s="25">
        <f t="shared" si="12"/>
        <v>14580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1617574</v>
      </c>
    </row>
    <row r="68" spans="1:83" x14ac:dyDescent="0.25">
      <c r="A68" s="31" t="s">
        <v>267</v>
      </c>
      <c r="B68" s="2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/>
      <c r="Q68" s="275"/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/>
      <c r="BF68" s="280"/>
      <c r="BG68" s="280"/>
      <c r="BH68" s="280"/>
      <c r="BI68" s="280"/>
      <c r="BJ68" s="280"/>
      <c r="BK68" s="280"/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0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2217</v>
      </c>
      <c r="S69" s="25">
        <f t="shared" si="13"/>
        <v>0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0</v>
      </c>
      <c r="Z69" s="25">
        <f t="shared" si="13"/>
        <v>0</v>
      </c>
      <c r="AA69" s="25">
        <f t="shared" si="13"/>
        <v>0</v>
      </c>
      <c r="AB69" s="25">
        <f t="shared" si="13"/>
        <v>0</v>
      </c>
      <c r="AC69" s="25">
        <f t="shared" si="13"/>
        <v>0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10964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24622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0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0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64203</v>
      </c>
      <c r="BP69" s="25">
        <f t="shared" si="15"/>
        <v>0</v>
      </c>
      <c r="BQ69" s="25">
        <f t="shared" si="15"/>
        <v>0</v>
      </c>
      <c r="BR69" s="25">
        <f t="shared" si="15"/>
        <v>61082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1581100</v>
      </c>
      <c r="CD69" s="25">
        <f t="shared" si="15"/>
        <v>0</v>
      </c>
      <c r="CE69" s="25">
        <f t="shared" si="15"/>
        <v>1744188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>
        <v>2217</v>
      </c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>
        <v>10964</v>
      </c>
      <c r="AH73" s="282"/>
      <c r="AI73" s="282"/>
      <c r="AJ73" s="282">
        <f>1125+13277+1329+2867+3156+442+855+1571</f>
        <v>24622</v>
      </c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>
        <v>375970</v>
      </c>
      <c r="CD73" s="282"/>
      <c r="CE73" s="25">
        <f t="shared" si="16"/>
        <v>413773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/>
      <c r="F83" s="275"/>
      <c r="G83" s="273"/>
      <c r="H83" s="273"/>
      <c r="I83" s="275"/>
      <c r="J83" s="275"/>
      <c r="K83" s="275"/>
      <c r="L83" s="275"/>
      <c r="M83" s="273"/>
      <c r="N83" s="273"/>
      <c r="O83" s="273"/>
      <c r="P83" s="275"/>
      <c r="Q83" s="275"/>
      <c r="R83" s="276"/>
      <c r="S83" s="275"/>
      <c r="T83" s="273"/>
      <c r="U83" s="275"/>
      <c r="V83" s="275"/>
      <c r="W83" s="273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6"/>
      <c r="BI83" s="275"/>
      <c r="BJ83" s="275"/>
      <c r="BK83" s="275"/>
      <c r="BL83" s="275"/>
      <c r="BM83" s="275"/>
      <c r="BN83" s="275"/>
      <c r="BO83" s="275">
        <v>64203</v>
      </c>
      <c r="BP83" s="275"/>
      <c r="BQ83" s="275"/>
      <c r="BR83" s="275">
        <v>61082</v>
      </c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>
        <v>1205130</v>
      </c>
      <c r="CD83" s="282"/>
      <c r="CE83" s="25">
        <f t="shared" si="16"/>
        <v>1330415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>
        <v>0</v>
      </c>
      <c r="BP84" s="273"/>
      <c r="BQ84" s="273"/>
      <c r="BR84" s="273">
        <v>0</v>
      </c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>
        <v>0</v>
      </c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3782615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1355522</v>
      </c>
      <c r="Q85" s="25">
        <f t="shared" si="17"/>
        <v>0</v>
      </c>
      <c r="R85" s="25">
        <f t="shared" si="17"/>
        <v>663719</v>
      </c>
      <c r="S85" s="25">
        <f t="shared" si="17"/>
        <v>106821</v>
      </c>
      <c r="T85" s="25">
        <f t="shared" si="17"/>
        <v>0</v>
      </c>
      <c r="U85" s="25">
        <f t="shared" si="17"/>
        <v>1907604</v>
      </c>
      <c r="V85" s="25">
        <f t="shared" si="17"/>
        <v>0</v>
      </c>
      <c r="W85" s="25">
        <f t="shared" si="17"/>
        <v>267825</v>
      </c>
      <c r="X85" s="25">
        <f t="shared" si="17"/>
        <v>121701</v>
      </c>
      <c r="Y85" s="25">
        <f t="shared" si="17"/>
        <v>1810055</v>
      </c>
      <c r="Z85" s="25">
        <f t="shared" si="17"/>
        <v>0</v>
      </c>
      <c r="AA85" s="25">
        <f t="shared" si="17"/>
        <v>113590</v>
      </c>
      <c r="AB85" s="25">
        <f t="shared" si="17"/>
        <v>1024970</v>
      </c>
      <c r="AC85" s="25">
        <f t="shared" si="17"/>
        <v>386839</v>
      </c>
      <c r="AD85" s="25">
        <f t="shared" si="17"/>
        <v>0</v>
      </c>
      <c r="AE85" s="25">
        <f t="shared" si="17"/>
        <v>1787677</v>
      </c>
      <c r="AF85" s="25">
        <f t="shared" si="17"/>
        <v>0</v>
      </c>
      <c r="AG85" s="25">
        <f t="shared" si="17"/>
        <v>4366161</v>
      </c>
      <c r="AH85" s="25">
        <f t="shared" si="17"/>
        <v>500004</v>
      </c>
      <c r="AI85" s="25">
        <f t="shared" ref="AI85:BN85" si="18">SUM(AI61:AI69)-AI84</f>
        <v>4092</v>
      </c>
      <c r="AJ85" s="25">
        <f t="shared" si="18"/>
        <v>9039732</v>
      </c>
      <c r="AK85" s="25">
        <f t="shared" si="18"/>
        <v>69270</v>
      </c>
      <c r="AL85" s="25">
        <f t="shared" si="18"/>
        <v>13730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96158</v>
      </c>
      <c r="AW85" s="25">
        <f t="shared" si="18"/>
        <v>0</v>
      </c>
      <c r="AX85" s="25">
        <f t="shared" si="18"/>
        <v>0</v>
      </c>
      <c r="AY85" s="25">
        <f t="shared" si="18"/>
        <v>789621</v>
      </c>
      <c r="AZ85" s="25">
        <f t="shared" si="18"/>
        <v>0</v>
      </c>
      <c r="BA85" s="25">
        <f t="shared" si="18"/>
        <v>153985</v>
      </c>
      <c r="BB85" s="25">
        <f t="shared" si="18"/>
        <v>0</v>
      </c>
      <c r="BC85" s="25">
        <f t="shared" si="18"/>
        <v>61316</v>
      </c>
      <c r="BD85" s="25">
        <f t="shared" si="18"/>
        <v>224793</v>
      </c>
      <c r="BE85" s="25">
        <f t="shared" si="18"/>
        <v>1972179</v>
      </c>
      <c r="BF85" s="25">
        <f t="shared" si="18"/>
        <v>623391</v>
      </c>
      <c r="BG85" s="25">
        <f t="shared" si="18"/>
        <v>503584</v>
      </c>
      <c r="BH85" s="25">
        <f t="shared" si="18"/>
        <v>2434486</v>
      </c>
      <c r="BI85" s="25">
        <f t="shared" si="18"/>
        <v>0</v>
      </c>
      <c r="BJ85" s="25">
        <f t="shared" si="18"/>
        <v>553828</v>
      </c>
      <c r="BK85" s="25">
        <f t="shared" si="18"/>
        <v>1325006</v>
      </c>
      <c r="BL85" s="25">
        <f t="shared" si="18"/>
        <v>736721</v>
      </c>
      <c r="BM85" s="25">
        <f t="shared" si="18"/>
        <v>0</v>
      </c>
      <c r="BN85" s="25">
        <f t="shared" si="18"/>
        <v>1138427</v>
      </c>
      <c r="BO85" s="25">
        <f t="shared" ref="BO85:CD85" si="19">SUM(BO61:BO69)-BO84</f>
        <v>177485</v>
      </c>
      <c r="BP85" s="25">
        <f t="shared" si="19"/>
        <v>0</v>
      </c>
      <c r="BQ85" s="25">
        <f t="shared" si="19"/>
        <v>0</v>
      </c>
      <c r="BR85" s="25">
        <f t="shared" si="19"/>
        <v>700037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625724</v>
      </c>
      <c r="BW85" s="25">
        <f t="shared" si="19"/>
        <v>0</v>
      </c>
      <c r="BX85" s="25">
        <f t="shared" si="19"/>
        <v>183243</v>
      </c>
      <c r="BY85" s="25">
        <f t="shared" si="19"/>
        <v>742249</v>
      </c>
      <c r="BZ85" s="25">
        <f t="shared" si="19"/>
        <v>0</v>
      </c>
      <c r="CA85" s="25">
        <f t="shared" si="19"/>
        <v>0</v>
      </c>
      <c r="CB85" s="25">
        <f t="shared" si="19"/>
        <v>4670</v>
      </c>
      <c r="CC85" s="25">
        <f t="shared" si="19"/>
        <v>2062818</v>
      </c>
      <c r="CD85" s="25">
        <f t="shared" si="19"/>
        <v>0</v>
      </c>
      <c r="CE85" s="25">
        <f t="shared" si="16"/>
        <v>42431648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/>
      <c r="D87" s="273"/>
      <c r="E87" s="273">
        <f>1986122+145252+48282+4603535</f>
        <v>6783191</v>
      </c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>
        <f>495577+21372</f>
        <v>516949</v>
      </c>
      <c r="Q87" s="273"/>
      <c r="R87" s="273">
        <f>51058+34834</f>
        <v>85892</v>
      </c>
      <c r="S87" s="273">
        <v>99461</v>
      </c>
      <c r="T87" s="273"/>
      <c r="U87" s="273">
        <v>439237</v>
      </c>
      <c r="V87" s="273"/>
      <c r="W87" s="273">
        <v>22859</v>
      </c>
      <c r="X87" s="273">
        <v>261920</v>
      </c>
      <c r="Y87" s="273">
        <f>70357+44383+23465</f>
        <v>138205</v>
      </c>
      <c r="Z87" s="273"/>
      <c r="AA87" s="273"/>
      <c r="AB87" s="273">
        <v>470964</v>
      </c>
      <c r="AC87" s="273">
        <v>142934</v>
      </c>
      <c r="AD87" s="273"/>
      <c r="AE87" s="273">
        <f>300+517102</f>
        <v>517402</v>
      </c>
      <c r="AF87" s="273"/>
      <c r="AG87" s="273">
        <f>205587+30280</f>
        <v>235867</v>
      </c>
      <c r="AH87" s="273"/>
      <c r="AI87" s="273">
        <v>17301</v>
      </c>
      <c r="AJ87" s="273">
        <f>4172+5198+3560</f>
        <v>12930</v>
      </c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9745112</v>
      </c>
    </row>
    <row r="88" spans="1:84" x14ac:dyDescent="0.25">
      <c r="A88" s="31" t="s">
        <v>287</v>
      </c>
      <c r="B88" s="16"/>
      <c r="C88" s="273"/>
      <c r="D88" s="273"/>
      <c r="E88" s="273">
        <f>1562066+310287+7038</f>
        <v>1879391</v>
      </c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>
        <v>4019146</v>
      </c>
      <c r="Q88" s="273">
        <v>344052</v>
      </c>
      <c r="R88" s="273">
        <f>599673+339412</f>
        <v>939085</v>
      </c>
      <c r="S88" s="273">
        <v>3349781</v>
      </c>
      <c r="T88" s="273"/>
      <c r="U88" s="273">
        <v>6613643</v>
      </c>
      <c r="V88" s="273"/>
      <c r="W88" s="273">
        <v>1054753</v>
      </c>
      <c r="X88" s="273">
        <v>6932608</v>
      </c>
      <c r="Y88" s="273"/>
      <c r="Z88" s="273">
        <f>2499157+790167+853684+519031</f>
        <v>4662039</v>
      </c>
      <c r="AA88" s="273">
        <v>381375</v>
      </c>
      <c r="AB88" s="273">
        <v>1225127</v>
      </c>
      <c r="AC88" s="273">
        <v>976766</v>
      </c>
      <c r="AD88" s="273"/>
      <c r="AE88" s="273">
        <f>17313+63+4041650</f>
        <v>4059026</v>
      </c>
      <c r="AF88" s="273"/>
      <c r="AG88" s="273">
        <f>12120457+2162660</f>
        <v>14283117</v>
      </c>
      <c r="AH88" s="273"/>
      <c r="AI88" s="273">
        <v>48324</v>
      </c>
      <c r="AJ88" s="273">
        <f>648369+357282+39607+18395+195738+81+37526+798+13122+7153516</f>
        <v>8464434</v>
      </c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59232667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8662582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4536095</v>
      </c>
      <c r="Q89" s="25">
        <f t="shared" si="21"/>
        <v>344052</v>
      </c>
      <c r="R89" s="25">
        <f t="shared" si="21"/>
        <v>1024977</v>
      </c>
      <c r="S89" s="25">
        <f t="shared" si="21"/>
        <v>3449242</v>
      </c>
      <c r="T89" s="25">
        <f t="shared" si="21"/>
        <v>0</v>
      </c>
      <c r="U89" s="25">
        <f t="shared" si="21"/>
        <v>7052880</v>
      </c>
      <c r="V89" s="25">
        <f t="shared" si="21"/>
        <v>0</v>
      </c>
      <c r="W89" s="25">
        <f t="shared" si="21"/>
        <v>1077612</v>
      </c>
      <c r="X89" s="25">
        <f t="shared" si="21"/>
        <v>7194528</v>
      </c>
      <c r="Y89" s="25">
        <f t="shared" si="21"/>
        <v>138205</v>
      </c>
      <c r="Z89" s="25">
        <f t="shared" si="21"/>
        <v>4662039</v>
      </c>
      <c r="AA89" s="25">
        <f t="shared" si="21"/>
        <v>381375</v>
      </c>
      <c r="AB89" s="25">
        <f t="shared" si="21"/>
        <v>1696091</v>
      </c>
      <c r="AC89" s="25">
        <f t="shared" si="21"/>
        <v>1119700</v>
      </c>
      <c r="AD89" s="25">
        <f t="shared" si="21"/>
        <v>0</v>
      </c>
      <c r="AE89" s="25">
        <f t="shared" si="21"/>
        <v>4576428</v>
      </c>
      <c r="AF89" s="25">
        <f t="shared" si="21"/>
        <v>0</v>
      </c>
      <c r="AG89" s="25">
        <f t="shared" si="21"/>
        <v>14518984</v>
      </c>
      <c r="AH89" s="25">
        <f t="shared" si="21"/>
        <v>0</v>
      </c>
      <c r="AI89" s="25">
        <f t="shared" si="21"/>
        <v>65625</v>
      </c>
      <c r="AJ89" s="25">
        <f t="shared" si="21"/>
        <v>8477364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68977779</v>
      </c>
    </row>
    <row r="90" spans="1:84" x14ac:dyDescent="0.25">
      <c r="A90" s="31" t="s">
        <v>289</v>
      </c>
      <c r="B90" s="25"/>
      <c r="C90" s="273"/>
      <c r="D90" s="273"/>
      <c r="E90" s="273">
        <v>18333</v>
      </c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>
        <v>1296</v>
      </c>
      <c r="Q90" s="273"/>
      <c r="R90" s="273"/>
      <c r="S90" s="273"/>
      <c r="T90" s="273"/>
      <c r="U90" s="273">
        <v>1053</v>
      </c>
      <c r="V90" s="273"/>
      <c r="W90" s="273"/>
      <c r="X90" s="273"/>
      <c r="Y90" s="273">
        <v>2453</v>
      </c>
      <c r="Z90" s="273"/>
      <c r="AA90" s="273"/>
      <c r="AB90" s="273">
        <v>498</v>
      </c>
      <c r="AC90" s="273">
        <v>992</v>
      </c>
      <c r="AD90" s="273"/>
      <c r="AE90" s="273">
        <v>2826</v>
      </c>
      <c r="AF90" s="273"/>
      <c r="AG90" s="273">
        <v>3538</v>
      </c>
      <c r="AH90" s="273"/>
      <c r="AI90" s="273"/>
      <c r="AJ90" s="273">
        <v>8072</v>
      </c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>
        <v>3313</v>
      </c>
      <c r="AW90" s="273"/>
      <c r="AX90" s="273"/>
      <c r="AY90" s="273">
        <v>2816</v>
      </c>
      <c r="AZ90" s="273"/>
      <c r="BA90" s="273">
        <v>677</v>
      </c>
      <c r="BB90" s="273"/>
      <c r="BC90" s="273"/>
      <c r="BD90" s="273">
        <v>754</v>
      </c>
      <c r="BE90" s="273">
        <v>24234</v>
      </c>
      <c r="BF90" s="273">
        <v>399</v>
      </c>
      <c r="BG90" s="273">
        <v>456</v>
      </c>
      <c r="BH90" s="273">
        <v>80</v>
      </c>
      <c r="BI90" s="273"/>
      <c r="BJ90" s="273">
        <v>1370</v>
      </c>
      <c r="BK90" s="273">
        <v>1370</v>
      </c>
      <c r="BL90" s="273">
        <v>616</v>
      </c>
      <c r="BM90" s="273"/>
      <c r="BN90" s="273">
        <v>891</v>
      </c>
      <c r="BO90" s="273"/>
      <c r="BP90" s="273"/>
      <c r="BQ90" s="273"/>
      <c r="BR90" s="273">
        <v>562</v>
      </c>
      <c r="BS90" s="273"/>
      <c r="BT90" s="273"/>
      <c r="BU90" s="273"/>
      <c r="BV90" s="273">
        <v>1134</v>
      </c>
      <c r="BW90" s="273"/>
      <c r="BX90" s="273"/>
      <c r="BY90" s="273">
        <v>707</v>
      </c>
      <c r="BZ90" s="273"/>
      <c r="CA90" s="273"/>
      <c r="CB90" s="273"/>
      <c r="CC90" s="273"/>
      <c r="CD90" s="224" t="s">
        <v>247</v>
      </c>
      <c r="CE90" s="25">
        <f t="shared" si="20"/>
        <v>78440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v>28181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28181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>
        <v>5000</v>
      </c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>
        <v>3000</v>
      </c>
      <c r="Q92" s="273"/>
      <c r="R92" s="273"/>
      <c r="S92" s="273"/>
      <c r="T92" s="273"/>
      <c r="U92" s="273">
        <v>2000</v>
      </c>
      <c r="V92" s="273"/>
      <c r="W92" s="273"/>
      <c r="X92" s="273"/>
      <c r="Y92" s="273">
        <v>2000</v>
      </c>
      <c r="Z92" s="273"/>
      <c r="AA92" s="273"/>
      <c r="AB92" s="273"/>
      <c r="AC92" s="273"/>
      <c r="AD92" s="273"/>
      <c r="AE92" s="273">
        <v>1000</v>
      </c>
      <c r="AF92" s="273"/>
      <c r="AG92" s="273">
        <v>3000</v>
      </c>
      <c r="AH92" s="273"/>
      <c r="AI92" s="273"/>
      <c r="AJ92" s="273">
        <v>1000</v>
      </c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17000</v>
      </c>
      <c r="CF92" s="16"/>
    </row>
    <row r="93" spans="1:84" x14ac:dyDescent="0.25">
      <c r="A93" s="21" t="s">
        <v>292</v>
      </c>
      <c r="B93" s="16"/>
      <c r="C93" s="273"/>
      <c r="D93" s="273"/>
      <c r="E93" s="273">
        <v>31000</v>
      </c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>
        <v>10000</v>
      </c>
      <c r="Q93" s="273"/>
      <c r="R93" s="273"/>
      <c r="S93" s="273"/>
      <c r="T93" s="273"/>
      <c r="U93" s="273">
        <v>10000</v>
      </c>
      <c r="V93" s="273"/>
      <c r="W93" s="273"/>
      <c r="X93" s="273"/>
      <c r="Y93" s="273"/>
      <c r="Z93" s="273"/>
      <c r="AA93" s="273"/>
      <c r="AB93" s="273"/>
      <c r="AC93" s="273"/>
      <c r="AD93" s="273"/>
      <c r="AE93" s="273">
        <v>24000</v>
      </c>
      <c r="AF93" s="273"/>
      <c r="AG93" s="273">
        <v>35000</v>
      </c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110000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>
        <v>7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4</v>
      </c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>
        <v>3</v>
      </c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14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98356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/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 t="s">
        <v>308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 t="s">
        <v>311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 t="s">
        <v>247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114</v>
      </c>
      <c r="D127" s="295">
        <v>497</v>
      </c>
      <c r="E127" s="16"/>
    </row>
    <row r="128" spans="1:5" x14ac:dyDescent="0.25">
      <c r="A128" s="16" t="s">
        <v>334</v>
      </c>
      <c r="B128" s="35" t="s">
        <v>299</v>
      </c>
      <c r="C128" s="294">
        <v>82</v>
      </c>
      <c r="D128" s="295">
        <v>1069</v>
      </c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/>
      <c r="D130" s="295"/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/>
      <c r="D132" s="16"/>
      <c r="E132" s="16"/>
    </row>
    <row r="133" spans="1:5" x14ac:dyDescent="0.25">
      <c r="A133" s="16" t="s">
        <v>339</v>
      </c>
      <c r="B133" s="35" t="s">
        <v>299</v>
      </c>
      <c r="C133" s="292"/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/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15</v>
      </c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348</v>
      </c>
      <c r="B144" s="35" t="s">
        <v>299</v>
      </c>
      <c r="C144" s="294">
        <v>25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25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1569104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83</v>
      </c>
      <c r="C154" s="295">
        <v>10</v>
      </c>
      <c r="D154" s="295">
        <v>22</v>
      </c>
      <c r="E154" s="25">
        <f>SUM(B154:D154)</f>
        <v>115</v>
      </c>
    </row>
    <row r="155" spans="1:6" x14ac:dyDescent="0.25">
      <c r="A155" s="16" t="s">
        <v>241</v>
      </c>
      <c r="B155" s="295">
        <v>356</v>
      </c>
      <c r="C155" s="295">
        <v>50</v>
      </c>
      <c r="D155" s="295">
        <v>91</v>
      </c>
      <c r="E155" s="25">
        <f>SUM(B155:D155)</f>
        <v>497</v>
      </c>
    </row>
    <row r="156" spans="1:6" x14ac:dyDescent="0.25">
      <c r="A156" s="16" t="s">
        <v>355</v>
      </c>
      <c r="B156" s="295">
        <v>11031</v>
      </c>
      <c r="C156" s="295">
        <v>5501</v>
      </c>
      <c r="D156" s="295">
        <v>5529</v>
      </c>
      <c r="E156" s="25">
        <f>SUM(B156:D156)</f>
        <v>22061</v>
      </c>
    </row>
    <row r="157" spans="1:6" x14ac:dyDescent="0.25">
      <c r="A157" s="16" t="s">
        <v>286</v>
      </c>
      <c r="B157" s="295">
        <v>4872556</v>
      </c>
      <c r="C157" s="295">
        <v>2533729</v>
      </c>
      <c r="D157" s="295">
        <v>2338827</v>
      </c>
      <c r="E157" s="25">
        <f>SUM(B157:D157)</f>
        <v>9745112</v>
      </c>
      <c r="F157" s="14"/>
    </row>
    <row r="158" spans="1:6" x14ac:dyDescent="0.25">
      <c r="A158" s="16" t="s">
        <v>287</v>
      </c>
      <c r="B158" s="295">
        <v>26039575</v>
      </c>
      <c r="C158" s="295">
        <v>13540580</v>
      </c>
      <c r="D158" s="295">
        <v>12498996</v>
      </c>
      <c r="E158" s="25">
        <f>SUM(B158:D158)</f>
        <v>52079151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72</v>
      </c>
      <c r="C160" s="272">
        <v>0</v>
      </c>
      <c r="D160" s="272">
        <v>10</v>
      </c>
      <c r="E160" s="25">
        <f>SUM(B160:D160)</f>
        <v>82</v>
      </c>
    </row>
    <row r="161" spans="1:5" x14ac:dyDescent="0.25">
      <c r="A161" s="16" t="s">
        <v>241</v>
      </c>
      <c r="B161" s="272">
        <v>988</v>
      </c>
      <c r="C161" s="272">
        <v>0</v>
      </c>
      <c r="D161" s="272">
        <v>82</v>
      </c>
      <c r="E161" s="25">
        <f>SUM(B161:D161)</f>
        <v>1070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>
        <v>4286146</v>
      </c>
      <c r="C163" s="272">
        <v>0</v>
      </c>
      <c r="D163" s="272">
        <v>372710</v>
      </c>
      <c r="E163" s="25">
        <f>SUM(B163:D163)</f>
        <v>4658856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2670922</v>
      </c>
      <c r="C173" s="272">
        <v>2365751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1353127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28398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250336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2531105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140088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737189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/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173816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5214059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127734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/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127734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167628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246145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413773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15655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245061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362297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623013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423940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423940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952749</v>
      </c>
      <c r="C211" s="292"/>
      <c r="D211" s="295"/>
      <c r="E211" s="25">
        <f t="shared" ref="E211:E219" si="22">SUM(B211:C211)-D211</f>
        <v>952749</v>
      </c>
    </row>
    <row r="212" spans="1:5" x14ac:dyDescent="0.25">
      <c r="A212" s="16" t="s">
        <v>390</v>
      </c>
      <c r="B212" s="292">
        <v>1426739</v>
      </c>
      <c r="C212" s="292"/>
      <c r="D212" s="295"/>
      <c r="E212" s="25">
        <f t="shared" si="22"/>
        <v>1426739</v>
      </c>
    </row>
    <row r="213" spans="1:5" x14ac:dyDescent="0.25">
      <c r="A213" s="16" t="s">
        <v>391</v>
      </c>
      <c r="B213" s="292">
        <v>16059783</v>
      </c>
      <c r="C213" s="292" t="s">
        <v>392</v>
      </c>
      <c r="D213" s="295"/>
      <c r="E213" s="25">
        <f t="shared" si="22"/>
        <v>16059783</v>
      </c>
    </row>
    <row r="214" spans="1:5" x14ac:dyDescent="0.25">
      <c r="A214" s="16" t="s">
        <v>393</v>
      </c>
      <c r="B214" s="292">
        <v>5089019</v>
      </c>
      <c r="C214" s="292">
        <v>241661</v>
      </c>
      <c r="D214" s="295"/>
      <c r="E214" s="25">
        <f t="shared" si="22"/>
        <v>5330680</v>
      </c>
    </row>
    <row r="215" spans="1:5" x14ac:dyDescent="0.25">
      <c r="A215" s="16" t="s">
        <v>394</v>
      </c>
      <c r="B215" s="292">
        <v>2711951</v>
      </c>
      <c r="C215" s="292"/>
      <c r="D215" s="295"/>
      <c r="E215" s="25">
        <f t="shared" si="22"/>
        <v>2711951</v>
      </c>
    </row>
    <row r="216" spans="1:5" x14ac:dyDescent="0.25">
      <c r="A216" s="16" t="s">
        <v>395</v>
      </c>
      <c r="B216" s="292">
        <v>8986573</v>
      </c>
      <c r="C216" s="292">
        <v>369264</v>
      </c>
      <c r="D216" s="295"/>
      <c r="E216" s="25">
        <f t="shared" si="22"/>
        <v>9355837</v>
      </c>
    </row>
    <row r="217" spans="1:5" x14ac:dyDescent="0.25">
      <c r="A217" s="16" t="s">
        <v>396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397</v>
      </c>
      <c r="B218" s="292"/>
      <c r="C218" s="292"/>
      <c r="D218" s="295"/>
      <c r="E218" s="25">
        <f t="shared" si="22"/>
        <v>0</v>
      </c>
    </row>
    <row r="219" spans="1:5" x14ac:dyDescent="0.25">
      <c r="A219" s="16" t="s">
        <v>398</v>
      </c>
      <c r="B219" s="292"/>
      <c r="C219" s="292" t="s">
        <v>392</v>
      </c>
      <c r="D219" s="295" t="s">
        <v>392</v>
      </c>
      <c r="E219" s="25">
        <f t="shared" si="22"/>
        <v>0</v>
      </c>
    </row>
    <row r="220" spans="1:5" x14ac:dyDescent="0.25">
      <c r="A220" s="16" t="s">
        <v>229</v>
      </c>
      <c r="B220" s="25">
        <f>SUM(B211:B219)</f>
        <v>35226814</v>
      </c>
      <c r="C220" s="225">
        <f>SUM(C211:C219)</f>
        <v>610925</v>
      </c>
      <c r="D220" s="25">
        <f>SUM(D211:D219)</f>
        <v>0</v>
      </c>
      <c r="E220" s="25">
        <f>SUM(E211:E219)</f>
        <v>35837739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1244990</v>
      </c>
      <c r="C225" s="292">
        <v>52504</v>
      </c>
      <c r="D225" s="295"/>
      <c r="E225" s="25">
        <f t="shared" ref="E225:E232" si="23">SUM(B225:C225)-D225</f>
        <v>1297494</v>
      </c>
    </row>
    <row r="226" spans="1:6" x14ac:dyDescent="0.25">
      <c r="A226" s="16" t="s">
        <v>391</v>
      </c>
      <c r="B226" s="292">
        <v>12930892</v>
      </c>
      <c r="C226" s="292">
        <v>444793</v>
      </c>
      <c r="D226" s="295"/>
      <c r="E226" s="25">
        <f t="shared" si="23"/>
        <v>13375685</v>
      </c>
    </row>
    <row r="227" spans="1:6" x14ac:dyDescent="0.25">
      <c r="A227" s="16" t="s">
        <v>393</v>
      </c>
      <c r="B227" s="292">
        <v>1281206</v>
      </c>
      <c r="C227" s="292">
        <v>179578</v>
      </c>
      <c r="D227" s="295"/>
      <c r="E227" s="25">
        <f t="shared" si="23"/>
        <v>1460784</v>
      </c>
    </row>
    <row r="228" spans="1:6" x14ac:dyDescent="0.25">
      <c r="A228" s="16" t="s">
        <v>394</v>
      </c>
      <c r="B228" s="292">
        <v>2061574</v>
      </c>
      <c r="C228" s="292">
        <v>73781</v>
      </c>
      <c r="D228" s="295"/>
      <c r="E228" s="25">
        <f t="shared" si="23"/>
        <v>2135355</v>
      </c>
    </row>
    <row r="229" spans="1:6" x14ac:dyDescent="0.25">
      <c r="A229" s="16" t="s">
        <v>395</v>
      </c>
      <c r="B229" s="292">
        <v>7864667</v>
      </c>
      <c r="C229" s="292">
        <v>454891</v>
      </c>
      <c r="D229" s="295"/>
      <c r="E229" s="25">
        <f t="shared" si="23"/>
        <v>8319558</v>
      </c>
    </row>
    <row r="230" spans="1:6" x14ac:dyDescent="0.25">
      <c r="A230" s="16" t="s">
        <v>396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397</v>
      </c>
      <c r="B231" s="292"/>
      <c r="C231" s="292"/>
      <c r="D231" s="295"/>
      <c r="E231" s="25">
        <f t="shared" si="23"/>
        <v>0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25383329</v>
      </c>
      <c r="C233" s="225">
        <f>SUM(C224:C232)</f>
        <v>1205547</v>
      </c>
      <c r="D233" s="25">
        <f>SUM(D224:D232)</f>
        <v>0</v>
      </c>
      <c r="E233" s="25">
        <f>SUM(E224:E232)</f>
        <v>26588876</v>
      </c>
    </row>
    <row r="234" spans="1:6" x14ac:dyDescent="0.25">
      <c r="A234" s="16"/>
      <c r="B234" s="16"/>
      <c r="C234" s="22"/>
      <c r="D234" s="16"/>
      <c r="E234" s="16"/>
      <c r="F234" s="11">
        <f>E220-E233</f>
        <v>9248863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38" t="s">
        <v>401</v>
      </c>
      <c r="C236" s="338"/>
      <c r="D236" s="30"/>
      <c r="E236" s="30"/>
    </row>
    <row r="237" spans="1:6" x14ac:dyDescent="0.25">
      <c r="A237" s="43" t="s">
        <v>401</v>
      </c>
      <c r="B237" s="30"/>
      <c r="C237" s="292">
        <v>707642</v>
      </c>
      <c r="D237" s="32">
        <f>C237</f>
        <v>707642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f>6586789+8495326</f>
        <v>15082115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f>344789+4680497</f>
        <v>5025286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421023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/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f>463577+4866602+100+209377</f>
        <v>5539656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26068080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660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/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911139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911139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1261124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/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1261124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28947985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6170247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11049177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4250094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35830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238552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470965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13714677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1913639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1913639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952749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1426739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16059783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5330680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2711951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9355837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/>
      <c r="D289" s="16"/>
      <c r="E289" s="16"/>
    </row>
    <row r="290" spans="1:5" x14ac:dyDescent="0.25">
      <c r="A290" s="16" t="s">
        <v>398</v>
      </c>
      <c r="B290" s="35" t="s">
        <v>299</v>
      </c>
      <c r="C290" s="292"/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35837739</v>
      </c>
      <c r="E291" s="16"/>
    </row>
    <row r="292" spans="1:5" x14ac:dyDescent="0.25">
      <c r="A292" s="16" t="s">
        <v>440</v>
      </c>
      <c r="B292" s="35" t="s">
        <v>299</v>
      </c>
      <c r="C292" s="292">
        <v>26588876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9248863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2176049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1007142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2661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1171568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26048747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26048747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1291094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f>1563109+984338</f>
        <v>2547447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 t="s">
        <v>392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 t="s">
        <v>392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598945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/>
      <c r="D320" s="16"/>
      <c r="E320" s="16"/>
    </row>
    <row r="321" spans="1:5" x14ac:dyDescent="0.25">
      <c r="A321" s="16" t="s">
        <v>463</v>
      </c>
      <c r="B321" s="35" t="s">
        <v>299</v>
      </c>
      <c r="C321" s="292"/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4842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950223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5392551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460195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897925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f>4106062+950223</f>
        <v>5056285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/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 t="s">
        <v>392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6414405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950223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5464182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15192014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/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26048747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26048747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9745112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f>52079151+7153516</f>
        <v>59232667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68977779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707642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26068081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911139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1261124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28947986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40029793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/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601915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314756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5025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150174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f>2353050+301648+31426</f>
        <v>2686124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3757994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989490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4747484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44777277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25053354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5214059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392417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3386583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439580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4583893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1617573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127734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413773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623013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423940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/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/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/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/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f>155729+58411</f>
        <v>214140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214140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42490059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2287218</v>
      </c>
      <c r="E417" s="25"/>
    </row>
    <row r="418" spans="1:13" x14ac:dyDescent="0.25">
      <c r="A418" s="25" t="s">
        <v>532</v>
      </c>
      <c r="B418" s="16"/>
      <c r="C418" s="294"/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0</v>
      </c>
      <c r="E420" s="25"/>
      <c r="F420" s="11">
        <f>D420-C399</f>
        <v>-423940</v>
      </c>
    </row>
    <row r="421" spans="1:13" x14ac:dyDescent="0.25">
      <c r="A421" s="25" t="s">
        <v>535</v>
      </c>
      <c r="B421" s="16"/>
      <c r="C421" s="22"/>
      <c r="D421" s="25">
        <f>D417+D420</f>
        <v>2287218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2287218</v>
      </c>
      <c r="E424" s="16"/>
    </row>
    <row r="426" spans="1:13" ht="29.1" customHeight="1" x14ac:dyDescent="0.25">
      <c r="A426" s="339" t="s">
        <v>539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54206</v>
      </c>
      <c r="E612" s="219">
        <f>SUM(C624:D647)+SUM(C668:D713)</f>
        <v>38069468.283640184</v>
      </c>
      <c r="F612" s="219">
        <f>CE64-(AX64+BD64+BE64+BG64+BJ64+BN64+BP64+BQ64+CB64+CC64+CD64)</f>
        <v>3252874</v>
      </c>
      <c r="G612" s="217">
        <f>CE91-(AX91+AY91+BD91+BE91+BG91+BJ91+BN91+BP91+BQ91+CB91+CC91+CD91)</f>
        <v>28181</v>
      </c>
      <c r="H612" s="222">
        <f>CE60-(AX60+AY60+AZ60+BD60+BE60+BG60+BJ60+BN60+BO60+BP60+BQ60+BR60+CB60+CC60+CD60)</f>
        <v>169.3</v>
      </c>
      <c r="I612" s="217">
        <f>CE92-(AX92+AY92+AZ92+BD92+BE92+BF92+BG92+BJ92+BN92+BO92+BP92+BQ92+BR92+CB92+CC92+CD92)</f>
        <v>17000</v>
      </c>
      <c r="J612" s="217">
        <f>CE93-(AX93+AY93+AZ93+BA93+BD93+BE93+BF93+BG93+BJ93+BN93+BO93+BP93+BQ93+BR93+CB93+CC93+CD93)</f>
        <v>110000</v>
      </c>
      <c r="K612" s="217">
        <f>CE89-(AW89+AX89+AY89+AZ89+BA89+BB89+BC89+BD89+BE89+BF89+BG89+BH89+BI89+BJ89+BK89+BL89+BM89+BN89+BO89+BP89+BQ89+BR89+BS89+BT89+BU89+BV89+BW89+BX89+CB89+CC89+CD89)</f>
        <v>68977779</v>
      </c>
      <c r="L612" s="223">
        <f>CE94-(AW94+AX94+AY94+AZ94+BA94+BB94+BC94+BD94+BE94+BF94+BG94+BH94+BI94+BJ94+BK94+BL94+BM94+BN94+BO94+BP94+BQ94+BR94+BS94+BT94+BU94+BV94+BW94+BX94+BY94+BZ94+CA94+CB94+CC94+CD94)</f>
        <v>14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1972179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1972179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553828</v>
      </c>
      <c r="D617" s="217">
        <f>(D615/D612)*BJ90</f>
        <v>49844.763125853227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503584</v>
      </c>
      <c r="D618" s="217">
        <f>(D615/D612)*BG90</f>
        <v>16590.665682765746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1138427</v>
      </c>
      <c r="D619" s="217">
        <f>(D615/D612)*BN90</f>
        <v>32417.287551193593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2062818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4670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4362179.7163598128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224793</v>
      </c>
      <c r="D624" s="217">
        <f>(D615/D612)*BD90</f>
        <v>27432.811238608272</v>
      </c>
      <c r="E624" s="219">
        <f>(E623/E612)*SUM(C624:D624)</f>
        <v>28901.226293204483</v>
      </c>
      <c r="F624" s="219">
        <f>SUM(C624:E624)</f>
        <v>281127.03753181273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789621</v>
      </c>
      <c r="D625" s="217">
        <f>(D615/D612)*AY90</f>
        <v>102454.63719883407</v>
      </c>
      <c r="E625" s="219">
        <f>(E623/E612)*SUM(C625:D625)</f>
        <v>102218.24536802845</v>
      </c>
      <c r="F625" s="219">
        <f>(F624/F612)*AY64</f>
        <v>14713.893127697593</v>
      </c>
      <c r="G625" s="217">
        <f>SUM(C625:F625)</f>
        <v>1009007.7756945601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700037</v>
      </c>
      <c r="D626" s="217">
        <f>(D615/D612)*BR90</f>
        <v>20447.267793233219</v>
      </c>
      <c r="E626" s="219">
        <f>(E623/E612)*SUM(C626:D626)</f>
        <v>82556.494761304624</v>
      </c>
      <c r="F626" s="219">
        <f>(F624/F612)*BR64</f>
        <v>267.56932736973278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177485</v>
      </c>
      <c r="D627" s="217">
        <f>(D615/D612)*BO90</f>
        <v>0</v>
      </c>
      <c r="E627" s="219">
        <f>(E623/E612)*SUM(C627:D627)</f>
        <v>20337.070672742546</v>
      </c>
      <c r="F627" s="219">
        <f>(F624/F612)*BO64</f>
        <v>856.46383534691597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1009007.7756945601</v>
      </c>
      <c r="H628" s="219">
        <f>SUM(C626:G628)</f>
        <v>2010994.6420845571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623391</v>
      </c>
      <c r="D629" s="217">
        <f>(D615/D612)*BF90</f>
        <v>14516.832472420027</v>
      </c>
      <c r="E629" s="219">
        <f>(E623/E612)*SUM(C629:D629)</f>
        <v>73094.496276798716</v>
      </c>
      <c r="F629" s="219">
        <f>(F624/F612)*BF64</f>
        <v>4150.4358454793437</v>
      </c>
      <c r="G629" s="217">
        <f>(G625/G612)*BF91</f>
        <v>0</v>
      </c>
      <c r="H629" s="219">
        <f>(H628/H612)*BF60</f>
        <v>130661.19942663985</v>
      </c>
      <c r="I629" s="217">
        <f>SUM(C629:H629)</f>
        <v>845813.96402133792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153985</v>
      </c>
      <c r="D630" s="217">
        <f>(D615/D612)*BA90</f>
        <v>24631.317252702651</v>
      </c>
      <c r="E630" s="219">
        <f>(E623/E612)*SUM(C630:D630)</f>
        <v>20466.702353850847</v>
      </c>
      <c r="F630" s="219">
        <f>(F624/F612)*BA64</f>
        <v>3296.564736172832</v>
      </c>
      <c r="G630" s="217">
        <f>(G625/G612)*BA91</f>
        <v>0</v>
      </c>
      <c r="H630" s="219">
        <f>(H628/H612)*BA60</f>
        <v>35634.872570901782</v>
      </c>
      <c r="I630" s="217">
        <f>(I629/I612)*BA92</f>
        <v>0</v>
      </c>
      <c r="J630" s="217">
        <f>SUM(C630:I630)</f>
        <v>238014.45691362812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61316</v>
      </c>
      <c r="D633" s="217">
        <f>(D615/D612)*BC90</f>
        <v>0</v>
      </c>
      <c r="E633" s="219">
        <f>(E623/E612)*SUM(C633:D633)</f>
        <v>7025.8772593170243</v>
      </c>
      <c r="F633" s="219">
        <f>(F624/F612)*BC64</f>
        <v>4.4076342686874588</v>
      </c>
      <c r="G633" s="217">
        <f>(G625/G612)*BC91</f>
        <v>0</v>
      </c>
      <c r="H633" s="219">
        <f>(H628/H612)*BC60</f>
        <v>11878.29085696726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1325006</v>
      </c>
      <c r="D635" s="217">
        <f>(D615/D612)*BK90</f>
        <v>49844.763125853227</v>
      </c>
      <c r="E635" s="219">
        <f>(E623/E612)*SUM(C635:D635)</f>
        <v>157536.90246592386</v>
      </c>
      <c r="F635" s="219">
        <f>(F624/F612)*BK64</f>
        <v>315.79403172125438</v>
      </c>
      <c r="G635" s="217">
        <f>(G625/G612)*BK91</f>
        <v>0</v>
      </c>
      <c r="H635" s="219">
        <f>(H628/H612)*BK60</f>
        <v>118782.9085696726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2434486</v>
      </c>
      <c r="D636" s="217">
        <f>(D615/D612)*BH90</f>
        <v>2910.6431022396046</v>
      </c>
      <c r="E636" s="219">
        <f>(E623/E612)*SUM(C636:D636)</f>
        <v>279288.43444953486</v>
      </c>
      <c r="F636" s="219">
        <f>(F624/F612)*BH64</f>
        <v>14990.450572007394</v>
      </c>
      <c r="G636" s="217">
        <f>(G625/G612)*BH91</f>
        <v>0</v>
      </c>
      <c r="H636" s="219">
        <f>(H628/H612)*BH60</f>
        <v>95026.32685573808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736721</v>
      </c>
      <c r="D637" s="217">
        <f>(D615/D612)*BL90</f>
        <v>22411.951887244952</v>
      </c>
      <c r="E637" s="219">
        <f>(E623/E612)*SUM(C637:D637)</f>
        <v>86985.043764479065</v>
      </c>
      <c r="F637" s="219">
        <f>(F624/F612)*BL64</f>
        <v>527.53332502094599</v>
      </c>
      <c r="G637" s="217">
        <f>(G625/G612)*BL91</f>
        <v>0</v>
      </c>
      <c r="H637" s="219">
        <f>(H628/H612)*BL60</f>
        <v>130661.19942663985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625724</v>
      </c>
      <c r="D642" s="217">
        <f>(D615/D612)*BV90</f>
        <v>41258.365974246393</v>
      </c>
      <c r="E642" s="219">
        <f>(E623/E612)*SUM(C642:D642)</f>
        <v>76425.993826471444</v>
      </c>
      <c r="F642" s="219">
        <f>(F624/F612)*BV64</f>
        <v>37.075982377782744</v>
      </c>
      <c r="G642" s="217">
        <f>(G625/G612)*BV91</f>
        <v>0</v>
      </c>
      <c r="H642" s="219">
        <f>(H628/H612)*BV60</f>
        <v>59391.454284836298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183243</v>
      </c>
      <c r="D644" s="217">
        <f>(D615/D612)*BX90</f>
        <v>0</v>
      </c>
      <c r="E644" s="219">
        <f>(E623/E612)*SUM(C644:D644)</f>
        <v>20996.849543822646</v>
      </c>
      <c r="F644" s="219">
        <f>(F624/F612)*BX64</f>
        <v>2.5063018390575746</v>
      </c>
      <c r="G644" s="217">
        <f>(G625/G612)*BX91</f>
        <v>0</v>
      </c>
      <c r="H644" s="219">
        <f>(H628/H612)*BX60</f>
        <v>3563.487257090178</v>
      </c>
      <c r="I644" s="217">
        <f>(I629/I612)*BX92</f>
        <v>0</v>
      </c>
      <c r="J644" s="217">
        <f>(J630/J612)*BX93</f>
        <v>0</v>
      </c>
      <c r="K644" s="219">
        <f>SUM(C631:J644)</f>
        <v>6546362.2604973139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742249</v>
      </c>
      <c r="D645" s="217">
        <f>(D615/D612)*BY90</f>
        <v>25722.808416042502</v>
      </c>
      <c r="E645" s="219">
        <f>(E623/E612)*SUM(C645:D645)</f>
        <v>87997.841746800885</v>
      </c>
      <c r="F645" s="219">
        <f>(F624/F612)*BY64</f>
        <v>0</v>
      </c>
      <c r="G645" s="217">
        <f>(G625/G612)*BY91</f>
        <v>0</v>
      </c>
      <c r="H645" s="219">
        <f>(H628/H612)*BY60</f>
        <v>59391.454284836298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915361.10444767971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15013563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3782615</v>
      </c>
      <c r="D670" s="217">
        <f>(D615/D612)*E90</f>
        <v>667010.2499169833</v>
      </c>
      <c r="E670" s="219">
        <f>(E623/E612)*SUM(C670:D670)</f>
        <v>509859.10457098583</v>
      </c>
      <c r="F670" s="219">
        <f>(F624/F612)*E64</f>
        <v>7580.8716695383891</v>
      </c>
      <c r="G670" s="217">
        <f>(G625/G612)*E91</f>
        <v>0</v>
      </c>
      <c r="H670" s="219">
        <f>(H628/H612)*E60</f>
        <v>225687.52628237795</v>
      </c>
      <c r="I670" s="217">
        <f>(I629/I612)*E92</f>
        <v>248768.81294745233</v>
      </c>
      <c r="J670" s="217">
        <f>(J630/J612)*E93</f>
        <v>67076.801493840656</v>
      </c>
      <c r="K670" s="217">
        <f>(K644/K612)*E89</f>
        <v>822125.6280702129</v>
      </c>
      <c r="L670" s="217">
        <f>(L647/L612)*E94</f>
        <v>457680.55222383986</v>
      </c>
      <c r="M670" s="202">
        <f t="shared" si="24"/>
        <v>3005790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1355522</v>
      </c>
      <c r="D681" s="217">
        <f>(D615/D612)*P90</f>
        <v>47152.418256281591</v>
      </c>
      <c r="E681" s="219">
        <f>(E623/E612)*SUM(C681:D681)</f>
        <v>160725.06845607256</v>
      </c>
      <c r="F681" s="219">
        <f>(F624/F612)*P64</f>
        <v>45831.877488832397</v>
      </c>
      <c r="G681" s="217">
        <f>(G625/G612)*P91</f>
        <v>0</v>
      </c>
      <c r="H681" s="219">
        <f>(H628/H612)*P60</f>
        <v>83148.035998770822</v>
      </c>
      <c r="I681" s="217">
        <f>(I629/I612)*P92</f>
        <v>149261.2877684714</v>
      </c>
      <c r="J681" s="217">
        <f>(J630/J612)*P93</f>
        <v>21637.67790123892</v>
      </c>
      <c r="K681" s="217">
        <f>(K644/K612)*P89</f>
        <v>430499.81528153532</v>
      </c>
      <c r="L681" s="217">
        <f>(L647/L612)*P94</f>
        <v>261531.74412790849</v>
      </c>
      <c r="M681" s="202">
        <f t="shared" si="24"/>
        <v>1199788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32652.385465305022</v>
      </c>
      <c r="L682" s="217">
        <f>(L647/L612)*Q94</f>
        <v>0</v>
      </c>
      <c r="M682" s="202">
        <f t="shared" si="24"/>
        <v>32652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663719</v>
      </c>
      <c r="D683" s="217">
        <f>(D615/D612)*R90</f>
        <v>0</v>
      </c>
      <c r="E683" s="219">
        <f>(E623/E612)*SUM(C683:D683)</f>
        <v>76052.061919835542</v>
      </c>
      <c r="F683" s="219">
        <f>(F624/F612)*R64</f>
        <v>1154.5409057920738</v>
      </c>
      <c r="G683" s="217">
        <f>(G625/G612)*R91</f>
        <v>0</v>
      </c>
      <c r="H683" s="219">
        <f>(H628/H612)*R60</f>
        <v>11878.29085696726</v>
      </c>
      <c r="I683" s="217">
        <f>(I629/I612)*R92</f>
        <v>0</v>
      </c>
      <c r="J683" s="217">
        <f>(J630/J612)*R93</f>
        <v>0</v>
      </c>
      <c r="K683" s="217">
        <f>(K644/K612)*R89</f>
        <v>97275.830679873819</v>
      </c>
      <c r="L683" s="217">
        <f>(L647/L612)*R94</f>
        <v>0</v>
      </c>
      <c r="M683" s="202">
        <f t="shared" si="24"/>
        <v>186361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106821</v>
      </c>
      <c r="D684" s="217">
        <f>(D615/D612)*S90</f>
        <v>0</v>
      </c>
      <c r="E684" s="219">
        <f>(E623/E612)*SUM(C684:D684)</f>
        <v>12240.055364301386</v>
      </c>
      <c r="F684" s="219">
        <f>(F624/F612)*S64</f>
        <v>1695.3835578204289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327351.61936893151</v>
      </c>
      <c r="L684" s="217">
        <f>(L647/L612)*S94</f>
        <v>0</v>
      </c>
      <c r="M684" s="202">
        <f t="shared" si="24"/>
        <v>341287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1907604</v>
      </c>
      <c r="D686" s="217">
        <f>(D615/D612)*U90</f>
        <v>38311.339833228791</v>
      </c>
      <c r="E686" s="219">
        <f>(E623/E612)*SUM(C686:D686)</f>
        <v>222972.18237801621</v>
      </c>
      <c r="F686" s="219">
        <f>(F624/F612)*U64</f>
        <v>33085.517728996347</v>
      </c>
      <c r="G686" s="217">
        <f>(G625/G612)*U91</f>
        <v>0</v>
      </c>
      <c r="H686" s="219">
        <f>(H628/H612)*U60</f>
        <v>106904.61771270534</v>
      </c>
      <c r="I686" s="217">
        <f>(I629/I612)*U92</f>
        <v>99507.525178980926</v>
      </c>
      <c r="J686" s="217">
        <f>(J630/J612)*U93</f>
        <v>21637.67790123892</v>
      </c>
      <c r="K686" s="217">
        <f>(K644/K612)*U89</f>
        <v>669356.24963825371</v>
      </c>
      <c r="L686" s="217">
        <f>(L647/L612)*U94</f>
        <v>0</v>
      </c>
      <c r="M686" s="202">
        <f t="shared" si="24"/>
        <v>1191775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267825</v>
      </c>
      <c r="D688" s="217">
        <f>(D615/D612)*W90</f>
        <v>0</v>
      </c>
      <c r="E688" s="219">
        <f>(E623/E612)*SUM(C688:D688)</f>
        <v>30688.655114106954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102271.17530500703</v>
      </c>
      <c r="L688" s="217">
        <f>(L647/L612)*W94</f>
        <v>0</v>
      </c>
      <c r="M688" s="202">
        <f t="shared" si="24"/>
        <v>132960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121701</v>
      </c>
      <c r="D689" s="217">
        <f>(D615/D612)*X90</f>
        <v>0</v>
      </c>
      <c r="E689" s="219">
        <f>(E623/E612)*SUM(C689:D689)</f>
        <v>13945.076135692823</v>
      </c>
      <c r="F689" s="219">
        <f>(F624/F612)*X64</f>
        <v>2485.7328791370333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682799.40676679695</v>
      </c>
      <c r="L689" s="217">
        <f>(L647/L612)*X94</f>
        <v>0</v>
      </c>
      <c r="M689" s="202">
        <f t="shared" si="24"/>
        <v>699230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1810055</v>
      </c>
      <c r="D690" s="217">
        <f>(D615/D612)*Y90</f>
        <v>89247.59412242187</v>
      </c>
      <c r="E690" s="219">
        <f>(E623/E612)*SUM(C690:D690)</f>
        <v>217631.07353066991</v>
      </c>
      <c r="F690" s="219">
        <f>(F624/F612)*Y64</f>
        <v>2608.628093452201</v>
      </c>
      <c r="G690" s="217">
        <f>(G625/G612)*Y91</f>
        <v>0</v>
      </c>
      <c r="H690" s="219">
        <f>(H628/H612)*Y60</f>
        <v>118782.9085696726</v>
      </c>
      <c r="I690" s="217">
        <f>(I629/I612)*Y92</f>
        <v>99507.525178980926</v>
      </c>
      <c r="J690" s="217">
        <f>(J630/J612)*Y93</f>
        <v>0</v>
      </c>
      <c r="K690" s="217">
        <f>(K644/K612)*Y89</f>
        <v>13116.397908550105</v>
      </c>
      <c r="L690" s="217">
        <f>(L647/L612)*Y94</f>
        <v>0</v>
      </c>
      <c r="M690" s="202">
        <f t="shared" si="24"/>
        <v>540894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442452.57833782438</v>
      </c>
      <c r="L691" s="217">
        <f>(L647/L612)*Z94</f>
        <v>0</v>
      </c>
      <c r="M691" s="202">
        <f t="shared" si="24"/>
        <v>442453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113590</v>
      </c>
      <c r="D692" s="217">
        <f>(D615/D612)*AA90</f>
        <v>0</v>
      </c>
      <c r="E692" s="219">
        <f>(E623/E612)*SUM(C692:D692)</f>
        <v>13015.679396663527</v>
      </c>
      <c r="F692" s="219">
        <f>(F624/F612)*AA64</f>
        <v>1808.512837383407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36194.538926763111</v>
      </c>
      <c r="L692" s="217">
        <f>(L647/L612)*AA94</f>
        <v>0</v>
      </c>
      <c r="M692" s="202">
        <f t="shared" si="24"/>
        <v>51019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1024970</v>
      </c>
      <c r="D693" s="217">
        <f>(D615/D612)*AB90</f>
        <v>18118.753311441538</v>
      </c>
      <c r="E693" s="219">
        <f>(E623/E612)*SUM(C693:D693)</f>
        <v>119522.04239252728</v>
      </c>
      <c r="F693" s="219">
        <f>(F624/F612)*AB64</f>
        <v>43410.530639698743</v>
      </c>
      <c r="G693" s="217">
        <f>(G625/G612)*AB91</f>
        <v>0</v>
      </c>
      <c r="H693" s="219">
        <f>(H628/H612)*AB60</f>
        <v>23756.58171393452</v>
      </c>
      <c r="I693" s="217">
        <f>(I629/I612)*AB92</f>
        <v>0</v>
      </c>
      <c r="J693" s="217">
        <f>(J630/J612)*AB93</f>
        <v>0</v>
      </c>
      <c r="K693" s="217">
        <f>(K644/K612)*AB89</f>
        <v>160968.15922079995</v>
      </c>
      <c r="L693" s="217">
        <f>(L647/L612)*AB94</f>
        <v>0</v>
      </c>
      <c r="M693" s="202">
        <f t="shared" si="24"/>
        <v>365776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386839</v>
      </c>
      <c r="D694" s="217">
        <f>(D615/D612)*AC90</f>
        <v>36091.974467771091</v>
      </c>
      <c r="E694" s="219">
        <f>(E623/E612)*SUM(C694:D694)</f>
        <v>48461.43120513246</v>
      </c>
      <c r="F694" s="219">
        <f>(F624/F612)*AC64</f>
        <v>1589.0817901638491</v>
      </c>
      <c r="G694" s="217">
        <f>(G625/G612)*AC91</f>
        <v>0</v>
      </c>
      <c r="H694" s="219">
        <f>(H628/H612)*AC60</f>
        <v>35634.872570901782</v>
      </c>
      <c r="I694" s="217">
        <f>(I629/I612)*AC92</f>
        <v>0</v>
      </c>
      <c r="J694" s="217">
        <f>(J630/J612)*AC93</f>
        <v>0</v>
      </c>
      <c r="K694" s="217">
        <f>(K644/K612)*AC89</f>
        <v>106265.55289753302</v>
      </c>
      <c r="L694" s="217">
        <f>(L647/L612)*AC94</f>
        <v>0</v>
      </c>
      <c r="M694" s="202">
        <f t="shared" si="24"/>
        <v>228043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1787677</v>
      </c>
      <c r="D696" s="217">
        <f>(D615/D612)*AE90</f>
        <v>102818.46758661402</v>
      </c>
      <c r="E696" s="219">
        <f>(E623/E612)*SUM(C696:D696)</f>
        <v>216621.91132100424</v>
      </c>
      <c r="F696" s="219">
        <f>(F624/F612)*AE64</f>
        <v>2412.790853200323</v>
      </c>
      <c r="G696" s="217">
        <f>(G625/G612)*AE91</f>
        <v>0</v>
      </c>
      <c r="H696" s="219">
        <f>(H628/H612)*AE60</f>
        <v>130661.19942663985</v>
      </c>
      <c r="I696" s="217">
        <f>(I629/I612)*AE92</f>
        <v>49753.762589490463</v>
      </c>
      <c r="J696" s="217">
        <f>(J630/J612)*AE93</f>
        <v>51930.426962973412</v>
      </c>
      <c r="K696" s="217">
        <f>(K644/K612)*AE89</f>
        <v>434327.63393386733</v>
      </c>
      <c r="L696" s="217">
        <f>(L647/L612)*AE94</f>
        <v>0</v>
      </c>
      <c r="M696" s="202">
        <f t="shared" si="24"/>
        <v>988526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4366161</v>
      </c>
      <c r="D698" s="217">
        <f>(D615/D612)*AG90</f>
        <v>128723.1911965465</v>
      </c>
      <c r="E698" s="219">
        <f>(E623/E612)*SUM(C698:D698)</f>
        <v>515045.08810410684</v>
      </c>
      <c r="F698" s="219">
        <f>(F624/F612)*AG64</f>
        <v>16700.871940862169</v>
      </c>
      <c r="G698" s="217">
        <f>(G625/G612)*AG91</f>
        <v>0</v>
      </c>
      <c r="H698" s="219">
        <f>(H628/H612)*AG60</f>
        <v>154417.78114057437</v>
      </c>
      <c r="I698" s="217">
        <f>(I629/I612)*AG92</f>
        <v>149261.2877684714</v>
      </c>
      <c r="J698" s="217">
        <f>(J630/J612)*AG93</f>
        <v>75731.872654336228</v>
      </c>
      <c r="K698" s="217">
        <f>(K644/K612)*AG89</f>
        <v>1377929.67961993</v>
      </c>
      <c r="L698" s="217">
        <f>(L647/L612)*AG94</f>
        <v>0</v>
      </c>
      <c r="M698" s="202">
        <f t="shared" si="24"/>
        <v>2417810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500004</v>
      </c>
      <c r="D699" s="217">
        <f>(D615/D612)*AH90</f>
        <v>0</v>
      </c>
      <c r="E699" s="219">
        <f>(E623/E612)*SUM(C699:D699)</f>
        <v>57292.822969005632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57293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4092</v>
      </c>
      <c r="D700" s="217">
        <f>(D615/D612)*AI90</f>
        <v>0</v>
      </c>
      <c r="E700" s="219">
        <f>(E623/E612)*SUM(C700:D700)</f>
        <v>468.88071213264504</v>
      </c>
      <c r="F700" s="219">
        <f>(F624/F612)*AI64</f>
        <v>353.64783191115845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6228.1654987055508</v>
      </c>
      <c r="L700" s="217">
        <f>(L647/L612)*AI94</f>
        <v>0</v>
      </c>
      <c r="M700" s="202">
        <f t="shared" si="24"/>
        <v>7051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9039732</v>
      </c>
      <c r="D701" s="217">
        <f>(D615/D612)*AJ90</f>
        <v>293683.88901597605</v>
      </c>
      <c r="E701" s="219">
        <f>(E623/E612)*SUM(C701:D701)</f>
        <v>1069466.9327155317</v>
      </c>
      <c r="F701" s="219">
        <f>(F624/F612)*AJ64</f>
        <v>81246.35459572266</v>
      </c>
      <c r="G701" s="217">
        <f>(G625/G612)*AJ91</f>
        <v>0</v>
      </c>
      <c r="H701" s="219">
        <f>(H628/H612)*AJ60</f>
        <v>475131.63427869038</v>
      </c>
      <c r="I701" s="217">
        <f>(I629/I612)*AJ92</f>
        <v>49753.762589490463</v>
      </c>
      <c r="J701" s="217">
        <f>(J630/J612)*AJ93</f>
        <v>0</v>
      </c>
      <c r="K701" s="217">
        <f>(K644/K612)*AJ89</f>
        <v>804547.44357742451</v>
      </c>
      <c r="L701" s="217">
        <f>(L647/L612)*AJ94</f>
        <v>196148.80809593137</v>
      </c>
      <c r="M701" s="202">
        <f t="shared" si="24"/>
        <v>2969979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69270</v>
      </c>
      <c r="D702" s="217">
        <f>(D615/D612)*AK90</f>
        <v>0</v>
      </c>
      <c r="E702" s="219">
        <f>(E623/E612)*SUM(C702:D702)</f>
        <v>7937.2841958524732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7937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13730</v>
      </c>
      <c r="D703" s="217">
        <f>(D615/D612)*AL90</f>
        <v>0</v>
      </c>
      <c r="E703" s="219">
        <f>(E623/E612)*SUM(C703:D703)</f>
        <v>1573.2483327422326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1573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96158</v>
      </c>
      <c r="D713" s="217">
        <f>(D615/D612)*AV90</f>
        <v>120537.00747149761</v>
      </c>
      <c r="E713" s="219">
        <f>(E623/E612)*SUM(C713:D713)</f>
        <v>24829.938763153626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145367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42431648</v>
      </c>
      <c r="D715" s="202">
        <f>SUM(D616:D647)+SUM(D668:D713)</f>
        <v>1972179</v>
      </c>
      <c r="E715" s="202">
        <f>SUM(E624:E647)+SUM(E668:E713)</f>
        <v>4362179.7163598128</v>
      </c>
      <c r="F715" s="202">
        <f>SUM(F625:F648)+SUM(F668:F713)</f>
        <v>281127.03753181279</v>
      </c>
      <c r="G715" s="202">
        <f>SUM(G626:G647)+SUM(G668:G713)</f>
        <v>1009007.7756945601</v>
      </c>
      <c r="H715" s="202">
        <f>SUM(H629:H647)+SUM(H668:H713)</f>
        <v>2010994.6420845571</v>
      </c>
      <c r="I715" s="202">
        <f>SUM(I630:I647)+SUM(I668:I713)</f>
        <v>845813.96402133792</v>
      </c>
      <c r="J715" s="202">
        <f>SUM(J631:J647)+SUM(J668:J713)</f>
        <v>238014.45691362815</v>
      </c>
      <c r="K715" s="202">
        <f>SUM(K668:K713)</f>
        <v>6546362.2604973139</v>
      </c>
      <c r="L715" s="202">
        <f>SUM(L668:L713)</f>
        <v>915361.10444767959</v>
      </c>
      <c r="M715" s="202">
        <f>SUM(M668:M713)</f>
        <v>15013564</v>
      </c>
      <c r="N715" s="211" t="s">
        <v>694</v>
      </c>
    </row>
    <row r="716" spans="1:14" s="202" customFormat="1" ht="12.6" customHeight="1" x14ac:dyDescent="0.2">
      <c r="C716" s="214">
        <f>CE85</f>
        <v>42431648</v>
      </c>
      <c r="D716" s="202">
        <f>D615</f>
        <v>1972179</v>
      </c>
      <c r="E716" s="202">
        <f>E623</f>
        <v>4362179.7163598128</v>
      </c>
      <c r="F716" s="202">
        <f>F624</f>
        <v>281127.03753181273</v>
      </c>
      <c r="G716" s="202">
        <f>G625</f>
        <v>1009007.7756945601</v>
      </c>
      <c r="H716" s="202">
        <f>H628</f>
        <v>2010994.6420845571</v>
      </c>
      <c r="I716" s="202">
        <f>I629</f>
        <v>845813.96402133792</v>
      </c>
      <c r="J716" s="202">
        <f>J630</f>
        <v>238014.45691362812</v>
      </c>
      <c r="K716" s="202">
        <f>K644</f>
        <v>6546362.2604973139</v>
      </c>
      <c r="L716" s="202">
        <f>L647</f>
        <v>915361.10444767971</v>
      </c>
      <c r="M716" s="202">
        <f>C648</f>
        <v>15013563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G17" sqref="G17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Arbor Health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H-173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PO Box 1138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PO Box 1138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Morton,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18" sqref="I18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173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3300543</v>
      </c>
      <c r="C17" s="228">
        <f>data!E85</f>
        <v>3782615</v>
      </c>
      <c r="D17" s="228">
        <f>ROUND(N('Prior Year'!E59), 0)</f>
        <v>503</v>
      </c>
      <c r="E17" s="1">
        <f>data!E59</f>
        <v>497</v>
      </c>
      <c r="F17" s="205">
        <f t="shared" si="0"/>
        <v>6561.7157057654076</v>
      </c>
      <c r="G17" s="205">
        <f t="shared" si="1"/>
        <v>7610.8953722334008</v>
      </c>
      <c r="H17" s="6" t="str">
        <f t="shared" si="2"/>
        <v/>
      </c>
      <c r="I17" s="228" t="s">
        <v>392</v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1069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902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2175253</v>
      </c>
      <c r="C28" s="228">
        <f>data!P85</f>
        <v>1355522</v>
      </c>
      <c r="D28" s="228">
        <f>ROUND(N('Prior Year'!P59), 0)</f>
        <v>40501</v>
      </c>
      <c r="E28" s="1">
        <f>data!P59</f>
        <v>16611</v>
      </c>
      <c r="F28" s="205">
        <f t="shared" si="0"/>
        <v>53.708624478407941</v>
      </c>
      <c r="G28" s="205">
        <f t="shared" si="1"/>
        <v>81.603876949009688</v>
      </c>
      <c r="H28" s="6">
        <f t="shared" si="2"/>
        <v>0.51938124912910877</v>
      </c>
      <c r="I28" s="228" t="s">
        <v>1370</v>
      </c>
      <c r="M28" s="7"/>
    </row>
    <row r="29" spans="1:13" x14ac:dyDescent="0.25">
      <c r="A29" s="1" t="s">
        <v>747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638417</v>
      </c>
      <c r="C30" s="228">
        <f>data!R85</f>
        <v>663719</v>
      </c>
      <c r="D30" s="228">
        <f>ROUND(N('Prior Year'!R59), 0)</f>
        <v>42139</v>
      </c>
      <c r="E30" s="1">
        <f>data!R59</f>
        <v>27082</v>
      </c>
      <c r="F30" s="205">
        <f t="shared" si="0"/>
        <v>15.150264600488859</v>
      </c>
      <c r="G30" s="205">
        <f>IFERROR(IF(C30=0,"",IF(E30=0,"",C30/E30)),"")</f>
        <v>24.507754227900449</v>
      </c>
      <c r="H30" s="6">
        <f t="shared" si="2"/>
        <v>0.61764529360824816</v>
      </c>
      <c r="I30" s="228" t="s">
        <v>1371</v>
      </c>
      <c r="M30" s="7"/>
    </row>
    <row r="31" spans="1:13" x14ac:dyDescent="0.25">
      <c r="A31" s="1" t="s">
        <v>749</v>
      </c>
      <c r="B31" s="228">
        <f>ROUND(N('Prior Year'!S85), 0)</f>
        <v>101274</v>
      </c>
      <c r="C31" s="228">
        <f>data!S85</f>
        <v>106821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1969687</v>
      </c>
      <c r="C33" s="228">
        <f>data!U85</f>
        <v>1907604</v>
      </c>
      <c r="D33" s="228">
        <f>ROUND(N('Prior Year'!U59), 0)</f>
        <v>46906</v>
      </c>
      <c r="E33" s="1">
        <f>data!U59</f>
        <v>52538</v>
      </c>
      <c r="F33" s="205">
        <f t="shared" si="0"/>
        <v>41.992218479512218</v>
      </c>
      <c r="G33" s="205">
        <f t="shared" ref="G33:G69" si="4">IF(C33=0,"",IF(E33=0,"",C33/E33))</f>
        <v>36.309033461494536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225744</v>
      </c>
      <c r="C35" s="228">
        <f>data!W85</f>
        <v>267825</v>
      </c>
      <c r="D35" s="228">
        <f>ROUND(N('Prior Year'!W59), 0)</f>
        <v>417</v>
      </c>
      <c r="E35" s="1">
        <f>data!W59</f>
        <v>489</v>
      </c>
      <c r="F35" s="205">
        <f t="shared" si="0"/>
        <v>541.35251798561148</v>
      </c>
      <c r="G35" s="205">
        <f t="shared" si="4"/>
        <v>547.69938650306744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110780</v>
      </c>
      <c r="C36" s="228">
        <f>data!X85</f>
        <v>121701</v>
      </c>
      <c r="D36" s="228">
        <f>ROUND(N('Prior Year'!X59), 0)</f>
        <v>2534</v>
      </c>
      <c r="E36" s="1">
        <f>data!X59</f>
        <v>2729</v>
      </c>
      <c r="F36" s="205">
        <f t="shared" si="0"/>
        <v>43.71744277821626</v>
      </c>
      <c r="G36" s="205">
        <f t="shared" si="4"/>
        <v>44.595456211066328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1639760</v>
      </c>
      <c r="C37" s="228">
        <f>data!Y85</f>
        <v>1810055</v>
      </c>
      <c r="D37" s="228">
        <f>ROUND(N('Prior Year'!Y59), 0)</f>
        <v>5267</v>
      </c>
      <c r="E37" s="1">
        <f>data!Y59</f>
        <v>5532</v>
      </c>
      <c r="F37" s="205">
        <f t="shared" si="0"/>
        <v>311.32713119422823</v>
      </c>
      <c r="G37" s="205">
        <f t="shared" si="4"/>
        <v>327.19721619667388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118133</v>
      </c>
      <c r="C39" s="228">
        <f>data!AA85</f>
        <v>113590</v>
      </c>
      <c r="D39" s="228">
        <f>ROUND(N('Prior Year'!AA59), 0)</f>
        <v>53</v>
      </c>
      <c r="E39" s="1">
        <f>data!AA59</f>
        <v>70</v>
      </c>
      <c r="F39" s="205">
        <f t="shared" si="0"/>
        <v>2228.9245283018868</v>
      </c>
      <c r="G39" s="205">
        <f t="shared" si="4"/>
        <v>1622.7142857142858</v>
      </c>
      <c r="H39" s="6">
        <f t="shared" si="5"/>
        <v>-0.2719743243390319</v>
      </c>
      <c r="I39" s="228" t="s">
        <v>1372</v>
      </c>
      <c r="M39" s="7"/>
    </row>
    <row r="40" spans="1:13" x14ac:dyDescent="0.25">
      <c r="A40" s="1" t="s">
        <v>759</v>
      </c>
      <c r="B40" s="228">
        <f>ROUND(N('Prior Year'!AB85), 0)</f>
        <v>870584</v>
      </c>
      <c r="C40" s="228">
        <f>data!AB85</f>
        <v>1024970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431771</v>
      </c>
      <c r="C41" s="228">
        <f>data!AC85</f>
        <v>386839</v>
      </c>
      <c r="D41" s="228">
        <f>ROUND(N('Prior Year'!AC59), 0)</f>
        <v>3815</v>
      </c>
      <c r="E41" s="1">
        <f>data!AC59</f>
        <v>4734</v>
      </c>
      <c r="F41" s="205">
        <f t="shared" si="0"/>
        <v>113.17719528178243</v>
      </c>
      <c r="G41" s="205">
        <f t="shared" si="4"/>
        <v>81.715040135192226</v>
      </c>
      <c r="H41" s="6">
        <f t="shared" ref="H41:H59" si="6">IF(B41 = 0, "", IF(C41 = 0, "", IF(D41 = 0, "", IF(E41 = 0, "", IF(G41 / F41 - 1 &lt; -0.25, G41 / F41 - 1, IF(G41 / F41 - 1 &gt; 0.25, G41 / F41 - 1, ""))))))</f>
        <v>-0.27799023529658462</v>
      </c>
      <c r="I41" s="228" t="s">
        <v>1373</v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1738752</v>
      </c>
      <c r="C43" s="228">
        <f>data!AE85</f>
        <v>1787677</v>
      </c>
      <c r="D43" s="228">
        <f>ROUND(N('Prior Year'!AE59), 0)</f>
        <v>26935</v>
      </c>
      <c r="E43" s="1">
        <f>data!AE59</f>
        <v>31322</v>
      </c>
      <c r="F43" s="205">
        <f t="shared" si="0"/>
        <v>64.553629107109714</v>
      </c>
      <c r="G43" s="205">
        <f t="shared" si="4"/>
        <v>57.074165123555332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4347493</v>
      </c>
      <c r="C45" s="228">
        <f>data!AG85</f>
        <v>4366161</v>
      </c>
      <c r="D45" s="228">
        <f>ROUND(N('Prior Year'!AG59), 0)</f>
        <v>5474</v>
      </c>
      <c r="E45" s="1">
        <f>data!AG59</f>
        <v>5633</v>
      </c>
      <c r="F45" s="205">
        <f t="shared" si="0"/>
        <v>794.20770917062475</v>
      </c>
      <c r="G45" s="205">
        <f t="shared" si="4"/>
        <v>775.10402982425001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483337</v>
      </c>
      <c r="C46" s="228">
        <f>data!AH85</f>
        <v>500004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4092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6801776</v>
      </c>
      <c r="C48" s="228">
        <f>data!AJ85</f>
        <v>9039732</v>
      </c>
      <c r="D48" s="228">
        <f>ROUND(N('Prior Year'!AJ59), 0)</f>
        <v>26228</v>
      </c>
      <c r="E48" s="1">
        <f>data!AJ59</f>
        <v>29586</v>
      </c>
      <c r="F48" s="205">
        <f t="shared" si="0"/>
        <v>259.33262162574346</v>
      </c>
      <c r="G48" s="205">
        <f t="shared" si="4"/>
        <v>305.54086392212531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0</v>
      </c>
      <c r="C49" s="228">
        <f>data!AK85</f>
        <v>69270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0</v>
      </c>
      <c r="C50" s="228">
        <f>data!AL85</f>
        <v>13730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874948</v>
      </c>
      <c r="C60" s="228">
        <f>data!AV85</f>
        <v>96158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706933</v>
      </c>
      <c r="C63" s="228">
        <f>data!AY85</f>
        <v>789621</v>
      </c>
      <c r="D63" s="228">
        <f>ROUND(N('Prior Year'!AY59), 0)</f>
        <v>22575</v>
      </c>
      <c r="E63" s="1">
        <f>data!AY59</f>
        <v>28181</v>
      </c>
      <c r="F63" s="205">
        <f>IF(B63=0,"",IF(D63=0,"",B63/D63))</f>
        <v>31.314861572535992</v>
      </c>
      <c r="G63" s="205">
        <f t="shared" si="4"/>
        <v>28.019623150349528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108208</v>
      </c>
      <c r="C65" s="228">
        <f>data!BA85</f>
        <v>153985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0</v>
      </c>
      <c r="C66" s="228">
        <f>data!BB85</f>
        <v>0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61316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242089</v>
      </c>
      <c r="C68" s="228">
        <f>data!BD85</f>
        <v>224793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2003234</v>
      </c>
      <c r="C69" s="228">
        <f>data!BE85</f>
        <v>1972179</v>
      </c>
      <c r="D69" s="228">
        <f>ROUND(N('Prior Year'!BE59), 0)</f>
        <v>78440</v>
      </c>
      <c r="E69" s="1">
        <f>data!BE59</f>
        <v>78440</v>
      </c>
      <c r="F69" s="205">
        <f>IF(B69=0,"",IF(D69=0,"",B69/D69))</f>
        <v>25.538424273329934</v>
      </c>
      <c r="G69" s="205">
        <f t="shared" si="4"/>
        <v>25.142516573176952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605532</v>
      </c>
      <c r="C70" s="228">
        <f>data!BF85</f>
        <v>623391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154188</v>
      </c>
      <c r="C71" s="228">
        <f>data!BG85</f>
        <v>503584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2297900</v>
      </c>
      <c r="C72" s="228">
        <f>data!BH85</f>
        <v>2434486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477312</v>
      </c>
      <c r="C74" s="228">
        <f>data!BJ85</f>
        <v>553828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1110632</v>
      </c>
      <c r="C75" s="228">
        <f>data!BK85</f>
        <v>1325006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553694</v>
      </c>
      <c r="C76" s="228">
        <f>data!BL85</f>
        <v>736721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1275341</v>
      </c>
      <c r="C78" s="228">
        <f>data!BN85</f>
        <v>1138427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98558</v>
      </c>
      <c r="C79" s="228">
        <f>data!BO85</f>
        <v>177485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0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534663</v>
      </c>
      <c r="C82" s="228">
        <f>data!BR85</f>
        <v>700037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256685</v>
      </c>
      <c r="C86" s="228">
        <f>data!BV85</f>
        <v>625724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441229</v>
      </c>
      <c r="C88" s="228">
        <f>data!BX85</f>
        <v>183243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925033</v>
      </c>
      <c r="C89" s="228">
        <f>data!BY85</f>
        <v>742249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4670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191447</v>
      </c>
      <c r="C93" s="228">
        <f>data!CC85</f>
        <v>2062818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1476506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D15" sqref="D15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2686124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1" t="s">
        <v>1374</v>
      </c>
      <c r="B15" s="267"/>
      <c r="C15" s="267"/>
      <c r="D15" s="267">
        <v>462304</v>
      </c>
    </row>
    <row r="16" spans="1:4" ht="15.75" x14ac:dyDescent="0.25">
      <c r="A16" s="1" t="s">
        <v>1375</v>
      </c>
      <c r="B16" s="267"/>
      <c r="C16" s="267"/>
      <c r="D16" s="267">
        <v>1342500</v>
      </c>
    </row>
    <row r="17" spans="1:4" ht="15.75" x14ac:dyDescent="0.25">
      <c r="A17" s="1" t="s">
        <v>162</v>
      </c>
      <c r="B17" s="267"/>
      <c r="C17" s="267"/>
      <c r="D17" s="267">
        <v>150174</v>
      </c>
    </row>
    <row r="18" spans="1:4" ht="15.75" x14ac:dyDescent="0.25">
      <c r="A18" s="1" t="s">
        <v>1376</v>
      </c>
      <c r="B18" s="267"/>
      <c r="C18" s="267"/>
      <c r="D18" s="267">
        <v>93689</v>
      </c>
    </row>
    <row r="19" spans="1:4" ht="15.75" x14ac:dyDescent="0.25">
      <c r="A19" s="1" t="s">
        <v>1377</v>
      </c>
      <c r="B19" s="267"/>
      <c r="C19" s="267"/>
      <c r="D19" s="267">
        <v>61797</v>
      </c>
    </row>
    <row r="20" spans="1:4" ht="15.75" x14ac:dyDescent="0.25">
      <c r="A20" s="1" t="s">
        <v>1378</v>
      </c>
      <c r="B20" s="267"/>
      <c r="C20" s="267"/>
      <c r="D20" s="267">
        <v>65268</v>
      </c>
    </row>
    <row r="21" spans="1:4" ht="15.75" x14ac:dyDescent="0.25">
      <c r="A21" s="1" t="s">
        <v>1379</v>
      </c>
      <c r="B21" s="267"/>
      <c r="C21" s="267"/>
      <c r="D21" s="267">
        <v>510392</v>
      </c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214140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267" t="s">
        <v>825</v>
      </c>
      <c r="B29" s="267"/>
      <c r="C29" s="267"/>
      <c r="D29" s="267"/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G17" sqref="G17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H-173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Arbor Health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Lewis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Robert Mach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Cheryl Cornwell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Tom Herrin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360-496-5112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360-496-3511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 xml:space="preserve"> X</v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 xml:space="preserve"> X</v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114</v>
      </c>
      <c r="G23" s="67">
        <f>data!D127</f>
        <v>497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82</v>
      </c>
      <c r="G24" s="67">
        <f>data!D128</f>
        <v>1069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15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10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25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25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1569104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G17" sqref="G17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Arbor Health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83</v>
      </c>
      <c r="C7" s="127">
        <f>data!B155</f>
        <v>356</v>
      </c>
      <c r="D7" s="127">
        <f>data!B156</f>
        <v>11031</v>
      </c>
      <c r="E7" s="127">
        <f>data!B157</f>
        <v>4872556</v>
      </c>
      <c r="F7" s="127">
        <f>data!B158</f>
        <v>26039575</v>
      </c>
      <c r="G7" s="127">
        <f>data!B157+data!B158</f>
        <v>30912131</v>
      </c>
    </row>
    <row r="8" spans="1:7" ht="20.100000000000001" customHeight="1" x14ac:dyDescent="0.25">
      <c r="A8" s="63" t="s">
        <v>354</v>
      </c>
      <c r="B8" s="127">
        <f>data!C154</f>
        <v>10</v>
      </c>
      <c r="C8" s="127">
        <f>data!C155</f>
        <v>50</v>
      </c>
      <c r="D8" s="127">
        <f>data!C156</f>
        <v>5501</v>
      </c>
      <c r="E8" s="127">
        <f>data!C157</f>
        <v>2533729</v>
      </c>
      <c r="F8" s="127">
        <f>data!C158</f>
        <v>13540580</v>
      </c>
      <c r="G8" s="127">
        <f>data!C157+data!C158</f>
        <v>16074309</v>
      </c>
    </row>
    <row r="9" spans="1:7" ht="20.100000000000001" customHeight="1" x14ac:dyDescent="0.25">
      <c r="A9" s="63" t="s">
        <v>858</v>
      </c>
      <c r="B9" s="127">
        <f>data!D154</f>
        <v>22</v>
      </c>
      <c r="C9" s="127">
        <f>data!D155</f>
        <v>91</v>
      </c>
      <c r="D9" s="127">
        <f>data!D156</f>
        <v>5529</v>
      </c>
      <c r="E9" s="127">
        <f>data!D157</f>
        <v>2338827</v>
      </c>
      <c r="F9" s="127">
        <f>data!D158</f>
        <v>12498996</v>
      </c>
      <c r="G9" s="127">
        <f>data!D157+data!D158</f>
        <v>14837823</v>
      </c>
    </row>
    <row r="10" spans="1:7" ht="20.100000000000001" customHeight="1" x14ac:dyDescent="0.25">
      <c r="A10" s="78" t="s">
        <v>229</v>
      </c>
      <c r="B10" s="127">
        <f>data!E154</f>
        <v>115</v>
      </c>
      <c r="C10" s="127">
        <f>data!E155</f>
        <v>497</v>
      </c>
      <c r="D10" s="127">
        <f>data!E156</f>
        <v>22061</v>
      </c>
      <c r="E10" s="127">
        <f>data!E157</f>
        <v>9745112</v>
      </c>
      <c r="F10" s="127">
        <f>data!E158</f>
        <v>52079151</v>
      </c>
      <c r="G10" s="127">
        <f>E10+F10</f>
        <v>61824263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72</v>
      </c>
      <c r="C16" s="127">
        <f>data!B161</f>
        <v>988</v>
      </c>
      <c r="D16" s="127">
        <f>data!B162</f>
        <v>0</v>
      </c>
      <c r="E16" s="127">
        <f>data!B163</f>
        <v>4286146</v>
      </c>
      <c r="F16" s="127">
        <f>data!B164</f>
        <v>0</v>
      </c>
      <c r="G16" s="127">
        <f>data!B163+data!B164</f>
        <v>4286146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10</v>
      </c>
      <c r="C18" s="127">
        <f>data!D161</f>
        <v>82</v>
      </c>
      <c r="D18" s="127">
        <f>data!D162</f>
        <v>0</v>
      </c>
      <c r="E18" s="127">
        <f>data!D163</f>
        <v>372710</v>
      </c>
      <c r="F18" s="127">
        <f>data!D164</f>
        <v>0</v>
      </c>
      <c r="G18" s="127">
        <f>data!D163+data!D164</f>
        <v>372710</v>
      </c>
    </row>
    <row r="19" spans="1:7" ht="20.100000000000001" customHeight="1" x14ac:dyDescent="0.25">
      <c r="A19" s="78" t="s">
        <v>229</v>
      </c>
      <c r="B19" s="127">
        <f>data!E160</f>
        <v>82</v>
      </c>
      <c r="C19" s="127">
        <f>data!E161</f>
        <v>1070</v>
      </c>
      <c r="D19" s="127">
        <f>data!E162</f>
        <v>0</v>
      </c>
      <c r="E19" s="127">
        <f>data!E163</f>
        <v>4658856</v>
      </c>
      <c r="F19" s="127">
        <f>data!E164</f>
        <v>0</v>
      </c>
      <c r="G19" s="127">
        <f>data!E163+data!E164</f>
        <v>4658856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2670922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2365751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14" workbookViewId="0">
      <selection activeCell="G17" sqref="G17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Arbor Health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1353127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28398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250336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2531105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140088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737189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173816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5214059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127734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0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127734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167628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246145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413773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15655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245061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362297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623013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423940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423940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G17" sqref="G17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Arbor Health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952749</v>
      </c>
      <c r="D7" s="67">
        <f>data!C211</f>
        <v>0</v>
      </c>
      <c r="E7" s="67">
        <f>data!D211</f>
        <v>0</v>
      </c>
      <c r="F7" s="67">
        <f>data!E211</f>
        <v>952749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1426739</v>
      </c>
      <c r="D8" s="67">
        <f>data!C212</f>
        <v>0</v>
      </c>
      <c r="E8" s="67">
        <f>data!D212</f>
        <v>0</v>
      </c>
      <c r="F8" s="67">
        <f>data!E212</f>
        <v>1426739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16059783</v>
      </c>
      <c r="D9" s="67" t="str">
        <f>data!C213</f>
        <v xml:space="preserve"> </v>
      </c>
      <c r="E9" s="67">
        <f>data!D213</f>
        <v>0</v>
      </c>
      <c r="F9" s="67">
        <f>data!E213</f>
        <v>16059783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5089019</v>
      </c>
      <c r="D10" s="67">
        <f>data!C214</f>
        <v>241661</v>
      </c>
      <c r="E10" s="67">
        <f>data!D214</f>
        <v>0</v>
      </c>
      <c r="F10" s="67">
        <f>data!E214</f>
        <v>5330680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2711951</v>
      </c>
      <c r="D11" s="67">
        <f>data!C215</f>
        <v>0</v>
      </c>
      <c r="E11" s="67">
        <f>data!D215</f>
        <v>0</v>
      </c>
      <c r="F11" s="67">
        <f>data!E215</f>
        <v>2711951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8986573</v>
      </c>
      <c r="D12" s="67">
        <f>data!C216</f>
        <v>369264</v>
      </c>
      <c r="E12" s="67">
        <f>data!D216</f>
        <v>0</v>
      </c>
      <c r="F12" s="67">
        <f>data!E216</f>
        <v>9355837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0</v>
      </c>
      <c r="D15" s="67" t="str">
        <f>data!C219</f>
        <v xml:space="preserve"> </v>
      </c>
      <c r="E15" s="67" t="str">
        <f>data!D219</f>
        <v xml:space="preserve"> </v>
      </c>
      <c r="F15" s="67">
        <f>data!E219</f>
        <v>0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35226814</v>
      </c>
      <c r="D16" s="67">
        <f>data!C220</f>
        <v>610925</v>
      </c>
      <c r="E16" s="67">
        <f>data!D220</f>
        <v>0</v>
      </c>
      <c r="F16" s="67">
        <f>data!E220</f>
        <v>35837739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1244990</v>
      </c>
      <c r="D24" s="67">
        <f>data!C225</f>
        <v>52504</v>
      </c>
      <c r="E24" s="67">
        <f>data!D225</f>
        <v>0</v>
      </c>
      <c r="F24" s="67">
        <f>data!E225</f>
        <v>1297494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12930892</v>
      </c>
      <c r="D25" s="67">
        <f>data!C226</f>
        <v>444793</v>
      </c>
      <c r="E25" s="67">
        <f>data!D226</f>
        <v>0</v>
      </c>
      <c r="F25" s="67">
        <f>data!E226</f>
        <v>13375685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1281206</v>
      </c>
      <c r="D26" s="67">
        <f>data!C227</f>
        <v>179578</v>
      </c>
      <c r="E26" s="67">
        <f>data!D227</f>
        <v>0</v>
      </c>
      <c r="F26" s="67">
        <f>data!E227</f>
        <v>1460784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2061574</v>
      </c>
      <c r="D27" s="67">
        <f>data!C228</f>
        <v>73781</v>
      </c>
      <c r="E27" s="67">
        <f>data!D228</f>
        <v>0</v>
      </c>
      <c r="F27" s="67">
        <f>data!E228</f>
        <v>2135355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7864667</v>
      </c>
      <c r="D28" s="67">
        <f>data!C229</f>
        <v>454891</v>
      </c>
      <c r="E28" s="67">
        <f>data!D229</f>
        <v>0</v>
      </c>
      <c r="F28" s="67">
        <f>data!E229</f>
        <v>8319558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25383329</v>
      </c>
      <c r="D32" s="67">
        <f>data!C233</f>
        <v>1205547</v>
      </c>
      <c r="E32" s="67">
        <f>data!D233</f>
        <v>0</v>
      </c>
      <c r="F32" s="67">
        <f>data!E233</f>
        <v>26588876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G17" sqref="G17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Arbor Health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707642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15082115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5025286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421023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5539656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26068080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660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0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911139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911139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1261124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1261124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G17" sqref="G17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Arbor Health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6170247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11049177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4250094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35830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238552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470965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13714677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1913639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1913639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952749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1426739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16059783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5330680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2711951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9355837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0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26588876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9248863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2176049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1007142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2661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1171568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26048747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Arbor Health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1291094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2547447</v>
      </c>
    </row>
    <row r="61" spans="1:3" ht="20.100000000000001" customHeight="1" x14ac:dyDescent="0.25">
      <c r="A61" s="174">
        <v>5</v>
      </c>
      <c r="B61" s="176" t="s">
        <v>459</v>
      </c>
      <c r="C61" s="176" t="str">
        <f>data!C317</f>
        <v xml:space="preserve"> </v>
      </c>
    </row>
    <row r="62" spans="1:3" ht="20.100000000000001" customHeight="1" x14ac:dyDescent="0.25">
      <c r="A62" s="174">
        <v>6</v>
      </c>
      <c r="B62" s="176" t="s">
        <v>928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598945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4842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950223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5392551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460195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897925</v>
      </c>
    </row>
    <row r="81" spans="1:3" ht="20.100000000000001" customHeight="1" x14ac:dyDescent="0.25">
      <c r="A81" s="174">
        <v>25</v>
      </c>
      <c r="B81" s="176" t="s">
        <v>477</v>
      </c>
      <c r="C81" s="176">
        <f>data!C335</f>
        <v>5056285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 t="str">
        <f>data!C338</f>
        <v xml:space="preserve"> 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6414405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950223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5464182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15192014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15192014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26048747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Arbor Health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9745112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59232667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68977779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707642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26068081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911139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1261124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28947986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40029793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957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504</v>
      </c>
      <c r="C126" s="191">
        <f>data!C371</f>
        <v>601915</v>
      </c>
    </row>
    <row r="127" spans="1:3" ht="20.100000000000001" customHeight="1" x14ac:dyDescent="0.25">
      <c r="A127" s="195" t="s">
        <v>959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509</v>
      </c>
      <c r="C131" s="191">
        <f>data!C376</f>
        <v>314756</v>
      </c>
    </row>
    <row r="132" spans="1:3" ht="20.100000000000001" customHeight="1" x14ac:dyDescent="0.25">
      <c r="A132" s="195" t="s">
        <v>964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511</v>
      </c>
      <c r="C133" s="191">
        <f>data!C378</f>
        <v>5025</v>
      </c>
    </row>
    <row r="134" spans="1:3" ht="20.100000000000001" customHeight="1" x14ac:dyDescent="0.25">
      <c r="A134" s="195" t="s">
        <v>966</v>
      </c>
      <c r="B134" s="192" t="s">
        <v>512</v>
      </c>
      <c r="C134" s="191">
        <f>data!C379</f>
        <v>150174</v>
      </c>
    </row>
    <row r="135" spans="1:3" ht="20.100000000000001" customHeight="1" x14ac:dyDescent="0.25">
      <c r="A135" s="195" t="s">
        <v>967</v>
      </c>
      <c r="B135" s="192" t="s">
        <v>513</v>
      </c>
      <c r="C135" s="191">
        <f>data!C380</f>
        <v>2686124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4747484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44777277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25053354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5214059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392417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3386583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439580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4583893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1617573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127734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413773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623013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423940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214140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42490059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2287218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2287218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2287218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31" zoomScale="65" workbookViewId="0">
      <selection activeCell="G17" sqref="G17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Arbor Health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497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19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2674301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550042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87717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92496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378059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0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0</v>
      </c>
      <c r="D21" s="238">
        <f>data!D85</f>
        <v>0</v>
      </c>
      <c r="E21" s="238">
        <f>data!E85</f>
        <v>3782615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>
        <f>+data!M668</f>
        <v>0</v>
      </c>
      <c r="D23" s="246">
        <f>+data!M669</f>
        <v>0</v>
      </c>
      <c r="E23" s="246">
        <f>+data!M670</f>
        <v>3005790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6783191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1879391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8662582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18333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5000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31000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7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Arbor Health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1069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16611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7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649669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104066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530313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44748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26726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1355522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>
        <f>+data!M675</f>
        <v>0</v>
      </c>
      <c r="D55" s="246">
        <f>+data!M676</f>
        <v>0</v>
      </c>
      <c r="E55" s="246">
        <f>+data!M691</f>
        <v>442453</v>
      </c>
      <c r="F55" s="246">
        <f>+data!M692</f>
        <v>51019</v>
      </c>
      <c r="G55" s="246">
        <f>+data!M693</f>
        <v>365776</v>
      </c>
      <c r="H55" s="246">
        <f>+data!M680</f>
        <v>0</v>
      </c>
      <c r="I55" s="246">
        <f>+data!M681</f>
        <v>1199788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516949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4019146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4536095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1296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3000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10000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4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Arbor Health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27082</v>
      </c>
      <c r="E73" s="250"/>
      <c r="F73" s="250"/>
      <c r="G73" s="238">
        <f>data!U59</f>
        <v>52538</v>
      </c>
      <c r="H73" s="238">
        <f>data!V59</f>
        <v>0</v>
      </c>
      <c r="I73" s="238">
        <f>data!W59</f>
        <v>489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1</v>
      </c>
      <c r="E74" s="245">
        <f>data!S60</f>
        <v>0</v>
      </c>
      <c r="F74" s="245">
        <f>data!T60</f>
        <v>0</v>
      </c>
      <c r="G74" s="245">
        <f>data!U60</f>
        <v>9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517032</v>
      </c>
      <c r="E75" s="238">
        <f>data!S61</f>
        <v>51584</v>
      </c>
      <c r="F75" s="238">
        <f>data!T61</f>
        <v>0</v>
      </c>
      <c r="G75" s="238">
        <f>data!U61</f>
        <v>949503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121740</v>
      </c>
      <c r="E76" s="238">
        <f>data!S62</f>
        <v>10063</v>
      </c>
      <c r="F76" s="238">
        <f>data!T62</f>
        <v>0</v>
      </c>
      <c r="G76" s="238">
        <f>data!U62</f>
        <v>161488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13359</v>
      </c>
      <c r="E78" s="238">
        <f>data!S64</f>
        <v>19617</v>
      </c>
      <c r="F78" s="238">
        <f>data!T64</f>
        <v>0</v>
      </c>
      <c r="G78" s="238">
        <f>data!U64</f>
        <v>382827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9371</v>
      </c>
      <c r="E80" s="238">
        <f>data!S66</f>
        <v>25557</v>
      </c>
      <c r="F80" s="238">
        <f>data!T66</f>
        <v>0</v>
      </c>
      <c r="G80" s="238">
        <f>data!U66</f>
        <v>392071</v>
      </c>
      <c r="H80" s="238">
        <f>data!V66</f>
        <v>0</v>
      </c>
      <c r="I80" s="238">
        <f>data!W66</f>
        <v>267825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21715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0</v>
      </c>
      <c r="D83" s="238">
        <f>data!R69</f>
        <v>2217</v>
      </c>
      <c r="E83" s="238">
        <f>data!S69</f>
        <v>0</v>
      </c>
      <c r="F83" s="238">
        <f>data!T69</f>
        <v>0</v>
      </c>
      <c r="G83" s="238">
        <f>data!U69</f>
        <v>0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0</v>
      </c>
      <c r="D85" s="238">
        <f>data!R85</f>
        <v>663719</v>
      </c>
      <c r="E85" s="238">
        <f>data!S85</f>
        <v>106821</v>
      </c>
      <c r="F85" s="238">
        <f>data!T85</f>
        <v>0</v>
      </c>
      <c r="G85" s="238">
        <f>data!U85</f>
        <v>1907604</v>
      </c>
      <c r="H85" s="238">
        <f>data!V85</f>
        <v>0</v>
      </c>
      <c r="I85" s="238">
        <f>data!W85</f>
        <v>267825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>
        <f>+data!M682</f>
        <v>32652</v>
      </c>
      <c r="D87" s="246">
        <f>+data!M683</f>
        <v>186361</v>
      </c>
      <c r="E87" s="246">
        <f>+data!M684</f>
        <v>341287</v>
      </c>
      <c r="F87" s="246">
        <f>+data!M685</f>
        <v>0</v>
      </c>
      <c r="G87" s="246">
        <f>+data!M686</f>
        <v>1191775</v>
      </c>
      <c r="H87" s="246">
        <f>+data!M687</f>
        <v>0</v>
      </c>
      <c r="I87" s="246">
        <f>+data!M688</f>
        <v>132960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0</v>
      </c>
      <c r="D88" s="238">
        <f>data!R87</f>
        <v>85892</v>
      </c>
      <c r="E88" s="238">
        <f>data!S87</f>
        <v>99461</v>
      </c>
      <c r="F88" s="238">
        <f>data!T87</f>
        <v>0</v>
      </c>
      <c r="G88" s="238">
        <f>data!U87</f>
        <v>439237</v>
      </c>
      <c r="H88" s="238">
        <f>data!V87</f>
        <v>0</v>
      </c>
      <c r="I88" s="238">
        <f>data!W87</f>
        <v>22859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344052</v>
      </c>
      <c r="D89" s="238">
        <f>data!R88</f>
        <v>939085</v>
      </c>
      <c r="E89" s="238">
        <f>data!S88</f>
        <v>3349781</v>
      </c>
      <c r="F89" s="238">
        <f>data!T88</f>
        <v>0</v>
      </c>
      <c r="G89" s="238">
        <f>data!U88</f>
        <v>6613643</v>
      </c>
      <c r="H89" s="238">
        <f>data!V88</f>
        <v>0</v>
      </c>
      <c r="I89" s="238">
        <f>data!W88</f>
        <v>1054753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344052</v>
      </c>
      <c r="D90" s="238">
        <f>data!R89</f>
        <v>1024977</v>
      </c>
      <c r="E90" s="238">
        <f>data!S89</f>
        <v>3449242</v>
      </c>
      <c r="F90" s="238">
        <f>data!T89</f>
        <v>0</v>
      </c>
      <c r="G90" s="238">
        <f>data!U89</f>
        <v>7052880</v>
      </c>
      <c r="H90" s="238">
        <f>data!V89</f>
        <v>0</v>
      </c>
      <c r="I90" s="238">
        <f>data!W89</f>
        <v>1077612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1053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2000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10000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Arbor Health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2729</v>
      </c>
      <c r="D105" s="238">
        <f>data!Y59</f>
        <v>5532</v>
      </c>
      <c r="E105" s="238">
        <f>data!Z59</f>
        <v>0</v>
      </c>
      <c r="F105" s="238">
        <f>data!AA59</f>
        <v>70</v>
      </c>
      <c r="G105" s="250"/>
      <c r="H105" s="238">
        <f>data!AC59</f>
        <v>4734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10</v>
      </c>
      <c r="E106" s="245">
        <f>data!Z60</f>
        <v>0</v>
      </c>
      <c r="F106" s="245">
        <f>data!AA60</f>
        <v>0</v>
      </c>
      <c r="G106" s="245">
        <f>data!AB60</f>
        <v>2</v>
      </c>
      <c r="H106" s="245">
        <f>data!AC60</f>
        <v>3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1379708</v>
      </c>
      <c r="E107" s="238">
        <f>data!Z61</f>
        <v>0</v>
      </c>
      <c r="F107" s="238">
        <f>data!AA61</f>
        <v>0</v>
      </c>
      <c r="G107" s="238">
        <f>data!AB61</f>
        <v>324807</v>
      </c>
      <c r="H107" s="238">
        <f>data!AC61</f>
        <v>280547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278478</v>
      </c>
      <c r="E108" s="238">
        <f>data!Z62</f>
        <v>0</v>
      </c>
      <c r="F108" s="238">
        <f>data!AA62</f>
        <v>0</v>
      </c>
      <c r="G108" s="238">
        <f>data!AB62</f>
        <v>70719</v>
      </c>
      <c r="H108" s="238">
        <f>data!AC62</f>
        <v>66072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20160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28762</v>
      </c>
      <c r="D110" s="238">
        <f>data!Y64</f>
        <v>30184</v>
      </c>
      <c r="E110" s="238">
        <f>data!Z64</f>
        <v>0</v>
      </c>
      <c r="F110" s="238">
        <f>data!AA64</f>
        <v>20926</v>
      </c>
      <c r="G110" s="238">
        <f>data!AB64</f>
        <v>502296</v>
      </c>
      <c r="H110" s="238">
        <f>data!AC64</f>
        <v>18387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92939</v>
      </c>
      <c r="D112" s="238">
        <f>data!Y66</f>
        <v>71100</v>
      </c>
      <c r="E112" s="238">
        <f>data!Z66</f>
        <v>0</v>
      </c>
      <c r="F112" s="238">
        <f>data!AA66</f>
        <v>92664</v>
      </c>
      <c r="G112" s="238">
        <f>data!AB66</f>
        <v>96718</v>
      </c>
      <c r="H112" s="238">
        <f>data!AC66</f>
        <v>1376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50585</v>
      </c>
      <c r="E113" s="238">
        <f>data!Z67</f>
        <v>0</v>
      </c>
      <c r="F113" s="238">
        <f>data!AA67</f>
        <v>0</v>
      </c>
      <c r="G113" s="238">
        <f>data!AB67</f>
        <v>10270</v>
      </c>
      <c r="H113" s="238">
        <f>data!AC67</f>
        <v>20457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0</v>
      </c>
      <c r="D115" s="238">
        <f>data!Y69</f>
        <v>0</v>
      </c>
      <c r="E115" s="238">
        <f>data!Z69</f>
        <v>0</v>
      </c>
      <c r="F115" s="238">
        <f>data!AA69</f>
        <v>0</v>
      </c>
      <c r="G115" s="238">
        <f>data!AB69</f>
        <v>0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121701</v>
      </c>
      <c r="D117" s="238">
        <f>data!Y85</f>
        <v>1810055</v>
      </c>
      <c r="E117" s="238">
        <f>data!Z85</f>
        <v>0</v>
      </c>
      <c r="F117" s="238">
        <f>data!AA85</f>
        <v>113590</v>
      </c>
      <c r="G117" s="238">
        <f>data!AB85</f>
        <v>1024970</v>
      </c>
      <c r="H117" s="238">
        <f>data!AC85</f>
        <v>386839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>
        <f>+data!M689</f>
        <v>699230</v>
      </c>
      <c r="D119" s="246">
        <f>+data!M690</f>
        <v>540894</v>
      </c>
      <c r="E119" s="246">
        <f>+data!M691</f>
        <v>442453</v>
      </c>
      <c r="F119" s="246">
        <f>+data!M692</f>
        <v>51019</v>
      </c>
      <c r="G119" s="246">
        <f>+data!M693</f>
        <v>365776</v>
      </c>
      <c r="H119" s="246">
        <f>+data!M694</f>
        <v>228043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261920</v>
      </c>
      <c r="D120" s="238">
        <f>data!Y87</f>
        <v>138205</v>
      </c>
      <c r="E120" s="238">
        <f>data!Z87</f>
        <v>0</v>
      </c>
      <c r="F120" s="238">
        <f>data!AA87</f>
        <v>0</v>
      </c>
      <c r="G120" s="238">
        <f>data!AB87</f>
        <v>470964</v>
      </c>
      <c r="H120" s="238">
        <f>data!AC87</f>
        <v>142934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6932608</v>
      </c>
      <c r="D121" s="238">
        <f>data!Y88</f>
        <v>0</v>
      </c>
      <c r="E121" s="238">
        <f>data!Z88</f>
        <v>4662039</v>
      </c>
      <c r="F121" s="238">
        <f>data!AA88</f>
        <v>381375</v>
      </c>
      <c r="G121" s="238">
        <f>data!AB88</f>
        <v>1225127</v>
      </c>
      <c r="H121" s="238">
        <f>data!AC88</f>
        <v>976766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7194528</v>
      </c>
      <c r="D122" s="238">
        <f>data!Y89</f>
        <v>138205</v>
      </c>
      <c r="E122" s="238">
        <f>data!Z89</f>
        <v>4662039</v>
      </c>
      <c r="F122" s="238">
        <f>data!AA89</f>
        <v>381375</v>
      </c>
      <c r="G122" s="238">
        <f>data!AB89</f>
        <v>1696091</v>
      </c>
      <c r="H122" s="238">
        <f>data!AC89</f>
        <v>1119700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2453</v>
      </c>
      <c r="E124" s="238">
        <f>data!Z90</f>
        <v>0</v>
      </c>
      <c r="F124" s="238">
        <f>data!AA90</f>
        <v>0</v>
      </c>
      <c r="G124" s="238">
        <f>data!AB90</f>
        <v>498</v>
      </c>
      <c r="H124" s="238">
        <f>data!AC90</f>
        <v>992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2000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Arbor Health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31322</v>
      </c>
      <c r="D137" s="238">
        <f>data!AF59</f>
        <v>0</v>
      </c>
      <c r="E137" s="238">
        <f>data!AG59</f>
        <v>5633</v>
      </c>
      <c r="F137" s="238">
        <f>data!AH59</f>
        <v>0</v>
      </c>
      <c r="G137" s="238">
        <f>data!AI59</f>
        <v>0</v>
      </c>
      <c r="H137" s="238">
        <f>data!AJ59</f>
        <v>29586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11</v>
      </c>
      <c r="D138" s="245">
        <f>data!AF60</f>
        <v>0</v>
      </c>
      <c r="E138" s="245">
        <f>data!AG60</f>
        <v>13</v>
      </c>
      <c r="F138" s="245">
        <f>data!AH60</f>
        <v>0</v>
      </c>
      <c r="G138" s="245">
        <f>data!AI60</f>
        <v>0</v>
      </c>
      <c r="H138" s="245">
        <f>data!AJ60</f>
        <v>40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1397430</v>
      </c>
      <c r="D139" s="238">
        <f>data!AF61</f>
        <v>0</v>
      </c>
      <c r="E139" s="238">
        <f>data!AG61</f>
        <v>3429921</v>
      </c>
      <c r="F139" s="238">
        <f>data!AH61</f>
        <v>0</v>
      </c>
      <c r="G139" s="238">
        <f>data!AI61</f>
        <v>0</v>
      </c>
      <c r="H139" s="238">
        <f>data!AJ61</f>
        <v>6375418</v>
      </c>
      <c r="I139" s="238">
        <f>data!AK61</f>
        <v>56503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285269</v>
      </c>
      <c r="D140" s="238">
        <f>data!AF62</f>
        <v>0</v>
      </c>
      <c r="E140" s="238">
        <f>data!AG62</f>
        <v>619257</v>
      </c>
      <c r="F140" s="238">
        <f>data!AH62</f>
        <v>0</v>
      </c>
      <c r="G140" s="238">
        <f>data!AI62</f>
        <v>0</v>
      </c>
      <c r="H140" s="238">
        <f>data!AJ62</f>
        <v>1327007</v>
      </c>
      <c r="I140" s="238">
        <f>data!AK62</f>
        <v>12767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10406</v>
      </c>
      <c r="F141" s="238">
        <f>data!AH63</f>
        <v>0</v>
      </c>
      <c r="G141" s="238">
        <f>data!AI63</f>
        <v>0</v>
      </c>
      <c r="H141" s="238">
        <f>data!AJ63</f>
        <v>12490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27918</v>
      </c>
      <c r="D142" s="238">
        <f>data!AF64</f>
        <v>0</v>
      </c>
      <c r="E142" s="238">
        <f>data!AG64</f>
        <v>193243</v>
      </c>
      <c r="F142" s="238">
        <f>data!AH64</f>
        <v>0</v>
      </c>
      <c r="G142" s="238">
        <f>data!AI64</f>
        <v>4092</v>
      </c>
      <c r="H142" s="238">
        <f>data!AJ64</f>
        <v>940088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29397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18783</v>
      </c>
      <c r="D144" s="238">
        <f>data!AF66</f>
        <v>0</v>
      </c>
      <c r="E144" s="238">
        <f>data!AG66</f>
        <v>29410</v>
      </c>
      <c r="F144" s="238">
        <f>data!AH66</f>
        <v>500004</v>
      </c>
      <c r="G144" s="238">
        <f>data!AI66</f>
        <v>0</v>
      </c>
      <c r="H144" s="238">
        <f>data!AJ66</f>
        <v>164251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58277</v>
      </c>
      <c r="D145" s="238">
        <f>data!AF67</f>
        <v>0</v>
      </c>
      <c r="E145" s="238">
        <f>data!AG67</f>
        <v>72960</v>
      </c>
      <c r="F145" s="238">
        <f>data!AH67</f>
        <v>0</v>
      </c>
      <c r="G145" s="238">
        <f>data!AI67</f>
        <v>0</v>
      </c>
      <c r="H145" s="238">
        <f>data!AJ67</f>
        <v>166459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0</v>
      </c>
      <c r="D147" s="238">
        <f>data!AF69</f>
        <v>0</v>
      </c>
      <c r="E147" s="238">
        <f>data!AG69</f>
        <v>10964</v>
      </c>
      <c r="F147" s="238">
        <f>data!AH69</f>
        <v>0</v>
      </c>
      <c r="G147" s="238">
        <f>data!AI69</f>
        <v>0</v>
      </c>
      <c r="H147" s="238">
        <f>data!AJ69</f>
        <v>24622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1787677</v>
      </c>
      <c r="D149" s="238">
        <f>data!AF85</f>
        <v>0</v>
      </c>
      <c r="E149" s="238">
        <f>data!AG85</f>
        <v>4366161</v>
      </c>
      <c r="F149" s="238">
        <f>data!AH85</f>
        <v>500004</v>
      </c>
      <c r="G149" s="238">
        <f>data!AI85</f>
        <v>4092</v>
      </c>
      <c r="H149" s="238">
        <f>data!AJ85</f>
        <v>9039732</v>
      </c>
      <c r="I149" s="238">
        <f>data!AK85</f>
        <v>69270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>
        <f>+data!M696</f>
        <v>988526</v>
      </c>
      <c r="D151" s="246">
        <f>+data!M697</f>
        <v>0</v>
      </c>
      <c r="E151" s="246">
        <f>+data!M698</f>
        <v>2417810</v>
      </c>
      <c r="F151" s="246">
        <f>+data!M699</f>
        <v>57293</v>
      </c>
      <c r="G151" s="246">
        <f>+data!M700</f>
        <v>7051</v>
      </c>
      <c r="H151" s="246">
        <f>+data!M701</f>
        <v>2969979</v>
      </c>
      <c r="I151" s="246">
        <f>+data!M702</f>
        <v>7937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517402</v>
      </c>
      <c r="D152" s="238">
        <f>data!AF87</f>
        <v>0</v>
      </c>
      <c r="E152" s="238">
        <f>data!AG87</f>
        <v>235867</v>
      </c>
      <c r="F152" s="238">
        <f>data!AH87</f>
        <v>0</v>
      </c>
      <c r="G152" s="238">
        <f>data!AI87</f>
        <v>17301</v>
      </c>
      <c r="H152" s="238">
        <f>data!AJ87</f>
        <v>12930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4059026</v>
      </c>
      <c r="D153" s="238">
        <f>data!AF88</f>
        <v>0</v>
      </c>
      <c r="E153" s="238">
        <f>data!AG88</f>
        <v>14283117</v>
      </c>
      <c r="F153" s="238">
        <f>data!AH88</f>
        <v>0</v>
      </c>
      <c r="G153" s="238">
        <f>data!AI88</f>
        <v>48324</v>
      </c>
      <c r="H153" s="238">
        <f>data!AJ88</f>
        <v>8464434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4576428</v>
      </c>
      <c r="D154" s="238">
        <f>data!AF89</f>
        <v>0</v>
      </c>
      <c r="E154" s="238">
        <f>data!AG89</f>
        <v>14518984</v>
      </c>
      <c r="F154" s="238">
        <f>data!AH89</f>
        <v>0</v>
      </c>
      <c r="G154" s="238">
        <f>data!AI89</f>
        <v>65625</v>
      </c>
      <c r="H154" s="238">
        <f>data!AJ89</f>
        <v>8477364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2826</v>
      </c>
      <c r="D156" s="238">
        <f>data!AF90</f>
        <v>0</v>
      </c>
      <c r="E156" s="238">
        <f>data!AG90</f>
        <v>3538</v>
      </c>
      <c r="F156" s="238">
        <f>data!AH90</f>
        <v>0</v>
      </c>
      <c r="G156" s="238">
        <f>data!AI90</f>
        <v>0</v>
      </c>
      <c r="H156" s="238">
        <f>data!AJ90</f>
        <v>8072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1000</v>
      </c>
      <c r="D158" s="238">
        <f>data!AF92</f>
        <v>0</v>
      </c>
      <c r="E158" s="238">
        <f>data!AG92</f>
        <v>3000</v>
      </c>
      <c r="F158" s="238">
        <f>data!AH92</f>
        <v>0</v>
      </c>
      <c r="G158" s="238">
        <f>data!AI92</f>
        <v>0</v>
      </c>
      <c r="H158" s="238">
        <f>data!AJ92</f>
        <v>1000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24000</v>
      </c>
      <c r="D159" s="238">
        <f>data!AF93</f>
        <v>0</v>
      </c>
      <c r="E159" s="238">
        <f>data!AG93</f>
        <v>35000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3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Arbor Health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11429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2301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13730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>
        <f>+data!M703</f>
        <v>1573</v>
      </c>
      <c r="D183" s="246">
        <f>+data!M704</f>
        <v>0</v>
      </c>
      <c r="E183" s="246">
        <f>+data!M705</f>
        <v>0</v>
      </c>
      <c r="F183" s="246">
        <f>+data!M706</f>
        <v>0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Arbor Health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28181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9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442632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27838</v>
      </c>
      <c r="G204" s="238">
        <f>data!AW62</f>
        <v>0</v>
      </c>
      <c r="H204" s="238">
        <f>data!AX62</f>
        <v>0</v>
      </c>
      <c r="I204" s="238">
        <f>data!AY62</f>
        <v>100521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170252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18145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68320</v>
      </c>
      <c r="G209" s="238">
        <f>data!AW67</f>
        <v>0</v>
      </c>
      <c r="H209" s="238">
        <f>data!AX67</f>
        <v>0</v>
      </c>
      <c r="I209" s="238">
        <f>data!AY67</f>
        <v>58071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96158</v>
      </c>
      <c r="G213" s="238">
        <f>data!AW85</f>
        <v>0</v>
      </c>
      <c r="H213" s="238">
        <f>data!AX85</f>
        <v>0</v>
      </c>
      <c r="I213" s="238">
        <f>data!AY85</f>
        <v>789621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145367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3313</v>
      </c>
      <c r="G220" s="238">
        <f>data!AW90</f>
        <v>0</v>
      </c>
      <c r="H220" s="238">
        <f>data!AX90</f>
        <v>0</v>
      </c>
      <c r="I220" s="238">
        <f>data!AY90</f>
        <v>2816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Arbor Health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78440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3</v>
      </c>
      <c r="E234" s="245">
        <f>data!BB60</f>
        <v>0</v>
      </c>
      <c r="F234" s="245">
        <f>data!BC60</f>
        <v>1</v>
      </c>
      <c r="G234" s="245">
        <f>data!BD60</f>
        <v>3</v>
      </c>
      <c r="H234" s="245">
        <f>data!BE60</f>
        <v>7</v>
      </c>
      <c r="I234" s="245">
        <f>data!BF60</f>
        <v>11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74312</v>
      </c>
      <c r="E235" s="238">
        <f>data!BB61</f>
        <v>0</v>
      </c>
      <c r="F235" s="238">
        <f>data!BC61</f>
        <v>44347</v>
      </c>
      <c r="G235" s="238">
        <f>data!BD61</f>
        <v>155161</v>
      </c>
      <c r="H235" s="238">
        <f>data!BE61</f>
        <v>647587</v>
      </c>
      <c r="I235" s="238">
        <f>data!BF61</f>
        <v>457548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15034</v>
      </c>
      <c r="E236" s="238">
        <f>data!BB62</f>
        <v>0</v>
      </c>
      <c r="F236" s="238">
        <f>data!BC62</f>
        <v>9127</v>
      </c>
      <c r="G236" s="238">
        <f>data!BD62</f>
        <v>38422</v>
      </c>
      <c r="H236" s="238">
        <f>data!BE62</f>
        <v>135379</v>
      </c>
      <c r="I236" s="238">
        <f>data!BF62</f>
        <v>100165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565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38144</v>
      </c>
      <c r="E238" s="238">
        <f>data!BB64</f>
        <v>0</v>
      </c>
      <c r="F238" s="238">
        <f>data!BC64</f>
        <v>51</v>
      </c>
      <c r="G238" s="238">
        <f>data!BD64</f>
        <v>2882</v>
      </c>
      <c r="H238" s="238">
        <f>data!BE64</f>
        <v>48964</v>
      </c>
      <c r="I238" s="238">
        <f>data!BF64</f>
        <v>48024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5449</v>
      </c>
      <c r="G239" s="238">
        <f>data!BD65</f>
        <v>0</v>
      </c>
      <c r="H239" s="238">
        <f>data!BE65</f>
        <v>281581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12534</v>
      </c>
      <c r="E240" s="238">
        <f>data!BB66</f>
        <v>0</v>
      </c>
      <c r="F240" s="238">
        <f>data!BC66</f>
        <v>2342</v>
      </c>
      <c r="G240" s="238">
        <f>data!BD66</f>
        <v>12779</v>
      </c>
      <c r="H240" s="238">
        <f>data!BE66</f>
        <v>358355</v>
      </c>
      <c r="I240" s="238">
        <f>data!BF66</f>
        <v>9426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13961</v>
      </c>
      <c r="E241" s="238">
        <f>data!BB67</f>
        <v>0</v>
      </c>
      <c r="F241" s="238">
        <f>data!BC67</f>
        <v>0</v>
      </c>
      <c r="G241" s="238">
        <f>data!BD67</f>
        <v>15549</v>
      </c>
      <c r="H241" s="238">
        <f>data!BE67</f>
        <v>499748</v>
      </c>
      <c r="I241" s="238">
        <f>data!BF67</f>
        <v>8228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153985</v>
      </c>
      <c r="E245" s="238">
        <f>data!BB85</f>
        <v>0</v>
      </c>
      <c r="F245" s="238">
        <f>data!BC85</f>
        <v>61316</v>
      </c>
      <c r="G245" s="238">
        <f>data!BD85</f>
        <v>224793</v>
      </c>
      <c r="H245" s="238">
        <f>data!BE85</f>
        <v>1972179</v>
      </c>
      <c r="I245" s="238">
        <f>data!BF85</f>
        <v>623391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677</v>
      </c>
      <c r="E252" s="254">
        <f>data!BB90</f>
        <v>0</v>
      </c>
      <c r="F252" s="254">
        <f>data!BC90</f>
        <v>0</v>
      </c>
      <c r="G252" s="254">
        <f>data!BD90</f>
        <v>754</v>
      </c>
      <c r="H252" s="254">
        <f>data!BE90</f>
        <v>24234</v>
      </c>
      <c r="I252" s="254">
        <f>data!BF90</f>
        <v>399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28181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Arbor Health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1</v>
      </c>
      <c r="D266" s="245">
        <f>data!BH60</f>
        <v>8</v>
      </c>
      <c r="E266" s="245">
        <f>data!BI60</f>
        <v>0</v>
      </c>
      <c r="F266" s="245">
        <f>data!BJ60</f>
        <v>4</v>
      </c>
      <c r="G266" s="245">
        <f>data!BK60</f>
        <v>10</v>
      </c>
      <c r="H266" s="245">
        <f>data!BL60</f>
        <v>11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94271</v>
      </c>
      <c r="D267" s="238">
        <f>data!BH61</f>
        <v>763296</v>
      </c>
      <c r="E267" s="238">
        <f>data!BI61</f>
        <v>0</v>
      </c>
      <c r="F267" s="238">
        <f>data!BJ61</f>
        <v>326962</v>
      </c>
      <c r="G267" s="238">
        <f>data!BK61</f>
        <v>800192</v>
      </c>
      <c r="H267" s="238">
        <f>data!BL61</f>
        <v>580707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24417</v>
      </c>
      <c r="D268" s="238">
        <f>data!BH62</f>
        <v>173343</v>
      </c>
      <c r="E268" s="238">
        <f>data!BI62</f>
        <v>0</v>
      </c>
      <c r="F268" s="238">
        <f>data!BJ62</f>
        <v>77682</v>
      </c>
      <c r="G268" s="238">
        <f>data!BK62</f>
        <v>180060</v>
      </c>
      <c r="H268" s="238">
        <f>data!BL62</f>
        <v>129308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96677</v>
      </c>
      <c r="G269" s="238">
        <f>data!BK63</f>
        <v>199278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32835</v>
      </c>
      <c r="D270" s="238">
        <f>data!BH64</f>
        <v>173452</v>
      </c>
      <c r="E270" s="238">
        <f>data!BI64</f>
        <v>0</v>
      </c>
      <c r="F270" s="238">
        <f>data!BJ64</f>
        <v>16331</v>
      </c>
      <c r="G270" s="238">
        <f>data!BK64</f>
        <v>3654</v>
      </c>
      <c r="H270" s="238">
        <f>data!BL64</f>
        <v>6104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107987</v>
      </c>
      <c r="E271" s="238">
        <f>data!BI65</f>
        <v>0</v>
      </c>
      <c r="F271" s="238">
        <f>data!BJ65</f>
        <v>0</v>
      </c>
      <c r="G271" s="238">
        <f>data!BK65</f>
        <v>5619</v>
      </c>
      <c r="H271" s="238">
        <f>data!BL65</f>
        <v>7231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342657</v>
      </c>
      <c r="D272" s="238">
        <f>data!BH66</f>
        <v>1214758</v>
      </c>
      <c r="E272" s="238">
        <f>data!BI66</f>
        <v>0</v>
      </c>
      <c r="F272" s="238">
        <f>data!BJ66</f>
        <v>7924</v>
      </c>
      <c r="G272" s="238">
        <f>data!BK66</f>
        <v>107951</v>
      </c>
      <c r="H272" s="238">
        <f>data!BL66</f>
        <v>668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9404</v>
      </c>
      <c r="D273" s="238">
        <f>data!BH67</f>
        <v>1650</v>
      </c>
      <c r="E273" s="238">
        <f>data!BI67</f>
        <v>0</v>
      </c>
      <c r="F273" s="238">
        <f>data!BJ67</f>
        <v>28252</v>
      </c>
      <c r="G273" s="238">
        <f>data!BK67</f>
        <v>28252</v>
      </c>
      <c r="H273" s="238">
        <f>data!BL67</f>
        <v>12703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503584</v>
      </c>
      <c r="D277" s="238">
        <f>data!BH85</f>
        <v>2434486</v>
      </c>
      <c r="E277" s="238">
        <f>data!BI85</f>
        <v>0</v>
      </c>
      <c r="F277" s="238">
        <f>data!BJ85</f>
        <v>553828</v>
      </c>
      <c r="G277" s="238">
        <f>data!BK85</f>
        <v>1325006</v>
      </c>
      <c r="H277" s="238">
        <f>data!BL85</f>
        <v>736721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456</v>
      </c>
      <c r="D284" s="254">
        <f>data!BH90</f>
        <v>80</v>
      </c>
      <c r="E284" s="254">
        <f>data!BI90</f>
        <v>0</v>
      </c>
      <c r="F284" s="254">
        <f>data!BJ90</f>
        <v>1370</v>
      </c>
      <c r="G284" s="254">
        <f>data!BK90</f>
        <v>1370</v>
      </c>
      <c r="H284" s="254">
        <f>data!BL90</f>
        <v>616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Arbor Health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3</v>
      </c>
      <c r="D298" s="245">
        <f>data!BO60</f>
        <v>1</v>
      </c>
      <c r="E298" s="245">
        <f>data!BP60</f>
        <v>0</v>
      </c>
      <c r="F298" s="245">
        <f>data!BQ60</f>
        <v>0</v>
      </c>
      <c r="G298" s="245">
        <f>data!BR60</f>
        <v>4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790392</v>
      </c>
      <c r="D299" s="238">
        <f>data!BO61</f>
        <v>69601</v>
      </c>
      <c r="E299" s="238">
        <f>data!BP61</f>
        <v>0</v>
      </c>
      <c r="F299" s="238">
        <f>data!BQ61</f>
        <v>0</v>
      </c>
      <c r="G299" s="238">
        <f>data!BR61</f>
        <v>407982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176651</v>
      </c>
      <c r="D300" s="238">
        <f>data!BO62</f>
        <v>18119</v>
      </c>
      <c r="E300" s="238">
        <f>data!BP62</f>
        <v>0</v>
      </c>
      <c r="F300" s="238">
        <f>data!BQ62</f>
        <v>0</v>
      </c>
      <c r="G300" s="238">
        <f>data!BR62</f>
        <v>104204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22349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26307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8846</v>
      </c>
      <c r="D302" s="238">
        <f>data!BO64</f>
        <v>9910</v>
      </c>
      <c r="E302" s="238">
        <f>data!BP64</f>
        <v>0</v>
      </c>
      <c r="F302" s="238">
        <f>data!BQ64</f>
        <v>0</v>
      </c>
      <c r="G302" s="238">
        <f>data!BR64</f>
        <v>3096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2316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121815</v>
      </c>
      <c r="D304" s="238">
        <f>data!BO66</f>
        <v>15652</v>
      </c>
      <c r="E304" s="238">
        <f>data!BP66</f>
        <v>0</v>
      </c>
      <c r="F304" s="238">
        <f>data!BQ66</f>
        <v>0</v>
      </c>
      <c r="G304" s="238">
        <f>data!BR66</f>
        <v>83461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18374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11589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0</v>
      </c>
      <c r="D307" s="238">
        <f>data!BO69</f>
        <v>64203</v>
      </c>
      <c r="E307" s="238">
        <f>data!BP69</f>
        <v>0</v>
      </c>
      <c r="F307" s="238">
        <f>data!BQ69</f>
        <v>0</v>
      </c>
      <c r="G307" s="238">
        <f>data!BR69</f>
        <v>61082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1138427</v>
      </c>
      <c r="D309" s="238">
        <f>data!BO85</f>
        <v>177485</v>
      </c>
      <c r="E309" s="238">
        <f>data!BP85</f>
        <v>0</v>
      </c>
      <c r="F309" s="238">
        <f>data!BQ85</f>
        <v>0</v>
      </c>
      <c r="G309" s="238">
        <f>data!BR85</f>
        <v>700037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891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562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Arbor Health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5</v>
      </c>
      <c r="E330" s="245">
        <f>data!BW60</f>
        <v>0</v>
      </c>
      <c r="F330" s="245">
        <f>data!BX60</f>
        <v>0.3</v>
      </c>
      <c r="G330" s="245">
        <f>data!BY60</f>
        <v>5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489999</v>
      </c>
      <c r="E331" s="257">
        <f>data!BW61</f>
        <v>0</v>
      </c>
      <c r="F331" s="257">
        <f>data!BX61</f>
        <v>141071</v>
      </c>
      <c r="G331" s="257">
        <f>data!BY61</f>
        <v>561385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79785</v>
      </c>
      <c r="E332" s="257">
        <f>data!BW62</f>
        <v>0</v>
      </c>
      <c r="F332" s="257">
        <f>data!BX62</f>
        <v>37784</v>
      </c>
      <c r="G332" s="257">
        <f>data!BY62</f>
        <v>139332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429</v>
      </c>
      <c r="E334" s="257">
        <f>data!BW64</f>
        <v>0</v>
      </c>
      <c r="F334" s="257">
        <f>data!BX64</f>
        <v>29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32126</v>
      </c>
      <c r="E336" s="257">
        <f>data!BW66</f>
        <v>0</v>
      </c>
      <c r="F336" s="257">
        <f>data!BX66</f>
        <v>4359</v>
      </c>
      <c r="G336" s="257">
        <f>data!BY66</f>
        <v>26952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23385</v>
      </c>
      <c r="E337" s="257">
        <f>data!BW67</f>
        <v>0</v>
      </c>
      <c r="F337" s="257">
        <f>data!BX67</f>
        <v>0</v>
      </c>
      <c r="G337" s="257">
        <f>data!BY67</f>
        <v>14580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625724</v>
      </c>
      <c r="E341" s="238">
        <f>data!BW85</f>
        <v>0</v>
      </c>
      <c r="F341" s="238">
        <f>data!BX85</f>
        <v>183243</v>
      </c>
      <c r="G341" s="238">
        <f>data!BY85</f>
        <v>742249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1134</v>
      </c>
      <c r="E348" s="254">
        <f>data!BW90</f>
        <v>0</v>
      </c>
      <c r="F348" s="254">
        <f>data!BX90</f>
        <v>0</v>
      </c>
      <c r="G348" s="254">
        <f>data!BY90</f>
        <v>707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Arbor Health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27</v>
      </c>
      <c r="E362" s="260"/>
      <c r="F362" s="248"/>
      <c r="G362" s="248"/>
      <c r="H362" s="248"/>
      <c r="I362" s="261">
        <f>data!CE60</f>
        <v>228.3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108057</v>
      </c>
      <c r="E363" s="262"/>
      <c r="F363" s="262"/>
      <c r="G363" s="262"/>
      <c r="H363" s="262"/>
      <c r="I363" s="257">
        <f>data!CE61</f>
        <v>25053354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37619</v>
      </c>
      <c r="E364" s="262"/>
      <c r="F364" s="262"/>
      <c r="G364" s="262"/>
      <c r="H364" s="262"/>
      <c r="I364" s="257">
        <f>data!CE62</f>
        <v>5214059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4185</v>
      </c>
      <c r="E365" s="262"/>
      <c r="F365" s="262"/>
      <c r="G365" s="262"/>
      <c r="H365" s="262"/>
      <c r="I365" s="257">
        <f>data!CE63</f>
        <v>392417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23851</v>
      </c>
      <c r="E366" s="262"/>
      <c r="F366" s="262"/>
      <c r="G366" s="262"/>
      <c r="H366" s="262"/>
      <c r="I366" s="257">
        <f>data!CE64</f>
        <v>3386583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439580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4670</v>
      </c>
      <c r="D368" s="257">
        <f>data!CC66</f>
        <v>308006</v>
      </c>
      <c r="E368" s="262"/>
      <c r="F368" s="262"/>
      <c r="G368" s="262"/>
      <c r="H368" s="262"/>
      <c r="I368" s="257">
        <f>data!CE66</f>
        <v>4583893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1617574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0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1581100</v>
      </c>
      <c r="E371" s="257">
        <f>data!CD69</f>
        <v>0</v>
      </c>
      <c r="F371" s="262"/>
      <c r="G371" s="262"/>
      <c r="H371" s="262"/>
      <c r="I371" s="257">
        <f>data!CE69</f>
        <v>1744188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4670</v>
      </c>
      <c r="D373" s="257">
        <f>data!CC85</f>
        <v>2062818</v>
      </c>
      <c r="E373" s="257">
        <f>data!CD85</f>
        <v>0</v>
      </c>
      <c r="F373" s="262"/>
      <c r="G373" s="262"/>
      <c r="H373" s="262"/>
      <c r="I373" s="238">
        <f>data!CE85</f>
        <v>42431648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9745112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59232667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68977779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78440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28181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17000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110000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14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40" transitionEvaluation="1" transitionEntry="1" codeName="Sheet1">
    <tabColor rgb="FF92D050"/>
    <pageSetUpPr autoPageBreaks="0" fitToPage="1"/>
  </sheetPr>
  <dimension ref="A1:CF716"/>
  <sheetViews>
    <sheetView topLeftCell="A140" zoomScaleNormal="100" workbookViewId="0">
      <selection activeCell="B173" sqref="B17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179180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14618</v>
      </c>
      <c r="Q47" s="273">
        <v>0</v>
      </c>
      <c r="R47" s="273">
        <v>53784</v>
      </c>
      <c r="S47" s="273">
        <v>3235</v>
      </c>
      <c r="T47" s="273">
        <v>0</v>
      </c>
      <c r="U47" s="273">
        <v>50108</v>
      </c>
      <c r="V47" s="273">
        <v>0</v>
      </c>
      <c r="W47" s="273">
        <v>0</v>
      </c>
      <c r="X47" s="273">
        <v>0</v>
      </c>
      <c r="Y47" s="273">
        <v>102776</v>
      </c>
      <c r="Z47" s="273">
        <v>0</v>
      </c>
      <c r="AA47" s="273">
        <v>0</v>
      </c>
      <c r="AB47" s="273">
        <v>25877</v>
      </c>
      <c r="AC47" s="273">
        <v>21209</v>
      </c>
      <c r="AD47" s="273">
        <v>0</v>
      </c>
      <c r="AE47" s="273">
        <v>92623</v>
      </c>
      <c r="AF47" s="273">
        <v>0</v>
      </c>
      <c r="AG47" s="273">
        <v>205647</v>
      </c>
      <c r="AH47" s="273">
        <v>0</v>
      </c>
      <c r="AI47" s="273">
        <v>0</v>
      </c>
      <c r="AJ47" s="273">
        <v>399889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18576</v>
      </c>
      <c r="AW47" s="273">
        <v>0</v>
      </c>
      <c r="AX47" s="273">
        <v>0</v>
      </c>
      <c r="AY47" s="273">
        <v>41107</v>
      </c>
      <c r="AZ47" s="273">
        <v>0</v>
      </c>
      <c r="BA47" s="273">
        <v>4083</v>
      </c>
      <c r="BB47" s="273">
        <v>0</v>
      </c>
      <c r="BC47" s="273">
        <v>0</v>
      </c>
      <c r="BD47" s="273">
        <v>16845</v>
      </c>
      <c r="BE47" s="273">
        <v>44312</v>
      </c>
      <c r="BF47" s="273">
        <v>40542</v>
      </c>
      <c r="BG47" s="273">
        <v>12943</v>
      </c>
      <c r="BH47" s="273">
        <v>56255</v>
      </c>
      <c r="BI47" s="273">
        <v>0</v>
      </c>
      <c r="BJ47" s="273">
        <v>31478</v>
      </c>
      <c r="BK47" s="273">
        <v>70168</v>
      </c>
      <c r="BL47" s="273">
        <v>43628</v>
      </c>
      <c r="BM47" s="273">
        <v>0</v>
      </c>
      <c r="BN47" s="273">
        <v>89707</v>
      </c>
      <c r="BO47" s="273">
        <v>8418</v>
      </c>
      <c r="BP47" s="273">
        <v>0</v>
      </c>
      <c r="BQ47" s="273">
        <v>0</v>
      </c>
      <c r="BR47" s="273">
        <v>51562</v>
      </c>
      <c r="BS47" s="273">
        <v>0</v>
      </c>
      <c r="BT47" s="273">
        <v>0</v>
      </c>
      <c r="BU47" s="273">
        <v>0</v>
      </c>
      <c r="BV47" s="273">
        <v>15766</v>
      </c>
      <c r="BW47" s="273">
        <v>0</v>
      </c>
      <c r="BX47" s="273">
        <v>36309</v>
      </c>
      <c r="BY47" s="273">
        <v>56818</v>
      </c>
      <c r="BZ47" s="273">
        <v>0</v>
      </c>
      <c r="CA47" s="273">
        <v>0</v>
      </c>
      <c r="CB47" s="273">
        <v>0</v>
      </c>
      <c r="CC47" s="273">
        <v>5047</v>
      </c>
      <c r="CD47" s="16"/>
      <c r="CE47" s="25">
        <v>1792510</v>
      </c>
    </row>
    <row r="48" spans="1:83" x14ac:dyDescent="0.25">
      <c r="A48" s="25" t="s">
        <v>231</v>
      </c>
      <c r="B48" s="272">
        <v>2660377</v>
      </c>
      <c r="C48" s="25">
        <v>0</v>
      </c>
      <c r="D48" s="25">
        <v>0</v>
      </c>
      <c r="E48" s="25">
        <v>279185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155193</v>
      </c>
      <c r="Q48" s="25">
        <v>0</v>
      </c>
      <c r="R48" s="25">
        <v>59659</v>
      </c>
      <c r="S48" s="25">
        <v>5425</v>
      </c>
      <c r="T48" s="25">
        <v>0</v>
      </c>
      <c r="U48" s="25">
        <v>117184</v>
      </c>
      <c r="V48" s="25">
        <v>0</v>
      </c>
      <c r="W48" s="25">
        <v>0</v>
      </c>
      <c r="X48" s="25">
        <v>0</v>
      </c>
      <c r="Y48" s="25">
        <v>150104</v>
      </c>
      <c r="Z48" s="25">
        <v>0</v>
      </c>
      <c r="AA48" s="25">
        <v>0</v>
      </c>
      <c r="AB48" s="25">
        <v>43089</v>
      </c>
      <c r="AC48" s="25">
        <v>39193</v>
      </c>
      <c r="AD48" s="25">
        <v>0</v>
      </c>
      <c r="AE48" s="25">
        <v>164022</v>
      </c>
      <c r="AF48" s="25">
        <v>0</v>
      </c>
      <c r="AG48" s="25">
        <v>335744</v>
      </c>
      <c r="AH48" s="25">
        <v>0</v>
      </c>
      <c r="AI48" s="25">
        <v>0</v>
      </c>
      <c r="AJ48" s="25">
        <v>576442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32185</v>
      </c>
      <c r="AW48" s="25">
        <v>0</v>
      </c>
      <c r="AX48" s="25">
        <v>0</v>
      </c>
      <c r="AY48" s="25">
        <v>46781</v>
      </c>
      <c r="AZ48" s="25">
        <v>0</v>
      </c>
      <c r="BA48" s="25">
        <v>5032</v>
      </c>
      <c r="BB48" s="25">
        <v>0</v>
      </c>
      <c r="BC48" s="25">
        <v>0</v>
      </c>
      <c r="BD48" s="25">
        <v>21258</v>
      </c>
      <c r="BE48" s="25">
        <v>55363</v>
      </c>
      <c r="BF48" s="25">
        <v>51436</v>
      </c>
      <c r="BG48" s="25">
        <v>10708</v>
      </c>
      <c r="BH48" s="25">
        <v>67677</v>
      </c>
      <c r="BI48" s="25">
        <v>0</v>
      </c>
      <c r="BJ48" s="25">
        <v>30661</v>
      </c>
      <c r="BK48" s="25">
        <v>74004</v>
      </c>
      <c r="BL48" s="25">
        <v>51763</v>
      </c>
      <c r="BM48" s="25">
        <v>0</v>
      </c>
      <c r="BN48" s="25">
        <v>91097</v>
      </c>
      <c r="BO48" s="25">
        <v>7505</v>
      </c>
      <c r="BP48" s="25">
        <v>0</v>
      </c>
      <c r="BQ48" s="25">
        <v>0</v>
      </c>
      <c r="BR48" s="25">
        <v>43794</v>
      </c>
      <c r="BS48" s="25">
        <v>0</v>
      </c>
      <c r="BT48" s="25">
        <v>0</v>
      </c>
      <c r="BU48" s="25">
        <v>0</v>
      </c>
      <c r="BV48" s="25">
        <v>23049</v>
      </c>
      <c r="BW48" s="25">
        <v>0</v>
      </c>
      <c r="BX48" s="25">
        <v>32280</v>
      </c>
      <c r="BY48" s="25">
        <v>84417</v>
      </c>
      <c r="BZ48" s="25">
        <v>0</v>
      </c>
      <c r="CA48" s="25">
        <v>0</v>
      </c>
      <c r="CB48" s="25">
        <v>0</v>
      </c>
      <c r="CC48" s="25">
        <v>6127</v>
      </c>
      <c r="CD48" s="25" t="s">
        <v>1058</v>
      </c>
      <c r="CE48" s="25" t="s">
        <v>1058</v>
      </c>
    </row>
    <row r="49" spans="1:83" x14ac:dyDescent="0.25">
      <c r="A49" s="16" t="s">
        <v>232</v>
      </c>
      <c r="B49" s="25">
        <v>2660377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</row>
    <row r="52" spans="1:83" x14ac:dyDescent="0.25">
      <c r="A52" s="31" t="s">
        <v>234</v>
      </c>
      <c r="B52" s="328">
        <v>1499968</v>
      </c>
      <c r="C52" s="25">
        <v>0</v>
      </c>
      <c r="D52" s="25">
        <v>0</v>
      </c>
      <c r="E52" s="25">
        <v>350573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24783</v>
      </c>
      <c r="Q52" s="25">
        <v>0</v>
      </c>
      <c r="R52" s="25">
        <v>0</v>
      </c>
      <c r="S52" s="25">
        <v>0</v>
      </c>
      <c r="T52" s="25">
        <v>0</v>
      </c>
      <c r="U52" s="25">
        <v>20136</v>
      </c>
      <c r="V52" s="25">
        <v>0</v>
      </c>
      <c r="W52" s="25">
        <v>0</v>
      </c>
      <c r="X52" s="25">
        <v>0</v>
      </c>
      <c r="Y52" s="25">
        <v>46907</v>
      </c>
      <c r="Z52" s="25">
        <v>0</v>
      </c>
      <c r="AA52" s="25">
        <v>0</v>
      </c>
      <c r="AB52" s="25">
        <v>9523</v>
      </c>
      <c r="AC52" s="25">
        <v>18970</v>
      </c>
      <c r="AD52" s="25">
        <v>0</v>
      </c>
      <c r="AE52" s="25">
        <v>54040</v>
      </c>
      <c r="AF52" s="25">
        <v>0</v>
      </c>
      <c r="AG52" s="25">
        <v>67655</v>
      </c>
      <c r="AH52" s="25">
        <v>0</v>
      </c>
      <c r="AI52" s="25">
        <v>0</v>
      </c>
      <c r="AJ52" s="25">
        <v>154357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63353</v>
      </c>
      <c r="AW52" s="25">
        <v>0</v>
      </c>
      <c r="AX52" s="25">
        <v>0</v>
      </c>
      <c r="AY52" s="25">
        <v>53849</v>
      </c>
      <c r="AZ52" s="25">
        <v>0</v>
      </c>
      <c r="BA52" s="25">
        <v>12946</v>
      </c>
      <c r="BB52" s="25">
        <v>0</v>
      </c>
      <c r="BC52" s="25">
        <v>0</v>
      </c>
      <c r="BD52" s="25">
        <v>14418</v>
      </c>
      <c r="BE52" s="25">
        <v>463414</v>
      </c>
      <c r="BF52" s="25">
        <v>7630</v>
      </c>
      <c r="BG52" s="25">
        <v>8720</v>
      </c>
      <c r="BH52" s="25">
        <v>1530</v>
      </c>
      <c r="BI52" s="25">
        <v>0</v>
      </c>
      <c r="BJ52" s="25">
        <v>26198</v>
      </c>
      <c r="BK52" s="25">
        <v>26198</v>
      </c>
      <c r="BL52" s="25">
        <v>11779</v>
      </c>
      <c r="BM52" s="25">
        <v>0</v>
      </c>
      <c r="BN52" s="25">
        <v>17038</v>
      </c>
      <c r="BO52" s="25">
        <v>0</v>
      </c>
      <c r="BP52" s="25">
        <v>0</v>
      </c>
      <c r="BQ52" s="25">
        <v>0</v>
      </c>
      <c r="BR52" s="25">
        <v>10747</v>
      </c>
      <c r="BS52" s="25">
        <v>0</v>
      </c>
      <c r="BT52" s="25">
        <v>0</v>
      </c>
      <c r="BU52" s="25">
        <v>0</v>
      </c>
      <c r="BV52" s="25">
        <v>21685</v>
      </c>
      <c r="BW52" s="25">
        <v>0</v>
      </c>
      <c r="BX52" s="25">
        <v>0</v>
      </c>
      <c r="BY52" s="25">
        <v>13520</v>
      </c>
      <c r="BZ52" s="25">
        <v>0</v>
      </c>
      <c r="CA52" s="25">
        <v>0</v>
      </c>
      <c r="CB52" s="25">
        <v>0</v>
      </c>
      <c r="CC52" s="25">
        <v>0</v>
      </c>
      <c r="CD52" s="25" t="s">
        <v>1058</v>
      </c>
      <c r="CE52" s="25" t="s">
        <v>1058</v>
      </c>
    </row>
    <row r="53" spans="1:83" x14ac:dyDescent="0.25">
      <c r="A53" s="16" t="s">
        <v>232</v>
      </c>
      <c r="B53" s="25">
        <v>1499968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503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902</v>
      </c>
      <c r="M59" s="273">
        <v>0</v>
      </c>
      <c r="N59" s="273">
        <v>0</v>
      </c>
      <c r="O59" s="273">
        <v>0</v>
      </c>
      <c r="P59" s="329">
        <v>40501</v>
      </c>
      <c r="Q59" s="329">
        <v>0</v>
      </c>
      <c r="R59" s="329">
        <v>42139</v>
      </c>
      <c r="S59" s="330">
        <v>0</v>
      </c>
      <c r="T59" s="330">
        <v>0</v>
      </c>
      <c r="U59" s="331">
        <v>46906</v>
      </c>
      <c r="V59" s="329">
        <v>0</v>
      </c>
      <c r="W59" s="329">
        <v>417</v>
      </c>
      <c r="X59" s="329">
        <v>2534</v>
      </c>
      <c r="Y59" s="329">
        <v>5267</v>
      </c>
      <c r="Z59" s="329">
        <v>0</v>
      </c>
      <c r="AA59" s="329">
        <v>53</v>
      </c>
      <c r="AB59" s="330">
        <v>0</v>
      </c>
      <c r="AC59" s="329">
        <v>3815</v>
      </c>
      <c r="AD59" s="329">
        <v>0</v>
      </c>
      <c r="AE59" s="329">
        <v>26935</v>
      </c>
      <c r="AF59" s="329">
        <v>0</v>
      </c>
      <c r="AG59" s="329">
        <v>5474</v>
      </c>
      <c r="AH59" s="329">
        <v>0</v>
      </c>
      <c r="AI59" s="329">
        <v>0</v>
      </c>
      <c r="AJ59" s="329">
        <v>26228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22575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78440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19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2">
        <v>7</v>
      </c>
      <c r="Q60" s="332">
        <v>0</v>
      </c>
      <c r="R60" s="332">
        <v>1</v>
      </c>
      <c r="S60" s="278">
        <v>2</v>
      </c>
      <c r="T60" s="278">
        <v>0</v>
      </c>
      <c r="U60" s="333">
        <v>8</v>
      </c>
      <c r="V60" s="332">
        <v>0</v>
      </c>
      <c r="W60" s="332">
        <v>0</v>
      </c>
      <c r="X60" s="332">
        <v>0</v>
      </c>
      <c r="Y60" s="332">
        <v>10</v>
      </c>
      <c r="Z60" s="332">
        <v>0</v>
      </c>
      <c r="AA60" s="332">
        <v>0</v>
      </c>
      <c r="AB60" s="278">
        <v>0</v>
      </c>
      <c r="AC60" s="332">
        <v>3</v>
      </c>
      <c r="AD60" s="332">
        <v>0</v>
      </c>
      <c r="AE60" s="332">
        <v>13</v>
      </c>
      <c r="AF60" s="332">
        <v>0</v>
      </c>
      <c r="AG60" s="332">
        <v>16</v>
      </c>
      <c r="AH60" s="332">
        <v>0</v>
      </c>
      <c r="AI60" s="332">
        <v>0</v>
      </c>
      <c r="AJ60" s="332">
        <v>47</v>
      </c>
      <c r="AK60" s="332">
        <v>0</v>
      </c>
      <c r="AL60" s="332">
        <v>0</v>
      </c>
      <c r="AM60" s="332">
        <v>0</v>
      </c>
      <c r="AN60" s="332">
        <v>0</v>
      </c>
      <c r="AO60" s="332">
        <v>0</v>
      </c>
      <c r="AP60" s="332">
        <v>0</v>
      </c>
      <c r="AQ60" s="332">
        <v>0</v>
      </c>
      <c r="AR60" s="332">
        <v>0</v>
      </c>
      <c r="AS60" s="332">
        <v>0</v>
      </c>
      <c r="AT60" s="332">
        <v>0</v>
      </c>
      <c r="AU60" s="332">
        <v>0</v>
      </c>
      <c r="AV60" s="278">
        <v>0</v>
      </c>
      <c r="AW60" s="278">
        <v>0</v>
      </c>
      <c r="AX60" s="278">
        <v>0</v>
      </c>
      <c r="AY60" s="332">
        <v>8</v>
      </c>
      <c r="AZ60" s="332">
        <v>0</v>
      </c>
      <c r="BA60" s="278">
        <v>1</v>
      </c>
      <c r="BB60" s="278">
        <v>0</v>
      </c>
      <c r="BC60" s="278">
        <v>0</v>
      </c>
      <c r="BD60" s="278">
        <v>4</v>
      </c>
      <c r="BE60" s="332">
        <v>6</v>
      </c>
      <c r="BF60" s="278">
        <v>10</v>
      </c>
      <c r="BG60" s="278">
        <v>1</v>
      </c>
      <c r="BH60" s="278">
        <v>6</v>
      </c>
      <c r="BI60" s="278">
        <v>0</v>
      </c>
      <c r="BJ60" s="278">
        <v>3</v>
      </c>
      <c r="BK60" s="278">
        <v>10</v>
      </c>
      <c r="BL60" s="278">
        <v>9</v>
      </c>
      <c r="BM60" s="278">
        <v>0</v>
      </c>
      <c r="BN60" s="278">
        <v>4</v>
      </c>
      <c r="BO60" s="278">
        <v>1</v>
      </c>
      <c r="BP60" s="278">
        <v>0</v>
      </c>
      <c r="BQ60" s="278">
        <v>0</v>
      </c>
      <c r="BR60" s="278">
        <v>4</v>
      </c>
      <c r="BS60" s="278">
        <v>0</v>
      </c>
      <c r="BT60" s="278">
        <v>0</v>
      </c>
      <c r="BU60" s="278">
        <v>0</v>
      </c>
      <c r="BV60" s="278">
        <v>4</v>
      </c>
      <c r="BW60" s="278">
        <v>0</v>
      </c>
      <c r="BX60" s="278">
        <v>2</v>
      </c>
      <c r="BY60" s="278">
        <v>5</v>
      </c>
      <c r="BZ60" s="278">
        <v>0</v>
      </c>
      <c r="CA60" s="278">
        <v>0</v>
      </c>
      <c r="CB60" s="278">
        <v>0</v>
      </c>
      <c r="CC60" s="278">
        <v>1</v>
      </c>
      <c r="CD60" s="209" t="s">
        <v>247</v>
      </c>
      <c r="CE60" s="227">
        <v>205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2355588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29">
        <v>1309426</v>
      </c>
      <c r="Q61" s="329">
        <v>0</v>
      </c>
      <c r="R61" s="329">
        <v>503369</v>
      </c>
      <c r="S61" s="280">
        <v>45770</v>
      </c>
      <c r="T61" s="280">
        <v>0</v>
      </c>
      <c r="U61" s="331">
        <v>988727</v>
      </c>
      <c r="V61" s="329">
        <v>0</v>
      </c>
      <c r="W61" s="329">
        <v>0</v>
      </c>
      <c r="X61" s="329">
        <v>0</v>
      </c>
      <c r="Y61" s="329">
        <v>1266485</v>
      </c>
      <c r="Z61" s="329">
        <v>0</v>
      </c>
      <c r="AA61" s="329">
        <v>0</v>
      </c>
      <c r="AB61" s="281">
        <v>363556</v>
      </c>
      <c r="AC61" s="329">
        <v>330689</v>
      </c>
      <c r="AD61" s="329">
        <v>0</v>
      </c>
      <c r="AE61" s="329">
        <v>1383919</v>
      </c>
      <c r="AF61" s="329">
        <v>0</v>
      </c>
      <c r="AG61" s="329">
        <v>2832800</v>
      </c>
      <c r="AH61" s="329">
        <v>0</v>
      </c>
      <c r="AI61" s="329">
        <v>0</v>
      </c>
      <c r="AJ61" s="329">
        <v>4863660</v>
      </c>
      <c r="AK61" s="329">
        <v>0</v>
      </c>
      <c r="AL61" s="329">
        <v>0</v>
      </c>
      <c r="AM61" s="329">
        <v>0</v>
      </c>
      <c r="AN61" s="329">
        <v>0</v>
      </c>
      <c r="AO61" s="329">
        <v>0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271561</v>
      </c>
      <c r="AW61" s="280">
        <v>0</v>
      </c>
      <c r="AX61" s="280">
        <v>0</v>
      </c>
      <c r="AY61" s="329">
        <v>394705</v>
      </c>
      <c r="AZ61" s="329">
        <v>0</v>
      </c>
      <c r="BA61" s="280">
        <v>42455</v>
      </c>
      <c r="BB61" s="280">
        <v>0</v>
      </c>
      <c r="BC61" s="280">
        <v>0</v>
      </c>
      <c r="BD61" s="280">
        <v>179358</v>
      </c>
      <c r="BE61" s="329">
        <v>467118</v>
      </c>
      <c r="BF61" s="280">
        <v>433989</v>
      </c>
      <c r="BG61" s="280">
        <v>90345</v>
      </c>
      <c r="BH61" s="280">
        <v>571017</v>
      </c>
      <c r="BI61" s="280">
        <v>0</v>
      </c>
      <c r="BJ61" s="280">
        <v>258695</v>
      </c>
      <c r="BK61" s="280">
        <v>624403</v>
      </c>
      <c r="BL61" s="280">
        <v>436740</v>
      </c>
      <c r="BM61" s="280">
        <v>0</v>
      </c>
      <c r="BN61" s="280">
        <v>768616</v>
      </c>
      <c r="BO61" s="280">
        <v>63320</v>
      </c>
      <c r="BP61" s="280">
        <v>0</v>
      </c>
      <c r="BQ61" s="280">
        <v>0</v>
      </c>
      <c r="BR61" s="280">
        <v>369504</v>
      </c>
      <c r="BS61" s="280">
        <v>0</v>
      </c>
      <c r="BT61" s="280">
        <v>0</v>
      </c>
      <c r="BU61" s="280">
        <v>0</v>
      </c>
      <c r="BV61" s="280">
        <v>194470</v>
      </c>
      <c r="BW61" s="280">
        <v>0</v>
      </c>
      <c r="BX61" s="280">
        <v>272360</v>
      </c>
      <c r="BY61" s="280">
        <v>712259</v>
      </c>
      <c r="BZ61" s="280">
        <v>0</v>
      </c>
      <c r="CA61" s="280">
        <v>0</v>
      </c>
      <c r="CB61" s="280">
        <v>0</v>
      </c>
      <c r="CC61" s="280">
        <v>51699</v>
      </c>
      <c r="CD61" s="24" t="s">
        <v>247</v>
      </c>
      <c r="CE61" s="25">
        <v>22446603</v>
      </c>
    </row>
    <row r="62" spans="1:83" x14ac:dyDescent="0.25">
      <c r="A62" s="31" t="s">
        <v>10</v>
      </c>
      <c r="B62" s="16"/>
      <c r="C62" s="25">
        <v>0</v>
      </c>
      <c r="D62" s="25">
        <v>0</v>
      </c>
      <c r="E62" s="25">
        <v>458365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169811</v>
      </c>
      <c r="Q62" s="25">
        <v>0</v>
      </c>
      <c r="R62" s="25">
        <v>113443</v>
      </c>
      <c r="S62" s="25">
        <v>8660</v>
      </c>
      <c r="T62" s="25">
        <v>0</v>
      </c>
      <c r="U62" s="25">
        <v>167292</v>
      </c>
      <c r="V62" s="25">
        <v>0</v>
      </c>
      <c r="W62" s="25">
        <v>0</v>
      </c>
      <c r="X62" s="25">
        <v>0</v>
      </c>
      <c r="Y62" s="25">
        <v>252880</v>
      </c>
      <c r="Z62" s="25">
        <v>0</v>
      </c>
      <c r="AA62" s="25">
        <v>0</v>
      </c>
      <c r="AB62" s="25">
        <v>68966</v>
      </c>
      <c r="AC62" s="25">
        <v>60402</v>
      </c>
      <c r="AD62" s="25">
        <v>0</v>
      </c>
      <c r="AE62" s="25">
        <v>256645</v>
      </c>
      <c r="AF62" s="25">
        <v>0</v>
      </c>
      <c r="AG62" s="25">
        <v>541391</v>
      </c>
      <c r="AH62" s="25">
        <v>0</v>
      </c>
      <c r="AI62" s="25">
        <v>0</v>
      </c>
      <c r="AJ62" s="25">
        <v>976331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50761</v>
      </c>
      <c r="AW62" s="25">
        <v>0</v>
      </c>
      <c r="AX62" s="25">
        <v>0</v>
      </c>
      <c r="AY62" s="25">
        <v>87888</v>
      </c>
      <c r="AZ62" s="25">
        <v>0</v>
      </c>
      <c r="BA62" s="25">
        <v>9115</v>
      </c>
      <c r="BB62" s="25">
        <v>0</v>
      </c>
      <c r="BC62" s="25">
        <v>0</v>
      </c>
      <c r="BD62" s="25">
        <v>38103</v>
      </c>
      <c r="BE62" s="25">
        <v>99675</v>
      </c>
      <c r="BF62" s="25">
        <v>91978</v>
      </c>
      <c r="BG62" s="25">
        <v>23651</v>
      </c>
      <c r="BH62" s="25">
        <v>123932</v>
      </c>
      <c r="BI62" s="25">
        <v>0</v>
      </c>
      <c r="BJ62" s="25">
        <v>62139</v>
      </c>
      <c r="BK62" s="25">
        <v>144172</v>
      </c>
      <c r="BL62" s="25">
        <v>95391</v>
      </c>
      <c r="BM62" s="25">
        <v>0</v>
      </c>
      <c r="BN62" s="25">
        <v>180804</v>
      </c>
      <c r="BO62" s="25">
        <v>15923</v>
      </c>
      <c r="BP62" s="25">
        <v>0</v>
      </c>
      <c r="BQ62" s="25">
        <v>0</v>
      </c>
      <c r="BR62" s="25">
        <v>95356</v>
      </c>
      <c r="BS62" s="25">
        <v>0</v>
      </c>
      <c r="BT62" s="25">
        <v>0</v>
      </c>
      <c r="BU62" s="25">
        <v>0</v>
      </c>
      <c r="BV62" s="25">
        <v>38815</v>
      </c>
      <c r="BW62" s="25">
        <v>0</v>
      </c>
      <c r="BX62" s="25">
        <v>68589</v>
      </c>
      <c r="BY62" s="25">
        <v>141235</v>
      </c>
      <c r="BZ62" s="25">
        <v>0</v>
      </c>
      <c r="CA62" s="25">
        <v>0</v>
      </c>
      <c r="CB62" s="25">
        <v>0</v>
      </c>
      <c r="CC62" s="25">
        <v>11174</v>
      </c>
      <c r="CD62" s="24" t="s">
        <v>247</v>
      </c>
      <c r="CE62" s="25">
        <v>4452887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570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9">
        <v>660</v>
      </c>
      <c r="Q63" s="329">
        <v>0</v>
      </c>
      <c r="R63" s="329">
        <v>0</v>
      </c>
      <c r="S63" s="280">
        <v>0</v>
      </c>
      <c r="T63" s="280">
        <v>0</v>
      </c>
      <c r="U63" s="331">
        <v>0</v>
      </c>
      <c r="V63" s="329">
        <v>0</v>
      </c>
      <c r="W63" s="329">
        <v>0</v>
      </c>
      <c r="X63" s="329">
        <v>0</v>
      </c>
      <c r="Y63" s="329">
        <v>0</v>
      </c>
      <c r="Z63" s="329">
        <v>0</v>
      </c>
      <c r="AA63" s="329">
        <v>0</v>
      </c>
      <c r="AB63" s="281">
        <v>20310</v>
      </c>
      <c r="AC63" s="329">
        <v>4575</v>
      </c>
      <c r="AD63" s="329">
        <v>0</v>
      </c>
      <c r="AE63" s="329">
        <v>0</v>
      </c>
      <c r="AF63" s="329">
        <v>0</v>
      </c>
      <c r="AG63" s="329">
        <v>705252</v>
      </c>
      <c r="AH63" s="329">
        <v>0</v>
      </c>
      <c r="AI63" s="329">
        <v>0</v>
      </c>
      <c r="AJ63" s="329">
        <v>259928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434</v>
      </c>
      <c r="BF63" s="280">
        <v>0</v>
      </c>
      <c r="BG63" s="280">
        <v>0</v>
      </c>
      <c r="BH63" s="280">
        <v>0</v>
      </c>
      <c r="BI63" s="280">
        <v>0</v>
      </c>
      <c r="BJ63" s="280">
        <v>63893</v>
      </c>
      <c r="BK63" s="280">
        <v>305864</v>
      </c>
      <c r="BL63" s="280">
        <v>0</v>
      </c>
      <c r="BM63" s="280">
        <v>0</v>
      </c>
      <c r="BN63" s="280">
        <v>55524</v>
      </c>
      <c r="BO63" s="280">
        <v>0</v>
      </c>
      <c r="BP63" s="280">
        <v>0</v>
      </c>
      <c r="BQ63" s="280">
        <v>0</v>
      </c>
      <c r="BR63" s="280">
        <v>16884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5755</v>
      </c>
      <c r="BY63" s="280">
        <v>13410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1453059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78945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29">
        <v>638753</v>
      </c>
      <c r="Q64" s="329">
        <v>0</v>
      </c>
      <c r="R64" s="329">
        <v>11809</v>
      </c>
      <c r="S64" s="280">
        <v>22388</v>
      </c>
      <c r="T64" s="280">
        <v>0</v>
      </c>
      <c r="U64" s="331">
        <v>451919</v>
      </c>
      <c r="V64" s="329">
        <v>0</v>
      </c>
      <c r="W64" s="329">
        <v>0</v>
      </c>
      <c r="X64" s="329">
        <v>27522</v>
      </c>
      <c r="Y64" s="329">
        <v>11179</v>
      </c>
      <c r="Z64" s="329">
        <v>0</v>
      </c>
      <c r="AA64" s="329">
        <v>17802</v>
      </c>
      <c r="AB64" s="281">
        <v>307082</v>
      </c>
      <c r="AC64" s="329">
        <v>10999</v>
      </c>
      <c r="AD64" s="329">
        <v>0</v>
      </c>
      <c r="AE64" s="329">
        <v>23188</v>
      </c>
      <c r="AF64" s="329">
        <v>0</v>
      </c>
      <c r="AG64" s="329">
        <v>158869</v>
      </c>
      <c r="AH64" s="329">
        <v>0</v>
      </c>
      <c r="AI64" s="329">
        <v>0</v>
      </c>
      <c r="AJ64" s="329">
        <v>353871</v>
      </c>
      <c r="AK64" s="329">
        <v>0</v>
      </c>
      <c r="AL64" s="329">
        <v>0</v>
      </c>
      <c r="AM64" s="329">
        <v>0</v>
      </c>
      <c r="AN64" s="329">
        <v>0</v>
      </c>
      <c r="AO64" s="329">
        <v>0</v>
      </c>
      <c r="AP64" s="329">
        <v>0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489273</v>
      </c>
      <c r="AW64" s="280">
        <v>0</v>
      </c>
      <c r="AX64" s="280">
        <v>0</v>
      </c>
      <c r="AY64" s="329">
        <v>147170</v>
      </c>
      <c r="AZ64" s="329">
        <v>0</v>
      </c>
      <c r="BA64" s="280">
        <v>30734</v>
      </c>
      <c r="BB64" s="280">
        <v>0</v>
      </c>
      <c r="BC64" s="280">
        <v>0</v>
      </c>
      <c r="BD64" s="280">
        <v>3594</v>
      </c>
      <c r="BE64" s="329">
        <v>55919</v>
      </c>
      <c r="BF64" s="280">
        <v>64695</v>
      </c>
      <c r="BG64" s="280">
        <v>31472</v>
      </c>
      <c r="BH64" s="280">
        <v>78368</v>
      </c>
      <c r="BI64" s="280">
        <v>0</v>
      </c>
      <c r="BJ64" s="280">
        <v>1514</v>
      </c>
      <c r="BK64" s="280">
        <v>2659</v>
      </c>
      <c r="BL64" s="280">
        <v>4616</v>
      </c>
      <c r="BM64" s="280">
        <v>0</v>
      </c>
      <c r="BN64" s="280">
        <v>4888</v>
      </c>
      <c r="BO64" s="280">
        <v>7193</v>
      </c>
      <c r="BP64" s="280">
        <v>0</v>
      </c>
      <c r="BQ64" s="280">
        <v>0</v>
      </c>
      <c r="BR64" s="280">
        <v>2184</v>
      </c>
      <c r="BS64" s="280">
        <v>0</v>
      </c>
      <c r="BT64" s="280">
        <v>0</v>
      </c>
      <c r="BU64" s="280">
        <v>0</v>
      </c>
      <c r="BV64" s="280">
        <v>1715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28574</v>
      </c>
      <c r="CD64" s="24" t="s">
        <v>247</v>
      </c>
      <c r="CE64" s="25">
        <v>3068894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28176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6616</v>
      </c>
      <c r="BE65" s="329">
        <v>268941</v>
      </c>
      <c r="BF65" s="280">
        <v>0</v>
      </c>
      <c r="BG65" s="280">
        <v>0</v>
      </c>
      <c r="BH65" s="280">
        <v>193039</v>
      </c>
      <c r="BI65" s="280">
        <v>0</v>
      </c>
      <c r="BJ65" s="280">
        <v>0</v>
      </c>
      <c r="BK65" s="280">
        <v>7336</v>
      </c>
      <c r="BL65" s="280">
        <v>5168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509276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56502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29">
        <v>31820</v>
      </c>
      <c r="Q66" s="329">
        <v>0</v>
      </c>
      <c r="R66" s="329">
        <v>7379</v>
      </c>
      <c r="S66" s="280">
        <v>24456</v>
      </c>
      <c r="T66" s="280">
        <v>0</v>
      </c>
      <c r="U66" s="331">
        <v>341613</v>
      </c>
      <c r="V66" s="329">
        <v>0</v>
      </c>
      <c r="W66" s="329">
        <v>225744</v>
      </c>
      <c r="X66" s="329">
        <v>83258</v>
      </c>
      <c r="Y66" s="329">
        <v>62309</v>
      </c>
      <c r="Z66" s="329">
        <v>0</v>
      </c>
      <c r="AA66" s="329">
        <v>100331</v>
      </c>
      <c r="AB66" s="281">
        <v>101147</v>
      </c>
      <c r="AC66" s="329">
        <v>6136</v>
      </c>
      <c r="AD66" s="329">
        <v>0</v>
      </c>
      <c r="AE66" s="329">
        <v>20960</v>
      </c>
      <c r="AF66" s="329">
        <v>0</v>
      </c>
      <c r="AG66" s="329">
        <v>31114</v>
      </c>
      <c r="AH66" s="329">
        <v>483337</v>
      </c>
      <c r="AI66" s="329">
        <v>0</v>
      </c>
      <c r="AJ66" s="329">
        <v>141010</v>
      </c>
      <c r="AK66" s="329">
        <v>0</v>
      </c>
      <c r="AL66" s="329">
        <v>0</v>
      </c>
      <c r="AM66" s="329">
        <v>0</v>
      </c>
      <c r="AN66" s="329">
        <v>0</v>
      </c>
      <c r="AO66" s="329">
        <v>0</v>
      </c>
      <c r="AP66" s="329">
        <v>0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0</v>
      </c>
      <c r="AW66" s="280">
        <v>0</v>
      </c>
      <c r="AX66" s="280">
        <v>0</v>
      </c>
      <c r="AY66" s="329">
        <v>23321</v>
      </c>
      <c r="AZ66" s="329">
        <v>0</v>
      </c>
      <c r="BA66" s="280">
        <v>12958</v>
      </c>
      <c r="BB66" s="280">
        <v>0</v>
      </c>
      <c r="BC66" s="280">
        <v>0</v>
      </c>
      <c r="BD66" s="280">
        <v>0</v>
      </c>
      <c r="BE66" s="329">
        <v>647733</v>
      </c>
      <c r="BF66" s="280">
        <v>7240</v>
      </c>
      <c r="BG66" s="280">
        <v>0</v>
      </c>
      <c r="BH66" s="280">
        <v>1330014</v>
      </c>
      <c r="BI66" s="280">
        <v>0</v>
      </c>
      <c r="BJ66" s="280">
        <v>64873</v>
      </c>
      <c r="BK66" s="280">
        <v>0</v>
      </c>
      <c r="BL66" s="280">
        <v>0</v>
      </c>
      <c r="BM66" s="280">
        <v>0</v>
      </c>
      <c r="BN66" s="280">
        <v>248471</v>
      </c>
      <c r="BO66" s="280">
        <v>12122</v>
      </c>
      <c r="BP66" s="280">
        <v>0</v>
      </c>
      <c r="BQ66" s="280">
        <v>0</v>
      </c>
      <c r="BR66" s="280">
        <v>39988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94525</v>
      </c>
      <c r="BY66" s="280">
        <v>44609</v>
      </c>
      <c r="BZ66" s="280">
        <v>0</v>
      </c>
      <c r="CA66" s="280">
        <v>0</v>
      </c>
      <c r="CB66" s="280">
        <v>0</v>
      </c>
      <c r="CC66" s="280">
        <v>100000</v>
      </c>
      <c r="CD66" s="24" t="s">
        <v>247</v>
      </c>
      <c r="CE66" s="25">
        <v>4342970</v>
      </c>
    </row>
    <row r="67" spans="1:83" x14ac:dyDescent="0.25">
      <c r="A67" s="31" t="s">
        <v>15</v>
      </c>
      <c r="B67" s="16"/>
      <c r="C67" s="25">
        <v>0</v>
      </c>
      <c r="D67" s="25">
        <v>0</v>
      </c>
      <c r="E67" s="25">
        <v>350573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24783</v>
      </c>
      <c r="Q67" s="25">
        <v>0</v>
      </c>
      <c r="R67" s="25">
        <v>0</v>
      </c>
      <c r="S67" s="25">
        <v>0</v>
      </c>
      <c r="T67" s="25">
        <v>0</v>
      </c>
      <c r="U67" s="25">
        <v>20136</v>
      </c>
      <c r="V67" s="25">
        <v>0</v>
      </c>
      <c r="W67" s="25">
        <v>0</v>
      </c>
      <c r="X67" s="25">
        <v>0</v>
      </c>
      <c r="Y67" s="25">
        <v>46907</v>
      </c>
      <c r="Z67" s="25">
        <v>0</v>
      </c>
      <c r="AA67" s="25">
        <v>0</v>
      </c>
      <c r="AB67" s="25">
        <v>9523</v>
      </c>
      <c r="AC67" s="25">
        <v>18970</v>
      </c>
      <c r="AD67" s="25">
        <v>0</v>
      </c>
      <c r="AE67" s="25">
        <v>54040</v>
      </c>
      <c r="AF67" s="25">
        <v>0</v>
      </c>
      <c r="AG67" s="25">
        <v>67655</v>
      </c>
      <c r="AH67" s="25">
        <v>0</v>
      </c>
      <c r="AI67" s="25">
        <v>0</v>
      </c>
      <c r="AJ67" s="25">
        <v>154357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63353</v>
      </c>
      <c r="AW67" s="25">
        <v>0</v>
      </c>
      <c r="AX67" s="25">
        <v>0</v>
      </c>
      <c r="AY67" s="25">
        <v>53849</v>
      </c>
      <c r="AZ67" s="25">
        <v>0</v>
      </c>
      <c r="BA67" s="25">
        <v>12946</v>
      </c>
      <c r="BB67" s="25">
        <v>0</v>
      </c>
      <c r="BC67" s="25">
        <v>0</v>
      </c>
      <c r="BD67" s="25">
        <v>14418</v>
      </c>
      <c r="BE67" s="25">
        <v>463414</v>
      </c>
      <c r="BF67" s="25">
        <v>7630</v>
      </c>
      <c r="BG67" s="25">
        <v>8720</v>
      </c>
      <c r="BH67" s="25">
        <v>1530</v>
      </c>
      <c r="BI67" s="25">
        <v>0</v>
      </c>
      <c r="BJ67" s="25">
        <v>26198</v>
      </c>
      <c r="BK67" s="25">
        <v>26198</v>
      </c>
      <c r="BL67" s="25">
        <v>11779</v>
      </c>
      <c r="BM67" s="25">
        <v>0</v>
      </c>
      <c r="BN67" s="25">
        <v>17038</v>
      </c>
      <c r="BO67" s="25">
        <v>0</v>
      </c>
      <c r="BP67" s="25">
        <v>0</v>
      </c>
      <c r="BQ67" s="25">
        <v>0</v>
      </c>
      <c r="BR67" s="25">
        <v>10747</v>
      </c>
      <c r="BS67" s="25">
        <v>0</v>
      </c>
      <c r="BT67" s="25">
        <v>0</v>
      </c>
      <c r="BU67" s="25">
        <v>0</v>
      </c>
      <c r="BV67" s="25">
        <v>21685</v>
      </c>
      <c r="BW67" s="25">
        <v>0</v>
      </c>
      <c r="BX67" s="25">
        <v>0</v>
      </c>
      <c r="BY67" s="25">
        <v>13520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1499969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0</v>
      </c>
      <c r="Q68" s="329">
        <v>0</v>
      </c>
      <c r="R68" s="329">
        <v>0</v>
      </c>
      <c r="S68" s="280">
        <v>0</v>
      </c>
      <c r="T68" s="280">
        <v>0</v>
      </c>
      <c r="U68" s="331">
        <v>0</v>
      </c>
      <c r="V68" s="329">
        <v>0</v>
      </c>
      <c r="W68" s="329">
        <v>0</v>
      </c>
      <c r="X68" s="329">
        <v>0</v>
      </c>
      <c r="Y68" s="329">
        <v>0</v>
      </c>
      <c r="Z68" s="329">
        <v>0</v>
      </c>
      <c r="AA68" s="329">
        <v>0</v>
      </c>
      <c r="AB68" s="281">
        <v>0</v>
      </c>
      <c r="AC68" s="329">
        <v>0</v>
      </c>
      <c r="AD68" s="329">
        <v>0</v>
      </c>
      <c r="AE68" s="329">
        <v>0</v>
      </c>
      <c r="AF68" s="329">
        <v>0</v>
      </c>
      <c r="AG68" s="329">
        <v>0</v>
      </c>
      <c r="AH68" s="329">
        <v>0</v>
      </c>
      <c r="AI68" s="329">
        <v>0</v>
      </c>
      <c r="AJ68" s="329">
        <v>0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0</v>
      </c>
      <c r="AW68" s="280">
        <v>0</v>
      </c>
      <c r="AX68" s="280">
        <v>0</v>
      </c>
      <c r="AY68" s="329">
        <v>0</v>
      </c>
      <c r="AZ68" s="329">
        <v>0</v>
      </c>
      <c r="BA68" s="280">
        <v>0</v>
      </c>
      <c r="BB68" s="280">
        <v>0</v>
      </c>
      <c r="BC68" s="280">
        <v>0</v>
      </c>
      <c r="BD68" s="280">
        <v>0</v>
      </c>
      <c r="BE68" s="329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0</v>
      </c>
    </row>
    <row r="69" spans="1:83" x14ac:dyDescent="0.25">
      <c r="A69" s="31" t="s">
        <v>268</v>
      </c>
      <c r="B69" s="16"/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2417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10412</v>
      </c>
      <c r="AH69" s="25">
        <v>0</v>
      </c>
      <c r="AI69" s="25">
        <v>0</v>
      </c>
      <c r="AJ69" s="25">
        <v>24443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1476506</v>
      </c>
      <c r="CE69" s="25">
        <v>1513778</v>
      </c>
    </row>
    <row r="70" spans="1:83" x14ac:dyDescent="0.25">
      <c r="A70" s="26" t="s">
        <v>269</v>
      </c>
      <c r="B70" s="334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4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 x14ac:dyDescent="0.25">
      <c r="A72" s="26" t="s">
        <v>271</v>
      </c>
      <c r="B72" s="334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2417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10412</v>
      </c>
      <c r="AH73" s="282">
        <v>0</v>
      </c>
      <c r="AI73" s="282">
        <v>0</v>
      </c>
      <c r="AJ73" s="282">
        <v>24443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333132</v>
      </c>
      <c r="CE73" s="25">
        <v>370404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29">
        <v>0</v>
      </c>
      <c r="F83" s="329">
        <v>0</v>
      </c>
      <c r="G83" s="273">
        <v>0</v>
      </c>
      <c r="H83" s="273">
        <v>0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0</v>
      </c>
      <c r="O83" s="273">
        <v>0</v>
      </c>
      <c r="P83" s="329">
        <v>0</v>
      </c>
      <c r="Q83" s="329">
        <v>0</v>
      </c>
      <c r="R83" s="331">
        <v>0</v>
      </c>
      <c r="S83" s="329">
        <v>0</v>
      </c>
      <c r="T83" s="273">
        <v>0</v>
      </c>
      <c r="U83" s="329">
        <v>0</v>
      </c>
      <c r="V83" s="329">
        <v>0</v>
      </c>
      <c r="W83" s="273">
        <v>0</v>
      </c>
      <c r="X83" s="329">
        <v>0</v>
      </c>
      <c r="Y83" s="329">
        <v>0</v>
      </c>
      <c r="Z83" s="329">
        <v>0</v>
      </c>
      <c r="AA83" s="329">
        <v>0</v>
      </c>
      <c r="AB83" s="329">
        <v>0</v>
      </c>
      <c r="AC83" s="329">
        <v>0</v>
      </c>
      <c r="AD83" s="329">
        <v>0</v>
      </c>
      <c r="AE83" s="329">
        <v>0</v>
      </c>
      <c r="AF83" s="329">
        <v>0</v>
      </c>
      <c r="AG83" s="329">
        <v>0</v>
      </c>
      <c r="AH83" s="329">
        <v>0</v>
      </c>
      <c r="AI83" s="329">
        <v>0</v>
      </c>
      <c r="AJ83" s="329">
        <v>0</v>
      </c>
      <c r="AK83" s="329">
        <v>0</v>
      </c>
      <c r="AL83" s="329">
        <v>0</v>
      </c>
      <c r="AM83" s="329">
        <v>0</v>
      </c>
      <c r="AN83" s="329">
        <v>0</v>
      </c>
      <c r="AO83" s="273">
        <v>0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0</v>
      </c>
      <c r="AW83" s="329">
        <v>0</v>
      </c>
      <c r="AX83" s="329">
        <v>0</v>
      </c>
      <c r="AY83" s="329">
        <v>0</v>
      </c>
      <c r="AZ83" s="329">
        <v>0</v>
      </c>
      <c r="BA83" s="329">
        <v>0</v>
      </c>
      <c r="BB83" s="329">
        <v>0</v>
      </c>
      <c r="BC83" s="329">
        <v>0</v>
      </c>
      <c r="BD83" s="329">
        <v>0</v>
      </c>
      <c r="BE83" s="329">
        <v>0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0</v>
      </c>
      <c r="BL83" s="329">
        <v>0</v>
      </c>
      <c r="BM83" s="329">
        <v>0</v>
      </c>
      <c r="BN83" s="329">
        <v>0</v>
      </c>
      <c r="BO83" s="329">
        <v>0</v>
      </c>
      <c r="BP83" s="329">
        <v>0</v>
      </c>
      <c r="BQ83" s="329">
        <v>0</v>
      </c>
      <c r="BR83" s="329">
        <v>0</v>
      </c>
      <c r="BS83" s="329">
        <v>0</v>
      </c>
      <c r="BT83" s="329">
        <v>0</v>
      </c>
      <c r="BU83" s="329">
        <v>0</v>
      </c>
      <c r="BV83" s="329">
        <v>0</v>
      </c>
      <c r="BW83" s="329">
        <v>0</v>
      </c>
      <c r="BX83" s="329">
        <v>0</v>
      </c>
      <c r="BY83" s="329">
        <v>0</v>
      </c>
      <c r="BZ83" s="329">
        <v>0</v>
      </c>
      <c r="CA83" s="329">
        <v>0</v>
      </c>
      <c r="CB83" s="329">
        <v>0</v>
      </c>
      <c r="CC83" s="329">
        <v>0</v>
      </c>
      <c r="CD83" s="282">
        <v>1143374</v>
      </c>
      <c r="CE83" s="25">
        <v>1143374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3300543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2175253</v>
      </c>
      <c r="Q85" s="25">
        <v>0</v>
      </c>
      <c r="R85" s="25">
        <v>638417</v>
      </c>
      <c r="S85" s="25">
        <v>101274</v>
      </c>
      <c r="T85" s="25">
        <v>0</v>
      </c>
      <c r="U85" s="25">
        <v>1969687</v>
      </c>
      <c r="V85" s="25">
        <v>0</v>
      </c>
      <c r="W85" s="25">
        <v>225744</v>
      </c>
      <c r="X85" s="25">
        <v>110780</v>
      </c>
      <c r="Y85" s="25">
        <v>1639760</v>
      </c>
      <c r="Z85" s="25">
        <v>0</v>
      </c>
      <c r="AA85" s="25">
        <v>118133</v>
      </c>
      <c r="AB85" s="25">
        <v>870584</v>
      </c>
      <c r="AC85" s="25">
        <v>431771</v>
      </c>
      <c r="AD85" s="25">
        <v>0</v>
      </c>
      <c r="AE85" s="25">
        <v>1738752</v>
      </c>
      <c r="AF85" s="25">
        <v>0</v>
      </c>
      <c r="AG85" s="25">
        <v>4347493</v>
      </c>
      <c r="AH85" s="25">
        <v>483337</v>
      </c>
      <c r="AI85" s="25">
        <v>0</v>
      </c>
      <c r="AJ85" s="25">
        <v>6801776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874948</v>
      </c>
      <c r="AW85" s="25">
        <v>0</v>
      </c>
      <c r="AX85" s="25">
        <v>0</v>
      </c>
      <c r="AY85" s="25">
        <v>706933</v>
      </c>
      <c r="AZ85" s="25">
        <v>0</v>
      </c>
      <c r="BA85" s="25">
        <v>108208</v>
      </c>
      <c r="BB85" s="25">
        <v>0</v>
      </c>
      <c r="BC85" s="25">
        <v>0</v>
      </c>
      <c r="BD85" s="25">
        <v>242089</v>
      </c>
      <c r="BE85" s="25">
        <v>2003234</v>
      </c>
      <c r="BF85" s="25">
        <v>605532</v>
      </c>
      <c r="BG85" s="25">
        <v>154188</v>
      </c>
      <c r="BH85" s="25">
        <v>2297900</v>
      </c>
      <c r="BI85" s="25">
        <v>0</v>
      </c>
      <c r="BJ85" s="25">
        <v>477312</v>
      </c>
      <c r="BK85" s="25">
        <v>1110632</v>
      </c>
      <c r="BL85" s="25">
        <v>553694</v>
      </c>
      <c r="BM85" s="25">
        <v>0</v>
      </c>
      <c r="BN85" s="25">
        <v>1275341</v>
      </c>
      <c r="BO85" s="25">
        <v>98558</v>
      </c>
      <c r="BP85" s="25">
        <v>0</v>
      </c>
      <c r="BQ85" s="25">
        <v>0</v>
      </c>
      <c r="BR85" s="25">
        <v>534663</v>
      </c>
      <c r="BS85" s="25">
        <v>0</v>
      </c>
      <c r="BT85" s="25">
        <v>0</v>
      </c>
      <c r="BU85" s="25">
        <v>0</v>
      </c>
      <c r="BV85" s="25">
        <v>256685</v>
      </c>
      <c r="BW85" s="25">
        <v>0</v>
      </c>
      <c r="BX85" s="25">
        <v>441229</v>
      </c>
      <c r="BY85" s="25">
        <v>925033</v>
      </c>
      <c r="BZ85" s="25">
        <v>0</v>
      </c>
      <c r="CA85" s="25">
        <v>0</v>
      </c>
      <c r="CB85" s="25">
        <v>0</v>
      </c>
      <c r="CC85" s="25">
        <v>191447</v>
      </c>
      <c r="CD85" s="25">
        <v>1476506</v>
      </c>
      <c r="CE85" s="25">
        <v>39287436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5497207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297384</v>
      </c>
      <c r="Q87" s="273">
        <v>0</v>
      </c>
      <c r="R87" s="273">
        <v>88563</v>
      </c>
      <c r="S87" s="273">
        <v>27539</v>
      </c>
      <c r="T87" s="273">
        <v>0</v>
      </c>
      <c r="U87" s="273">
        <v>352384</v>
      </c>
      <c r="V87" s="273">
        <v>0</v>
      </c>
      <c r="W87" s="273">
        <v>12860</v>
      </c>
      <c r="X87" s="273">
        <v>223561</v>
      </c>
      <c r="Y87" s="273">
        <v>159752</v>
      </c>
      <c r="Z87" s="273">
        <v>0</v>
      </c>
      <c r="AA87" s="273">
        <v>0</v>
      </c>
      <c r="AB87" s="273">
        <v>420101</v>
      </c>
      <c r="AC87" s="273">
        <v>149899</v>
      </c>
      <c r="AD87" s="273">
        <v>0</v>
      </c>
      <c r="AE87" s="273">
        <v>352539</v>
      </c>
      <c r="AF87" s="273">
        <v>0</v>
      </c>
      <c r="AG87" s="273">
        <v>412191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7993980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1474483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3385320</v>
      </c>
      <c r="Q88" s="273">
        <v>0</v>
      </c>
      <c r="R88" s="273">
        <v>1060110</v>
      </c>
      <c r="S88" s="273">
        <v>2615000</v>
      </c>
      <c r="T88" s="273">
        <v>0</v>
      </c>
      <c r="U88" s="273">
        <v>5689120</v>
      </c>
      <c r="V88" s="273">
        <v>0</v>
      </c>
      <c r="W88" s="273">
        <v>844234</v>
      </c>
      <c r="X88" s="273">
        <v>6100194</v>
      </c>
      <c r="Y88" s="273">
        <v>3851090</v>
      </c>
      <c r="Z88" s="273">
        <v>0</v>
      </c>
      <c r="AA88" s="273">
        <v>320034</v>
      </c>
      <c r="AB88" s="273">
        <v>901000</v>
      </c>
      <c r="AC88" s="273">
        <v>804364</v>
      </c>
      <c r="AD88" s="273">
        <v>0</v>
      </c>
      <c r="AE88" s="273">
        <v>3926254</v>
      </c>
      <c r="AF88" s="273">
        <v>0</v>
      </c>
      <c r="AG88" s="273">
        <v>12385691</v>
      </c>
      <c r="AH88" s="273">
        <v>0</v>
      </c>
      <c r="AI88" s="273">
        <v>108500</v>
      </c>
      <c r="AJ88" s="273">
        <v>6620312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50085706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6971690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3682704</v>
      </c>
      <c r="Q89" s="25">
        <v>0</v>
      </c>
      <c r="R89" s="25">
        <v>1148673</v>
      </c>
      <c r="S89" s="25">
        <v>2642539</v>
      </c>
      <c r="T89" s="25">
        <v>0</v>
      </c>
      <c r="U89" s="25">
        <v>6041504</v>
      </c>
      <c r="V89" s="25">
        <v>0</v>
      </c>
      <c r="W89" s="25">
        <v>857094</v>
      </c>
      <c r="X89" s="25">
        <v>6323755</v>
      </c>
      <c r="Y89" s="25">
        <v>4010842</v>
      </c>
      <c r="Z89" s="25">
        <v>0</v>
      </c>
      <c r="AA89" s="25">
        <v>320034</v>
      </c>
      <c r="AB89" s="25">
        <v>1321101</v>
      </c>
      <c r="AC89" s="25">
        <v>954263</v>
      </c>
      <c r="AD89" s="25">
        <v>0</v>
      </c>
      <c r="AE89" s="25">
        <v>4278793</v>
      </c>
      <c r="AF89" s="25">
        <v>0</v>
      </c>
      <c r="AG89" s="25">
        <v>12797882</v>
      </c>
      <c r="AH89" s="25">
        <v>0</v>
      </c>
      <c r="AI89" s="25">
        <v>108500</v>
      </c>
      <c r="AJ89" s="25">
        <v>6620312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58079686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18333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1296</v>
      </c>
      <c r="Q90" s="273">
        <v>0</v>
      </c>
      <c r="R90" s="273">
        <v>0</v>
      </c>
      <c r="S90" s="273">
        <v>0</v>
      </c>
      <c r="T90" s="273">
        <v>0</v>
      </c>
      <c r="U90" s="273">
        <v>1053</v>
      </c>
      <c r="V90" s="273">
        <v>0</v>
      </c>
      <c r="W90" s="273">
        <v>0</v>
      </c>
      <c r="X90" s="273">
        <v>0</v>
      </c>
      <c r="Y90" s="273">
        <v>2453</v>
      </c>
      <c r="Z90" s="273">
        <v>0</v>
      </c>
      <c r="AA90" s="273">
        <v>0</v>
      </c>
      <c r="AB90" s="273">
        <v>498</v>
      </c>
      <c r="AC90" s="273">
        <v>992</v>
      </c>
      <c r="AD90" s="273">
        <v>0</v>
      </c>
      <c r="AE90" s="273">
        <v>2826</v>
      </c>
      <c r="AF90" s="273">
        <v>0</v>
      </c>
      <c r="AG90" s="273">
        <v>3538</v>
      </c>
      <c r="AH90" s="273">
        <v>0</v>
      </c>
      <c r="AI90" s="273">
        <v>0</v>
      </c>
      <c r="AJ90" s="273">
        <v>8072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3313</v>
      </c>
      <c r="AW90" s="273">
        <v>0</v>
      </c>
      <c r="AX90" s="273">
        <v>0</v>
      </c>
      <c r="AY90" s="273">
        <v>2816</v>
      </c>
      <c r="AZ90" s="273">
        <v>0</v>
      </c>
      <c r="BA90" s="273">
        <v>677</v>
      </c>
      <c r="BB90" s="273">
        <v>0</v>
      </c>
      <c r="BC90" s="273">
        <v>0</v>
      </c>
      <c r="BD90" s="273">
        <v>754</v>
      </c>
      <c r="BE90" s="273">
        <v>24234</v>
      </c>
      <c r="BF90" s="273">
        <v>399</v>
      </c>
      <c r="BG90" s="273">
        <v>456</v>
      </c>
      <c r="BH90" s="273">
        <v>80</v>
      </c>
      <c r="BI90" s="273">
        <v>0</v>
      </c>
      <c r="BJ90" s="273">
        <v>1370</v>
      </c>
      <c r="BK90" s="273">
        <v>1370</v>
      </c>
      <c r="BL90" s="273">
        <v>616</v>
      </c>
      <c r="BM90" s="273">
        <v>0</v>
      </c>
      <c r="BN90" s="273">
        <v>891</v>
      </c>
      <c r="BO90" s="273">
        <v>0</v>
      </c>
      <c r="BP90" s="273">
        <v>0</v>
      </c>
      <c r="BQ90" s="273">
        <v>0</v>
      </c>
      <c r="BR90" s="273">
        <v>562</v>
      </c>
      <c r="BS90" s="273">
        <v>0</v>
      </c>
      <c r="BT90" s="273">
        <v>0</v>
      </c>
      <c r="BU90" s="273">
        <v>0</v>
      </c>
      <c r="BV90" s="273">
        <v>1134</v>
      </c>
      <c r="BW90" s="273">
        <v>0</v>
      </c>
      <c r="BX90" s="273">
        <v>0</v>
      </c>
      <c r="BY90" s="273">
        <v>707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78440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4731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17844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22575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3500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1200</v>
      </c>
      <c r="Q92" s="273">
        <v>0</v>
      </c>
      <c r="R92" s="273">
        <v>0</v>
      </c>
      <c r="S92" s="273">
        <v>0</v>
      </c>
      <c r="T92" s="273">
        <v>0</v>
      </c>
      <c r="U92" s="273">
        <v>1100</v>
      </c>
      <c r="V92" s="273">
        <v>0</v>
      </c>
      <c r="W92" s="273">
        <v>0</v>
      </c>
      <c r="X92" s="273">
        <v>0</v>
      </c>
      <c r="Y92" s="273">
        <v>2100</v>
      </c>
      <c r="Z92" s="273">
        <v>0</v>
      </c>
      <c r="AA92" s="273">
        <v>0</v>
      </c>
      <c r="AB92" s="273">
        <v>1200</v>
      </c>
      <c r="AC92" s="273">
        <v>1300</v>
      </c>
      <c r="AD92" s="273">
        <v>0</v>
      </c>
      <c r="AE92" s="273">
        <v>2300</v>
      </c>
      <c r="AF92" s="273">
        <v>0</v>
      </c>
      <c r="AG92" s="273">
        <v>1900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14600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31000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10000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7000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17000</v>
      </c>
      <c r="AF93" s="273">
        <v>0</v>
      </c>
      <c r="AG93" s="273">
        <v>34000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99000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20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2">
        <v>4</v>
      </c>
      <c r="Q94" s="332">
        <v>0</v>
      </c>
      <c r="R94" s="332">
        <v>0</v>
      </c>
      <c r="S94" s="278">
        <v>0</v>
      </c>
      <c r="T94" s="278">
        <v>0</v>
      </c>
      <c r="U94" s="333">
        <v>0</v>
      </c>
      <c r="V94" s="332">
        <v>0</v>
      </c>
      <c r="W94" s="332">
        <v>0</v>
      </c>
      <c r="X94" s="332">
        <v>0</v>
      </c>
      <c r="Y94" s="332">
        <v>0</v>
      </c>
      <c r="Z94" s="332">
        <v>0</v>
      </c>
      <c r="AA94" s="332">
        <v>0</v>
      </c>
      <c r="AB94" s="278">
        <v>0</v>
      </c>
      <c r="AC94" s="332">
        <v>0</v>
      </c>
      <c r="AD94" s="332">
        <v>0</v>
      </c>
      <c r="AE94" s="332">
        <v>0</v>
      </c>
      <c r="AF94" s="332">
        <v>0</v>
      </c>
      <c r="AG94" s="332">
        <v>5</v>
      </c>
      <c r="AH94" s="332">
        <v>0</v>
      </c>
      <c r="AI94" s="332">
        <v>0</v>
      </c>
      <c r="AJ94" s="332">
        <v>6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35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98356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7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 t="s">
        <v>247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119</v>
      </c>
      <c r="D127" s="295">
        <v>503</v>
      </c>
      <c r="E127" s="16"/>
    </row>
    <row r="128" spans="1:5" x14ac:dyDescent="0.25">
      <c r="A128" s="16" t="s">
        <v>334</v>
      </c>
      <c r="B128" s="35" t="s">
        <v>299</v>
      </c>
      <c r="C128" s="292">
        <v>71</v>
      </c>
      <c r="D128" s="295">
        <v>902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10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15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25</v>
      </c>
    </row>
    <row r="144" spans="1:5" x14ac:dyDescent="0.25">
      <c r="A144" s="16" t="s">
        <v>348</v>
      </c>
      <c r="B144" s="35" t="s">
        <v>299</v>
      </c>
      <c r="C144" s="292">
        <v>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1474483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144</v>
      </c>
      <c r="C154" s="295">
        <v>15</v>
      </c>
      <c r="D154" s="295">
        <v>31</v>
      </c>
      <c r="E154" s="25">
        <v>190</v>
      </c>
    </row>
    <row r="155" spans="1:6" x14ac:dyDescent="0.25">
      <c r="A155" s="16" t="s">
        <v>241</v>
      </c>
      <c r="B155" s="295">
        <v>1068</v>
      </c>
      <c r="C155" s="295">
        <v>112</v>
      </c>
      <c r="D155" s="295">
        <v>225</v>
      </c>
      <c r="E155" s="25">
        <v>1405</v>
      </c>
    </row>
    <row r="156" spans="1:6" x14ac:dyDescent="0.25">
      <c r="A156" s="16" t="s">
        <v>355</v>
      </c>
      <c r="B156" s="295">
        <v>15323</v>
      </c>
      <c r="C156" s="295">
        <v>1613</v>
      </c>
      <c r="D156" s="295">
        <v>3226</v>
      </c>
      <c r="E156" s="25">
        <v>20162</v>
      </c>
    </row>
    <row r="157" spans="1:6" x14ac:dyDescent="0.25">
      <c r="A157" s="16" t="s">
        <v>286</v>
      </c>
      <c r="B157" s="295">
        <v>4412733</v>
      </c>
      <c r="C157" s="295">
        <v>1604630</v>
      </c>
      <c r="D157" s="295">
        <v>2005788</v>
      </c>
      <c r="E157" s="25">
        <v>8023151</v>
      </c>
      <c r="F157" s="14"/>
    </row>
    <row r="158" spans="1:6" x14ac:dyDescent="0.25">
      <c r="A158" s="16" t="s">
        <v>287</v>
      </c>
      <c r="B158" s="295">
        <v>24046564</v>
      </c>
      <c r="C158" s="295">
        <v>8744205</v>
      </c>
      <c r="D158" s="295">
        <v>10930257</v>
      </c>
      <c r="E158" s="25">
        <v>43721026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64</v>
      </c>
      <c r="C160" s="295">
        <v>0</v>
      </c>
      <c r="D160" s="295">
        <v>7</v>
      </c>
      <c r="E160" s="25">
        <v>71</v>
      </c>
    </row>
    <row r="161" spans="1:5" x14ac:dyDescent="0.25">
      <c r="A161" s="16" t="s">
        <v>241</v>
      </c>
      <c r="B161" s="295">
        <v>846</v>
      </c>
      <c r="C161" s="295">
        <v>0</v>
      </c>
      <c r="D161" s="295">
        <v>56</v>
      </c>
      <c r="E161" s="25">
        <v>902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3739717</v>
      </c>
      <c r="C163" s="295">
        <v>0</v>
      </c>
      <c r="D163" s="295">
        <v>77657</v>
      </c>
      <c r="E163" s="25">
        <v>3817374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1848632</v>
      </c>
      <c r="C173" s="295">
        <v>2213655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1166254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32647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217754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2108072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123806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592546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211809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4452888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56598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56598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156901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213503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370404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28845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304204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29859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362908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385929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385929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998600</v>
      </c>
      <c r="C211" s="292">
        <v>0</v>
      </c>
      <c r="D211" s="295">
        <v>45851</v>
      </c>
      <c r="E211" s="25">
        <v>952749</v>
      </c>
    </row>
    <row r="212" spans="1:5" x14ac:dyDescent="0.25">
      <c r="A212" s="16" t="s">
        <v>390</v>
      </c>
      <c r="B212" s="295">
        <v>1426739</v>
      </c>
      <c r="C212" s="292">
        <v>0</v>
      </c>
      <c r="D212" s="295">
        <v>0</v>
      </c>
      <c r="E212" s="25">
        <v>1426739</v>
      </c>
    </row>
    <row r="213" spans="1:5" x14ac:dyDescent="0.25">
      <c r="A213" s="16" t="s">
        <v>391</v>
      </c>
      <c r="B213" s="295">
        <v>16156743</v>
      </c>
      <c r="C213" s="292">
        <v>0</v>
      </c>
      <c r="D213" s="295">
        <v>96960</v>
      </c>
      <c r="E213" s="25">
        <v>16059783</v>
      </c>
    </row>
    <row r="214" spans="1:5" x14ac:dyDescent="0.25">
      <c r="A214" s="16" t="s">
        <v>393</v>
      </c>
      <c r="B214" s="295">
        <v>4598667</v>
      </c>
      <c r="C214" s="292">
        <v>490352</v>
      </c>
      <c r="D214" s="295">
        <v>0</v>
      </c>
      <c r="E214" s="25">
        <v>5089019</v>
      </c>
    </row>
    <row r="215" spans="1:5" x14ac:dyDescent="0.25">
      <c r="A215" s="16" t="s">
        <v>394</v>
      </c>
      <c r="B215" s="295">
        <v>2716640</v>
      </c>
      <c r="C215" s="292">
        <v>0</v>
      </c>
      <c r="D215" s="295">
        <v>4689</v>
      </c>
      <c r="E215" s="25">
        <v>2711951</v>
      </c>
    </row>
    <row r="216" spans="1:5" x14ac:dyDescent="0.25">
      <c r="A216" s="16" t="s">
        <v>395</v>
      </c>
      <c r="B216" s="295">
        <v>9066472</v>
      </c>
      <c r="C216" s="292">
        <v>0</v>
      </c>
      <c r="D216" s="295">
        <v>79898</v>
      </c>
      <c r="E216" s="25">
        <v>8986574</v>
      </c>
    </row>
    <row r="217" spans="1:5" x14ac:dyDescent="0.2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398</v>
      </c>
      <c r="B219" s="295">
        <v>0</v>
      </c>
      <c r="C219" s="292">
        <v>0</v>
      </c>
      <c r="D219" s="295">
        <v>0</v>
      </c>
      <c r="E219" s="25">
        <v>0</v>
      </c>
    </row>
    <row r="220" spans="1:5" x14ac:dyDescent="0.25">
      <c r="A220" s="16" t="s">
        <v>229</v>
      </c>
      <c r="B220" s="25">
        <v>34963861</v>
      </c>
      <c r="C220" s="225">
        <v>490352</v>
      </c>
      <c r="D220" s="25">
        <v>227398</v>
      </c>
      <c r="E220" s="25">
        <v>35226815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1203372</v>
      </c>
      <c r="C225" s="292">
        <v>41617</v>
      </c>
      <c r="D225" s="295">
        <v>0</v>
      </c>
      <c r="E225" s="25">
        <v>1244989</v>
      </c>
    </row>
    <row r="226" spans="1:6" x14ac:dyDescent="0.25">
      <c r="A226" s="16" t="s">
        <v>391</v>
      </c>
      <c r="B226" s="295">
        <v>12529066</v>
      </c>
      <c r="C226" s="292">
        <v>401827</v>
      </c>
      <c r="D226" s="295">
        <v>0</v>
      </c>
      <c r="E226" s="25">
        <v>12930893</v>
      </c>
    </row>
    <row r="227" spans="1:6" x14ac:dyDescent="0.25">
      <c r="A227" s="16" t="s">
        <v>393</v>
      </c>
      <c r="B227" s="295">
        <v>1130654</v>
      </c>
      <c r="C227" s="292">
        <v>150551</v>
      </c>
      <c r="D227" s="295">
        <v>0</v>
      </c>
      <c r="E227" s="25">
        <v>1281205</v>
      </c>
    </row>
    <row r="228" spans="1:6" x14ac:dyDescent="0.25">
      <c r="A228" s="16" t="s">
        <v>394</v>
      </c>
      <c r="B228" s="295">
        <v>1989442</v>
      </c>
      <c r="C228" s="292">
        <v>72132</v>
      </c>
      <c r="D228" s="295">
        <v>0</v>
      </c>
      <c r="E228" s="25">
        <v>2061574</v>
      </c>
    </row>
    <row r="229" spans="1:6" x14ac:dyDescent="0.25">
      <c r="A229" s="16" t="s">
        <v>395</v>
      </c>
      <c r="B229" s="295">
        <v>7638528</v>
      </c>
      <c r="C229" s="292">
        <v>226139</v>
      </c>
      <c r="D229" s="295">
        <v>0</v>
      </c>
      <c r="E229" s="25">
        <v>7864667</v>
      </c>
    </row>
    <row r="230" spans="1:6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397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24491062</v>
      </c>
      <c r="C233" s="225">
        <v>892266</v>
      </c>
      <c r="D233" s="25">
        <v>0</v>
      </c>
      <c r="E233" s="25">
        <v>25383328</v>
      </c>
    </row>
    <row r="234" spans="1:6" x14ac:dyDescent="0.25">
      <c r="A234" s="16"/>
      <c r="B234" s="16"/>
      <c r="C234" s="22"/>
      <c r="D234" s="16"/>
      <c r="E234" s="16"/>
      <c r="F234" s="11">
        <v>9843487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38" t="s">
        <v>401</v>
      </c>
      <c r="C236" s="338"/>
      <c r="D236" s="30"/>
      <c r="E236" s="30"/>
    </row>
    <row r="237" spans="1:6" x14ac:dyDescent="0.25">
      <c r="A237" s="43" t="s">
        <v>401</v>
      </c>
      <c r="B237" s="30"/>
      <c r="C237" s="292">
        <v>922831</v>
      </c>
      <c r="D237" s="32">
        <v>922831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11325102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5108911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262374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96747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1237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4045364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20839735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0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726374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726374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482454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482454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22971394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3790598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8651402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4503473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263159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103655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241343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430473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8977157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1862265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1862265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952749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1426739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16059783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5089019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2711951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8986573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0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35226814</v>
      </c>
      <c r="E291" s="16"/>
    </row>
    <row r="292" spans="1:5" x14ac:dyDescent="0.25">
      <c r="A292" s="16" t="s">
        <v>440</v>
      </c>
      <c r="B292" s="35" t="s">
        <v>299</v>
      </c>
      <c r="C292" s="292">
        <v>25383328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9843486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1069331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552880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2000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518451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v>21201359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21201359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913503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2106366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68817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3855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885881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3978422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776436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279212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5309993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6365641</v>
      </c>
      <c r="E339" s="16"/>
    </row>
    <row r="340" spans="1:5" x14ac:dyDescent="0.25">
      <c r="A340" s="16" t="s">
        <v>481</v>
      </c>
      <c r="B340" s="16"/>
      <c r="C340" s="22"/>
      <c r="D340" s="25">
        <v>885881</v>
      </c>
      <c r="E340" s="16"/>
    </row>
    <row r="341" spans="1:5" x14ac:dyDescent="0.25">
      <c r="A341" s="16" t="s">
        <v>482</v>
      </c>
      <c r="B341" s="16"/>
      <c r="C341" s="22"/>
      <c r="D341" s="25">
        <v>5479760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11743177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21201359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21201359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3">
        <v>8042273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3">
        <v>50037413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58079686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922831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20839735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726374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482454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22971394</v>
      </c>
      <c r="E366" s="16"/>
    </row>
    <row r="367" spans="1:5" x14ac:dyDescent="0.25">
      <c r="A367" s="16" t="s">
        <v>500</v>
      </c>
      <c r="B367" s="16"/>
      <c r="C367" s="22"/>
      <c r="D367" s="25">
        <v>35108292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52872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422418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102095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485146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1062531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1043944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2106475</v>
      </c>
      <c r="E383" s="16"/>
    </row>
    <row r="384" spans="1:6" x14ac:dyDescent="0.25">
      <c r="A384" s="16" t="s">
        <v>517</v>
      </c>
      <c r="B384" s="16"/>
      <c r="C384" s="22"/>
      <c r="D384" s="25">
        <v>37214767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22446603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4452888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1453059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3068894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509276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4342970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1499968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0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2">
        <v>370404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2">
        <v>385929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196279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362908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138792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697979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39227970</v>
      </c>
      <c r="E416" s="25"/>
    </row>
    <row r="417" spans="1:13" x14ac:dyDescent="0.25">
      <c r="A417" s="25" t="s">
        <v>531</v>
      </c>
      <c r="B417" s="16"/>
      <c r="C417" s="22"/>
      <c r="D417" s="25">
        <v>-2013203</v>
      </c>
      <c r="E417" s="25"/>
    </row>
    <row r="418" spans="1:13" x14ac:dyDescent="0.25">
      <c r="A418" s="25" t="s">
        <v>532</v>
      </c>
      <c r="B418" s="16"/>
      <c r="C418" s="294">
        <v>521091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521091</v>
      </c>
      <c r="E420" s="25"/>
      <c r="F420" s="11">
        <v>135162</v>
      </c>
    </row>
    <row r="421" spans="1:13" x14ac:dyDescent="0.25">
      <c r="A421" s="25" t="s">
        <v>535</v>
      </c>
      <c r="B421" s="16"/>
      <c r="C421" s="22"/>
      <c r="D421" s="25">
        <v>-1492112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-1492112</v>
      </c>
      <c r="E424" s="16"/>
    </row>
    <row r="426" spans="1:13" ht="29.1" customHeight="1" x14ac:dyDescent="0.25">
      <c r="A426" s="340" t="s">
        <v>539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54206</v>
      </c>
      <c r="E612" s="219">
        <f>SUM(C624:D647)+SUM(C668:D713)</f>
        <v>37014730.895251453</v>
      </c>
      <c r="F612" s="219">
        <f>CE64-(AX64+BD64+BE64+BG64+BJ64+BN64+BP64+BQ64+CB64+CC64+CD64)</f>
        <v>2942933</v>
      </c>
      <c r="G612" s="217">
        <f>CE91-(AX91+AY91+BD91+BE91+BG91+BJ91+BN91+BP91+BQ91+CB91+CC91+CD91)</f>
        <v>22575</v>
      </c>
      <c r="H612" s="222">
        <f>CE60-(AX60+AY60+AZ60+BD60+BE60+BG60+BJ60+BN60+BO60+BP60+BQ60+BR60+CB60+CC60+CD60)</f>
        <v>173</v>
      </c>
      <c r="I612" s="217">
        <f>CE92-(AX92+AY92+AZ92+BD92+BE92+BF92+BG92+BJ92+BN92+BO92+BP92+BQ92+BR92+CB92+CC92+CD92)</f>
        <v>14600</v>
      </c>
      <c r="J612" s="217">
        <f>CE93-(AX93+AY93+AZ93+BA93+BD93+BE93+BF93+BG93+BJ93+BN93+BO93+BP93+BQ93+BR93+CB93+CC93+CD93)</f>
        <v>99000</v>
      </c>
      <c r="K612" s="217">
        <f>CE89-(AW89+AX89+AY89+AZ89+BA89+BB89+BC89+BD89+BE89+BF89+BG89+BH89+BI89+BJ89+BK89+BL89+BM89+BN89+BO89+BP89+BQ89+BR89+BS89+BT89+BU89+BV89+BW89+BX89+CB89+CC89+CD89)</f>
        <v>58079686</v>
      </c>
      <c r="L612" s="223">
        <f>CE94-(AW94+AX94+AY94+AZ94+BA94+BB94+BC94+BD94+BE94+BF94+BG94+BH94+BI94+BJ94+BK94+BL94+BM94+BN94+BO94+BP94+BQ94+BR94+BS94+BT94+BU94+BV94+BW94+BX94+BY94+BZ94+CA94+CB94+CC94+CD94)</f>
        <v>35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2003234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1476506</v>
      </c>
      <c r="D615" s="217">
        <f>SUM(C614:C615)</f>
        <v>3479740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477312</v>
      </c>
      <c r="D617" s="217">
        <f>(D615/D612)*BJ90</f>
        <v>87946.791868058877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154188</v>
      </c>
      <c r="D618" s="217">
        <f>(D615/D612)*BG90</f>
        <v>29272.800796959742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1275341</v>
      </c>
      <c r="D619" s="217">
        <f>(D615/D612)*BN90</f>
        <v>57197.512083533184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191447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2272705.1047485517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242089</v>
      </c>
      <c r="D624" s="217">
        <f>(D615/D612)*BD90</f>
        <v>48402.832896727297</v>
      </c>
      <c r="E624" s="219">
        <f>(E623/E612)*SUM(C624:D624)</f>
        <v>17836.203466681192</v>
      </c>
      <c r="F624" s="219">
        <f>SUM(C624:E624)</f>
        <v>308328.03636340849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706933</v>
      </c>
      <c r="D625" s="217">
        <f>(D615/D612)*AY90</f>
        <v>180772.38386894437</v>
      </c>
      <c r="E625" s="219">
        <f>(E623/E612)*SUM(C625:D625)</f>
        <v>54505.125625282955</v>
      </c>
      <c r="F625" s="219">
        <f>(F624/F612)*AY64</f>
        <v>15418.848173438821</v>
      </c>
      <c r="G625" s="217">
        <f>SUM(C625:F625)</f>
        <v>957629.35766766616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534663</v>
      </c>
      <c r="D626" s="217">
        <f>(D615/D612)*BR90</f>
        <v>36077.443087481086</v>
      </c>
      <c r="E626" s="219">
        <f>(E623/E612)*SUM(C626:D626)</f>
        <v>35043.47288548771</v>
      </c>
      <c r="F626" s="219">
        <f>(F624/F612)*BR64</f>
        <v>228.81541354073781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98558</v>
      </c>
      <c r="D627" s="217">
        <f>(D615/D612)*BO90</f>
        <v>0</v>
      </c>
      <c r="E627" s="219">
        <f>(E623/E612)*SUM(C627:D627)</f>
        <v>6051.4628715710433</v>
      </c>
      <c r="F627" s="219">
        <f>(F624/F612)*BO64</f>
        <v>753.60314542057097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756940.7866321964</v>
      </c>
      <c r="H628" s="219">
        <f>SUM(C626:G628)</f>
        <v>1468316.5840356974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605532</v>
      </c>
      <c r="D629" s="217">
        <f>(D615/D612)*BF90</f>
        <v>25613.700697339777</v>
      </c>
      <c r="E629" s="219">
        <f>(E623/E612)*SUM(C629:D629)</f>
        <v>38752.35672722297</v>
      </c>
      <c r="F629" s="219">
        <f>(F624/F612)*BF64</f>
        <v>6778.0280123708935</v>
      </c>
      <c r="G629" s="217">
        <f>(G625/G612)*BF91</f>
        <v>0</v>
      </c>
      <c r="H629" s="219">
        <f>(H628/H612)*BF60</f>
        <v>84873.790984722407</v>
      </c>
      <c r="I629" s="217">
        <f>SUM(C629:H629)</f>
        <v>761549.87642165611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108208</v>
      </c>
      <c r="D630" s="217">
        <f>(D615/D612)*BA90</f>
        <v>43459.838025310848</v>
      </c>
      <c r="E630" s="219">
        <f>(E623/E612)*SUM(C630:D630)</f>
        <v>9312.4078270827267</v>
      </c>
      <c r="F630" s="219">
        <f>(F624/F612)*BA64</f>
        <v>3219.9692856048696</v>
      </c>
      <c r="G630" s="217">
        <f>(G625/G612)*BA91</f>
        <v>0</v>
      </c>
      <c r="H630" s="219">
        <f>(H628/H612)*BA60</f>
        <v>8487.37909847224</v>
      </c>
      <c r="I630" s="217">
        <f>(I629/I612)*BA92</f>
        <v>0</v>
      </c>
      <c r="J630" s="217">
        <f>SUM(C630:I630)</f>
        <v>172687.59423647067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1110632</v>
      </c>
      <c r="D635" s="217">
        <f>(D615/D612)*BK90</f>
        <v>87946.791868058877</v>
      </c>
      <c r="E635" s="219">
        <f>(E623/E612)*SUM(C635:D635)</f>
        <v>73592.758148927896</v>
      </c>
      <c r="F635" s="219">
        <f>(F624/F612)*BK64</f>
        <v>278.58067060660341</v>
      </c>
      <c r="G635" s="217">
        <f>(G625/G612)*BK91</f>
        <v>0</v>
      </c>
      <c r="H635" s="219">
        <f>(H628/H612)*BK60</f>
        <v>84873.790984722407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2297900</v>
      </c>
      <c r="D636" s="217">
        <f>(D615/D612)*BH90</f>
        <v>5135.5790871859199</v>
      </c>
      <c r="E636" s="219">
        <f>(E623/E612)*SUM(C636:D636)</f>
        <v>141406.42361607606</v>
      </c>
      <c r="F636" s="219">
        <f>(F624/F612)*BH64</f>
        <v>8210.5340331321149</v>
      </c>
      <c r="G636" s="217">
        <f>(G625/G612)*BH91</f>
        <v>0</v>
      </c>
      <c r="H636" s="219">
        <f>(H628/H612)*BH60</f>
        <v>50924.27459083344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553694</v>
      </c>
      <c r="D637" s="217">
        <f>(D615/D612)*BL90</f>
        <v>39543.95897133158</v>
      </c>
      <c r="E637" s="219">
        <f>(E623/E612)*SUM(C637:D637)</f>
        <v>36424.820742320248</v>
      </c>
      <c r="F637" s="219">
        <f>(F624/F612)*BL64</f>
        <v>483.61352971796964</v>
      </c>
      <c r="G637" s="217">
        <f>(G625/G612)*BL91</f>
        <v>0</v>
      </c>
      <c r="H637" s="219">
        <f>(H628/H612)*BL60</f>
        <v>76386.411886250164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256685</v>
      </c>
      <c r="D642" s="217">
        <f>(D615/D612)*BV90</f>
        <v>72796.83356086041</v>
      </c>
      <c r="E642" s="219">
        <f>(E623/E612)*SUM(C642:D642)</f>
        <v>20230.190168740202</v>
      </c>
      <c r="F642" s="219">
        <f>(F624/F612)*BV64</f>
        <v>179.67877024833578</v>
      </c>
      <c r="G642" s="217">
        <f>(G625/G612)*BV91</f>
        <v>0</v>
      </c>
      <c r="H642" s="219">
        <f>(H628/H612)*BV60</f>
        <v>33949.51639388896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441229</v>
      </c>
      <c r="D644" s="217">
        <f>(D615/D612)*BX90</f>
        <v>0</v>
      </c>
      <c r="E644" s="219">
        <f>(E623/E612)*SUM(C644:D644)</f>
        <v>27091.468083366341</v>
      </c>
      <c r="F644" s="219">
        <f>(F624/F612)*BX64</f>
        <v>0</v>
      </c>
      <c r="G644" s="217">
        <f>(G625/G612)*BX91</f>
        <v>0</v>
      </c>
      <c r="H644" s="219">
        <f>(H628/H612)*BX60</f>
        <v>16974.75819694448</v>
      </c>
      <c r="I644" s="217">
        <f>(I629/I612)*BX92</f>
        <v>0</v>
      </c>
      <c r="J644" s="217">
        <f>(J630/J612)*BX93</f>
        <v>0</v>
      </c>
      <c r="K644" s="219">
        <f>SUM(C631:J644)</f>
        <v>5436569.9833032135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925033</v>
      </c>
      <c r="D645" s="217">
        <f>(D615/D612)*BY90</f>
        <v>45385.68018300557</v>
      </c>
      <c r="E645" s="219">
        <f>(E623/E612)*SUM(C645:D645)</f>
        <v>59583.723421806782</v>
      </c>
      <c r="F645" s="219">
        <f>(F624/F612)*BY64</f>
        <v>0</v>
      </c>
      <c r="G645" s="217">
        <f>(G625/G612)*BY91</f>
        <v>0</v>
      </c>
      <c r="H645" s="219">
        <f>(H628/H612)*BY60</f>
        <v>42436.895492361204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1072439.2990971736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13459184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3300543</v>
      </c>
      <c r="D670" s="217">
        <f>(D615/D612)*E90</f>
        <v>1176882.1425672434</v>
      </c>
      <c r="E670" s="219">
        <f>(E623/E612)*SUM(C670:D670)</f>
        <v>274913.97969200223</v>
      </c>
      <c r="F670" s="219">
        <f>(F624/F612)*E64</f>
        <v>8270.9857243468614</v>
      </c>
      <c r="G670" s="217">
        <f>(G625/G612)*E91</f>
        <v>200688.57103546968</v>
      </c>
      <c r="H670" s="219">
        <f>(H628/H612)*E60</f>
        <v>161260.20287097257</v>
      </c>
      <c r="I670" s="217">
        <f>(I629/I612)*E92</f>
        <v>182563.3265394381</v>
      </c>
      <c r="J670" s="217">
        <f>(J630/J612)*E93</f>
        <v>54073.893144753441</v>
      </c>
      <c r="K670" s="217">
        <f>(K644/K612)*E89</f>
        <v>652587.56025118975</v>
      </c>
      <c r="L670" s="217">
        <f>(L647/L612)*E94</f>
        <v>612822.45662695635</v>
      </c>
      <c r="M670" s="202">
        <f t="shared" si="0"/>
        <v>3324063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2175253</v>
      </c>
      <c r="D681" s="217">
        <f>(D615/D612)*P90</f>
        <v>83196.381212411899</v>
      </c>
      <c r="E681" s="219">
        <f>(E623/E612)*SUM(C681:D681)</f>
        <v>138668.83031037063</v>
      </c>
      <c r="F681" s="219">
        <f>(F624/F612)*P64</f>
        <v>66921.488940195472</v>
      </c>
      <c r="G681" s="217">
        <f>(G625/G612)*P91</f>
        <v>0</v>
      </c>
      <c r="H681" s="219">
        <f>(H628/H612)*P60</f>
        <v>59411.653689305676</v>
      </c>
      <c r="I681" s="217">
        <f>(I629/I612)*P92</f>
        <v>62593.140527807351</v>
      </c>
      <c r="J681" s="217">
        <f>(J630/J612)*P93</f>
        <v>17443.191337017237</v>
      </c>
      <c r="K681" s="217">
        <f>(K644/K612)*P89</f>
        <v>344720.83791552653</v>
      </c>
      <c r="L681" s="217">
        <f>(L647/L612)*P94</f>
        <v>122564.49132539127</v>
      </c>
      <c r="M681" s="202">
        <f t="shared" si="0"/>
        <v>895520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638417</v>
      </c>
      <c r="D683" s="217">
        <f>(D615/D612)*R90</f>
        <v>0</v>
      </c>
      <c r="E683" s="219">
        <f>(E623/E612)*SUM(C683:D683)</f>
        <v>39198.814627729567</v>
      </c>
      <c r="F683" s="219">
        <f>(F624/F612)*R64</f>
        <v>1237.2166751385407</v>
      </c>
      <c r="G683" s="217">
        <f>(G625/G612)*R91</f>
        <v>0</v>
      </c>
      <c r="H683" s="219">
        <f>(H628/H612)*R60</f>
        <v>8487.37909847224</v>
      </c>
      <c r="I683" s="217">
        <f>(I629/I612)*R92</f>
        <v>0</v>
      </c>
      <c r="J683" s="217">
        <f>(J630/J612)*R93</f>
        <v>0</v>
      </c>
      <c r="K683" s="217">
        <f>(K644/K612)*R89</f>
        <v>107521.95100419193</v>
      </c>
      <c r="L683" s="217">
        <f>(L647/L612)*R94</f>
        <v>0</v>
      </c>
      <c r="M683" s="202">
        <f t="shared" si="0"/>
        <v>156445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101274</v>
      </c>
      <c r="D684" s="217">
        <f>(D615/D612)*S90</f>
        <v>0</v>
      </c>
      <c r="E684" s="219">
        <f>(E623/E612)*SUM(C684:D684)</f>
        <v>6218.2253176351578</v>
      </c>
      <c r="F684" s="219">
        <f>(F624/F612)*S64</f>
        <v>2345.5675267170504</v>
      </c>
      <c r="G684" s="217">
        <f>(G625/G612)*S91</f>
        <v>0</v>
      </c>
      <c r="H684" s="219">
        <f>(H628/H612)*S60</f>
        <v>16974.75819694448</v>
      </c>
      <c r="I684" s="217">
        <f>(I629/I612)*S92</f>
        <v>0</v>
      </c>
      <c r="J684" s="217">
        <f>(J630/J612)*S93</f>
        <v>0</v>
      </c>
      <c r="K684" s="217">
        <f>(K644/K612)*S89</f>
        <v>247355.81743861511</v>
      </c>
      <c r="L684" s="217">
        <f>(L647/L612)*S94</f>
        <v>0</v>
      </c>
      <c r="M684" s="202">
        <f t="shared" si="0"/>
        <v>272894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1969687</v>
      </c>
      <c r="D686" s="217">
        <f>(D615/D612)*U90</f>
        <v>67597.059735084666</v>
      </c>
      <c r="E686" s="219">
        <f>(E623/E612)*SUM(C686:D686)</f>
        <v>125089.27582063747</v>
      </c>
      <c r="F686" s="219">
        <f>(F624/F612)*U64</f>
        <v>47347.084648313503</v>
      </c>
      <c r="G686" s="217">
        <f>(G625/G612)*U91</f>
        <v>0</v>
      </c>
      <c r="H686" s="219">
        <f>(H628/H612)*U60</f>
        <v>67899.03278777792</v>
      </c>
      <c r="I686" s="217">
        <f>(I629/I612)*U92</f>
        <v>57377.045483823407</v>
      </c>
      <c r="J686" s="217">
        <f>(J630/J612)*U93</f>
        <v>0</v>
      </c>
      <c r="K686" s="217">
        <f>(K644/K612)*U89</f>
        <v>565517.16378780524</v>
      </c>
      <c r="L686" s="217">
        <f>(L647/L612)*U94</f>
        <v>0</v>
      </c>
      <c r="M686" s="202">
        <f t="shared" si="0"/>
        <v>930827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225744</v>
      </c>
      <c r="D688" s="217">
        <f>(D615/D612)*W90</f>
        <v>0</v>
      </c>
      <c r="E688" s="219">
        <f>(E623/E612)*SUM(C688:D688)</f>
        <v>13860.685428680916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80228.593406467189</v>
      </c>
      <c r="L688" s="217">
        <f>(L647/L612)*W94</f>
        <v>0</v>
      </c>
      <c r="M688" s="202">
        <f t="shared" si="0"/>
        <v>94089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110780</v>
      </c>
      <c r="D689" s="217">
        <f>(D615/D612)*X90</f>
        <v>0</v>
      </c>
      <c r="E689" s="219">
        <f>(E623/E612)*SUM(C689:D689)</f>
        <v>6801.8938788595569</v>
      </c>
      <c r="F689" s="219">
        <f>(F624/F612)*X64</f>
        <v>2883.4513788773743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591937.37057675573</v>
      </c>
      <c r="L689" s="217">
        <f>(L647/L612)*X94</f>
        <v>0</v>
      </c>
      <c r="M689" s="202">
        <f t="shared" si="0"/>
        <v>601623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1639760</v>
      </c>
      <c r="D690" s="217">
        <f>(D615/D612)*Y90</f>
        <v>157469.69376083827</v>
      </c>
      <c r="E690" s="219">
        <f>(E623/E612)*SUM(C690:D690)</f>
        <v>110349.93367843005</v>
      </c>
      <c r="F690" s="219">
        <f>(F624/F612)*Y64</f>
        <v>1171.2122289248662</v>
      </c>
      <c r="G690" s="217">
        <f>(G625/G612)*Y91</f>
        <v>0</v>
      </c>
      <c r="H690" s="219">
        <f>(H628/H612)*Y60</f>
        <v>84873.790984722407</v>
      </c>
      <c r="I690" s="217">
        <f>(I629/I612)*Y92</f>
        <v>109537.99592366286</v>
      </c>
      <c r="J690" s="217">
        <f>(J630/J612)*Y93</f>
        <v>12210.233935912067</v>
      </c>
      <c r="K690" s="217">
        <f>(K644/K612)*Y89</f>
        <v>375436.31391140487</v>
      </c>
      <c r="L690" s="217">
        <f>(L647/L612)*Y94</f>
        <v>0</v>
      </c>
      <c r="M690" s="202">
        <f t="shared" si="0"/>
        <v>851049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118133</v>
      </c>
      <c r="D692" s="217">
        <f>(D615/D612)*AA90</f>
        <v>0</v>
      </c>
      <c r="E692" s="219">
        <f>(E623/E612)*SUM(C692:D692)</f>
        <v>7253.3682035684778</v>
      </c>
      <c r="F692" s="219">
        <f>(F624/F612)*AA64</f>
        <v>1865.0970658663985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29956.898149147371</v>
      </c>
      <c r="L692" s="217">
        <f>(L647/L612)*AA94</f>
        <v>0</v>
      </c>
      <c r="M692" s="202">
        <f t="shared" si="0"/>
        <v>39075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870584</v>
      </c>
      <c r="D693" s="217">
        <f>(D615/D612)*AB90</f>
        <v>31968.97981773235</v>
      </c>
      <c r="E693" s="219">
        <f>(E623/E612)*SUM(C693:D693)</f>
        <v>55416.76826835789</v>
      </c>
      <c r="F693" s="219">
        <f>(F624/F612)*AB64</f>
        <v>32172.662463789766</v>
      </c>
      <c r="G693" s="217">
        <f>(G625/G612)*AB91</f>
        <v>0</v>
      </c>
      <c r="H693" s="219">
        <f>(H628/H612)*AB60</f>
        <v>0</v>
      </c>
      <c r="I693" s="217">
        <f>(I629/I612)*AB92</f>
        <v>62593.140527807351</v>
      </c>
      <c r="J693" s="217">
        <f>(J630/J612)*AB93</f>
        <v>0</v>
      </c>
      <c r="K693" s="217">
        <f>(K644/K612)*AB89</f>
        <v>123662.13621595438</v>
      </c>
      <c r="L693" s="217">
        <f>(L647/L612)*AB94</f>
        <v>0</v>
      </c>
      <c r="M693" s="202">
        <f t="shared" si="0"/>
        <v>305814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431771</v>
      </c>
      <c r="D694" s="217">
        <f>(D615/D612)*AC90</f>
        <v>63681.180681105405</v>
      </c>
      <c r="E694" s="219">
        <f>(E623/E612)*SUM(C694:D694)</f>
        <v>30420.772296826413</v>
      </c>
      <c r="F694" s="219">
        <f>(F624/F612)*AC64</f>
        <v>1152.3538157209593</v>
      </c>
      <c r="G694" s="217">
        <f>(G625/G612)*AC91</f>
        <v>0</v>
      </c>
      <c r="H694" s="219">
        <f>(H628/H612)*AC60</f>
        <v>25462.13729541672</v>
      </c>
      <c r="I694" s="217">
        <f>(I629/I612)*AC92</f>
        <v>67809.235571791301</v>
      </c>
      <c r="J694" s="217">
        <f>(J630/J612)*AC93</f>
        <v>0</v>
      </c>
      <c r="K694" s="217">
        <f>(K644/K612)*AC89</f>
        <v>89324.132743707916</v>
      </c>
      <c r="L694" s="217">
        <f>(L647/L612)*AC94</f>
        <v>0</v>
      </c>
      <c r="M694" s="202">
        <f t="shared" si="0"/>
        <v>277850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1738752</v>
      </c>
      <c r="D696" s="217">
        <f>(D615/D612)*AE90</f>
        <v>181414.33125484263</v>
      </c>
      <c r="E696" s="219">
        <f>(E623/E612)*SUM(C696:D696)</f>
        <v>117898.24530560143</v>
      </c>
      <c r="F696" s="219">
        <f>(F624/F612)*AE64</f>
        <v>2429.3826965121925</v>
      </c>
      <c r="G696" s="217">
        <f>(G625/G612)*AE91</f>
        <v>0</v>
      </c>
      <c r="H696" s="219">
        <f>(H628/H612)*AE60</f>
        <v>110335.92828013912</v>
      </c>
      <c r="I696" s="217">
        <f>(I629/I612)*AE92</f>
        <v>119970.18601163077</v>
      </c>
      <c r="J696" s="217">
        <f>(J630/J612)*AE93</f>
        <v>29653.425272929308</v>
      </c>
      <c r="K696" s="217">
        <f>(K644/K612)*AE89</f>
        <v>400517.96403596096</v>
      </c>
      <c r="L696" s="217">
        <f>(L647/L612)*AE94</f>
        <v>0</v>
      </c>
      <c r="M696" s="202">
        <f t="shared" si="0"/>
        <v>962219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4347493</v>
      </c>
      <c r="D698" s="217">
        <f>(D615/D612)*AG90</f>
        <v>227120.98513079731</v>
      </c>
      <c r="E698" s="219">
        <f>(E623/E612)*SUM(C698:D698)</f>
        <v>280881.37627375423</v>
      </c>
      <c r="F698" s="219">
        <f>(F624/F612)*AG64</f>
        <v>16644.54026273053</v>
      </c>
      <c r="G698" s="217">
        <f>(G625/G612)*AG91</f>
        <v>0</v>
      </c>
      <c r="H698" s="219">
        <f>(H628/H612)*AG60</f>
        <v>135798.06557555584</v>
      </c>
      <c r="I698" s="217">
        <f>(I629/I612)*AG92</f>
        <v>99105.805835694977</v>
      </c>
      <c r="J698" s="217">
        <f>(J630/J612)*AG93</f>
        <v>59306.850545858615</v>
      </c>
      <c r="K698" s="217">
        <f>(K644/K612)*AG89</f>
        <v>1197950.3665198274</v>
      </c>
      <c r="L698" s="217">
        <f>(L647/L612)*AG94</f>
        <v>153205.61415673909</v>
      </c>
      <c r="M698" s="202">
        <f t="shared" si="0"/>
        <v>2170014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483337</v>
      </c>
      <c r="D699" s="217">
        <f>(D615/D612)*AH90</f>
        <v>0</v>
      </c>
      <c r="E699" s="219">
        <f>(E623/E612)*SUM(C699:D699)</f>
        <v>29676.899997529712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29677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10156.181684391315</v>
      </c>
      <c r="L700" s="217">
        <f>(L647/L612)*AI94</f>
        <v>0</v>
      </c>
      <c r="M700" s="202">
        <f t="shared" si="0"/>
        <v>10156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6801776</v>
      </c>
      <c r="D701" s="217">
        <f>(D615/D612)*AJ90</f>
        <v>518179.92989705934</v>
      </c>
      <c r="E701" s="219">
        <f>(E623/E612)*SUM(C701:D701)</f>
        <v>449445.41824416432</v>
      </c>
      <c r="F701" s="219">
        <f>(F624/F612)*AJ64</f>
        <v>37074.697438220894</v>
      </c>
      <c r="G701" s="217">
        <f>(G625/G612)*AJ91</f>
        <v>0</v>
      </c>
      <c r="H701" s="219">
        <f>(H628/H612)*AJ60</f>
        <v>398906.81762819528</v>
      </c>
      <c r="I701" s="217">
        <f>(I629/I612)*AJ92</f>
        <v>0</v>
      </c>
      <c r="J701" s="217">
        <f>(J630/J612)*AJ93</f>
        <v>0</v>
      </c>
      <c r="K701" s="217">
        <f>(K644/K612)*AJ89</f>
        <v>619696.69566226762</v>
      </c>
      <c r="L701" s="217">
        <f>(L647/L612)*AJ94</f>
        <v>183846.73698808689</v>
      </c>
      <c r="M701" s="202">
        <f t="shared" si="0"/>
        <v>2207150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874948</v>
      </c>
      <c r="D713" s="217">
        <f>(D615/D612)*AV90</f>
        <v>212677.16894808691</v>
      </c>
      <c r="E713" s="219">
        <f>(E623/E612)*SUM(C713:D713)</f>
        <v>66780.203819837363</v>
      </c>
      <c r="F713" s="219">
        <f>(F624/F612)*AV64</f>
        <v>51260.624463973174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330718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39287436</v>
      </c>
      <c r="D715" s="202">
        <f>SUM(D616:D647)+SUM(D668:D713)</f>
        <v>3479740</v>
      </c>
      <c r="E715" s="202">
        <f>SUM(E624:E647)+SUM(E668:E713)</f>
        <v>2272705.1047485517</v>
      </c>
      <c r="F715" s="202">
        <f>SUM(F625:F648)+SUM(F668:F713)</f>
        <v>308328.03636340849</v>
      </c>
      <c r="G715" s="202">
        <f>SUM(G626:G647)+SUM(G668:G713)</f>
        <v>957629.35766766605</v>
      </c>
      <c r="H715" s="202">
        <f>SUM(H629:H647)+SUM(H668:H713)</f>
        <v>1468316.5840356976</v>
      </c>
      <c r="I715" s="202">
        <f>SUM(I630:I647)+SUM(I668:I713)</f>
        <v>761549.87642165623</v>
      </c>
      <c r="J715" s="202">
        <f>SUM(J631:J647)+SUM(J668:J713)</f>
        <v>172687.59423647067</v>
      </c>
      <c r="K715" s="202">
        <f>SUM(K668:K713)</f>
        <v>5436569.9833032135</v>
      </c>
      <c r="L715" s="202">
        <f>SUM(L668:L713)</f>
        <v>1072439.2990971736</v>
      </c>
      <c r="M715" s="202">
        <f>SUM(M668:M713)</f>
        <v>13459183</v>
      </c>
      <c r="N715" s="211" t="s">
        <v>694</v>
      </c>
    </row>
    <row r="716" spans="1:14" s="202" customFormat="1" ht="12.6" customHeight="1" x14ac:dyDescent="0.2">
      <c r="C716" s="214">
        <f>CE85</f>
        <v>39287436</v>
      </c>
      <c r="D716" s="202">
        <f>D615</f>
        <v>3479740</v>
      </c>
      <c r="E716" s="202">
        <f>E623</f>
        <v>2272705.1047485517</v>
      </c>
      <c r="F716" s="202">
        <f>F624</f>
        <v>308328.03636340849</v>
      </c>
      <c r="G716" s="202">
        <f>G625</f>
        <v>957629.35766766616</v>
      </c>
      <c r="H716" s="202">
        <f>H628</f>
        <v>1468316.5840356974</v>
      </c>
      <c r="I716" s="202">
        <f>I629</f>
        <v>761549.87642165611</v>
      </c>
      <c r="J716" s="202">
        <f>J630</f>
        <v>172687.59423647067</v>
      </c>
      <c r="K716" s="202">
        <f>K644</f>
        <v>5436569.9833032135</v>
      </c>
      <c r="L716" s="202">
        <f>L647</f>
        <v>1072439.2990971736</v>
      </c>
      <c r="M716" s="202">
        <f>C648</f>
        <v>13459184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173</v>
      </c>
      <c r="C2" s="11" t="str">
        <f>SUBSTITUTE(LEFT(data!C98,49),",","")</f>
        <v>Arbor Health</v>
      </c>
      <c r="D2" s="11" t="str">
        <f>LEFT(data!C99, 49)</f>
        <v>PO Box 1138</v>
      </c>
      <c r="E2" s="11" t="str">
        <f>LEFT(data!C100, 100)</f>
        <v>Morton</v>
      </c>
      <c r="F2" s="11" t="str">
        <f>LEFT(data!C101, 2)</f>
        <v>WA</v>
      </c>
      <c r="G2" s="11" t="str">
        <f>LEFT(data!C102, 100)</f>
        <v>98356</v>
      </c>
      <c r="H2" s="11" t="str">
        <f>LEFT(data!C103, 100)</f>
        <v>Lewis</v>
      </c>
      <c r="I2" s="11" t="str">
        <f>LEFT(data!C104, 49)</f>
        <v>Robert Mach</v>
      </c>
      <c r="J2" s="11" t="str">
        <f>LEFT(data!C105, 49)</f>
        <v>Cheryl Cornwell</v>
      </c>
      <c r="K2" s="11" t="str">
        <f>LEFT(data!C107, 49)</f>
        <v>360-496-5112</v>
      </c>
      <c r="L2" s="11" t="str">
        <f>LEFT(data!C108, 49)</f>
        <v>360-496-3511</v>
      </c>
      <c r="M2" s="11" t="str">
        <f>LEFT(data!C109, 49)</f>
        <v>Clint Scogin</v>
      </c>
      <c r="N2" s="11" t="str">
        <f>LEFT(data!C110, 49)</f>
        <v>cscogin@myarborhealth.org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173</v>
      </c>
      <c r="B2" s="200" t="str">
        <f>RIGHT(data!C96,4)</f>
        <v>2024</v>
      </c>
      <c r="C2" s="12" t="s">
        <v>1163</v>
      </c>
      <c r="D2" s="199">
        <f>ROUND(N(data!C181),0)</f>
        <v>1353127</v>
      </c>
      <c r="E2" s="199">
        <f>ROUND(N(data!C182),0)</f>
        <v>28398</v>
      </c>
      <c r="F2" s="199">
        <f>ROUND(N(data!C183),0)</f>
        <v>250336</v>
      </c>
      <c r="G2" s="199">
        <f>ROUND(N(data!C184),0)</f>
        <v>2531105</v>
      </c>
      <c r="H2" s="199">
        <f>ROUND(N(data!C185),0)</f>
        <v>140088</v>
      </c>
      <c r="I2" s="199">
        <f>ROUND(N(data!C186),0)</f>
        <v>737189</v>
      </c>
      <c r="J2" s="199">
        <f>ROUND(N(data!C187)+N(data!C188),0)</f>
        <v>173816</v>
      </c>
      <c r="K2" s="199">
        <f>ROUND(N(data!C191),0)</f>
        <v>127734</v>
      </c>
      <c r="L2" s="199">
        <f>ROUND(N(data!C192),0)</f>
        <v>0</v>
      </c>
      <c r="M2" s="199">
        <f>ROUND(N(data!C195),0)</f>
        <v>167628</v>
      </c>
      <c r="N2" s="199">
        <f>ROUND(N(data!C196),0)</f>
        <v>246145</v>
      </c>
      <c r="O2" s="199">
        <f>ROUND(N(data!C199),0)</f>
        <v>15655</v>
      </c>
      <c r="P2" s="199">
        <f>ROUND(N(data!C200),0)</f>
        <v>245061</v>
      </c>
      <c r="Q2" s="199">
        <f>ROUND(N(data!C201),0)</f>
        <v>362297</v>
      </c>
      <c r="R2" s="199">
        <f>ROUND(N(data!C204),0)</f>
        <v>423940</v>
      </c>
      <c r="S2" s="199">
        <f>ROUND(N(data!C205),0)</f>
        <v>0</v>
      </c>
      <c r="T2" s="199">
        <f>ROUND(N(data!B211),0)</f>
        <v>952749</v>
      </c>
      <c r="U2" s="199">
        <f>ROUND(N(data!C211),0)</f>
        <v>0</v>
      </c>
      <c r="V2" s="199">
        <f>ROUND(N(data!D211),0)</f>
        <v>0</v>
      </c>
      <c r="W2" s="199">
        <f>ROUND(N(data!B212),0)</f>
        <v>1426739</v>
      </c>
      <c r="X2" s="199">
        <f>ROUND(N(data!C212),0)</f>
        <v>0</v>
      </c>
      <c r="Y2" s="199">
        <f>ROUND(N(data!D212),0)</f>
        <v>0</v>
      </c>
      <c r="Z2" s="199">
        <f>ROUND(N(data!B213),0)</f>
        <v>16059783</v>
      </c>
      <c r="AA2" s="199">
        <f>ROUND(N(data!C213),0)</f>
        <v>0</v>
      </c>
      <c r="AB2" s="199">
        <f>ROUND(N(data!D213),0)</f>
        <v>0</v>
      </c>
      <c r="AC2" s="199">
        <f>ROUND(N(data!B214),0)</f>
        <v>5089019</v>
      </c>
      <c r="AD2" s="199">
        <f>ROUND(N(data!C214),0)</f>
        <v>241661</v>
      </c>
      <c r="AE2" s="199">
        <f>ROUND(N(data!D214),0)</f>
        <v>0</v>
      </c>
      <c r="AF2" s="199">
        <f>ROUND(N(data!B215),0)</f>
        <v>2711951</v>
      </c>
      <c r="AG2" s="199">
        <f>ROUND(N(data!C215),0)</f>
        <v>0</v>
      </c>
      <c r="AH2" s="199">
        <f>ROUND(N(data!D215),0)</f>
        <v>0</v>
      </c>
      <c r="AI2" s="199">
        <f>ROUND(N(data!B216),0)</f>
        <v>8986573</v>
      </c>
      <c r="AJ2" s="199">
        <f>ROUND(N(data!C216),0)</f>
        <v>369264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0</v>
      </c>
      <c r="AS2" s="199">
        <f>ROUND(N(data!C219),0)</f>
        <v>0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1244990</v>
      </c>
      <c r="AY2" s="199">
        <f>ROUND(N(data!C225),0)</f>
        <v>52504</v>
      </c>
      <c r="AZ2" s="199">
        <f>ROUND(N(data!D225),0)</f>
        <v>0</v>
      </c>
      <c r="BA2" s="199">
        <f>ROUND(N(data!B226),0)</f>
        <v>12930892</v>
      </c>
      <c r="BB2" s="199">
        <f>ROUND(N(data!C226),0)</f>
        <v>444793</v>
      </c>
      <c r="BC2" s="199">
        <f>ROUND(N(data!D226),0)</f>
        <v>0</v>
      </c>
      <c r="BD2" s="199">
        <f>ROUND(N(data!B227),0)</f>
        <v>1281206</v>
      </c>
      <c r="BE2" s="199">
        <f>ROUND(N(data!C227),0)</f>
        <v>179578</v>
      </c>
      <c r="BF2" s="199">
        <f>ROUND(N(data!D227),0)</f>
        <v>0</v>
      </c>
      <c r="BG2" s="199">
        <f>ROUND(N(data!B228),0)</f>
        <v>2061574</v>
      </c>
      <c r="BH2" s="199">
        <f>ROUND(N(data!C228),0)</f>
        <v>73781</v>
      </c>
      <c r="BI2" s="199">
        <f>ROUND(N(data!D228),0)</f>
        <v>0</v>
      </c>
      <c r="BJ2" s="199">
        <f>ROUND(N(data!B229),0)</f>
        <v>7864667</v>
      </c>
      <c r="BK2" s="199">
        <f>ROUND(N(data!C229),0)</f>
        <v>454891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15082115</v>
      </c>
      <c r="BW2" s="199">
        <f>ROUND(N(data!C240),0)</f>
        <v>5025286</v>
      </c>
      <c r="BX2" s="199">
        <f>ROUND(N(data!C241),0)</f>
        <v>421023</v>
      </c>
      <c r="BY2" s="199">
        <f>ROUND(N(data!C242),0)</f>
        <v>0</v>
      </c>
      <c r="BZ2" s="199">
        <f>ROUND(N(data!C243),0)</f>
        <v>0</v>
      </c>
      <c r="CA2" s="199">
        <f>ROUND(N(data!C244),0)</f>
        <v>5539656</v>
      </c>
      <c r="CB2" s="199">
        <f>ROUND(N(data!C247),0)</f>
        <v>660</v>
      </c>
      <c r="CC2" s="199">
        <f>ROUND(N(data!C249),0)</f>
        <v>0</v>
      </c>
      <c r="CD2" s="199">
        <f>ROUND(N(data!C250),0)</f>
        <v>911139</v>
      </c>
      <c r="CE2" s="199">
        <f>ROUND(N(data!C254)+N(data!C255),0)</f>
        <v>1261124</v>
      </c>
      <c r="CF2" s="199">
        <f>ROUND(N(data!D237),0)</f>
        <v>707642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173</v>
      </c>
      <c r="B2" s="12" t="str">
        <f>RIGHT(data!C96,4)</f>
        <v>2024</v>
      </c>
      <c r="C2" s="12" t="s">
        <v>1163</v>
      </c>
      <c r="D2" s="198">
        <f>ROUND(N(data!C127),0)</f>
        <v>114</v>
      </c>
      <c r="E2" s="198">
        <f>ROUND(N(data!C128),0)</f>
        <v>82</v>
      </c>
      <c r="F2" s="198">
        <f>ROUND(N(data!C129),0)</f>
        <v>0</v>
      </c>
      <c r="G2" s="198">
        <f>ROUND(N(data!C130),0)</f>
        <v>0</v>
      </c>
      <c r="H2" s="198">
        <f>ROUND(N(data!D127),0)</f>
        <v>497</v>
      </c>
      <c r="I2" s="198">
        <f>ROUND(N(data!D128),0)</f>
        <v>1069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10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15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25</v>
      </c>
      <c r="X2" s="198">
        <f>ROUND(N(data!C145),0)</f>
        <v>25</v>
      </c>
      <c r="Y2" s="198">
        <f>ROUND(N(data!B154),0)</f>
        <v>83</v>
      </c>
      <c r="Z2" s="198">
        <f>ROUND(N(data!B155),0)</f>
        <v>356</v>
      </c>
      <c r="AA2" s="198">
        <f>ROUND(N(data!B156),0)</f>
        <v>11031</v>
      </c>
      <c r="AB2" s="198">
        <f>ROUND(N(data!B157),0)</f>
        <v>4872556</v>
      </c>
      <c r="AC2" s="198">
        <f>ROUND(N(data!B158),0)</f>
        <v>26039575</v>
      </c>
      <c r="AD2" s="198">
        <f>ROUND(N(data!C154),0)</f>
        <v>10</v>
      </c>
      <c r="AE2" s="198">
        <f>ROUND(N(data!C155),0)</f>
        <v>50</v>
      </c>
      <c r="AF2" s="198">
        <f>ROUND(N(data!C156),0)</f>
        <v>5501</v>
      </c>
      <c r="AG2" s="198">
        <f>ROUND(N(data!C157),0)</f>
        <v>2533729</v>
      </c>
      <c r="AH2" s="198">
        <f>ROUND(N(data!C158),0)</f>
        <v>13540580</v>
      </c>
      <c r="AI2" s="198">
        <f>ROUND(N(data!D154),0)</f>
        <v>22</v>
      </c>
      <c r="AJ2" s="198">
        <f>ROUND(N(data!D155),0)</f>
        <v>91</v>
      </c>
      <c r="AK2" s="198">
        <f>ROUND(N(data!D156),0)</f>
        <v>5529</v>
      </c>
      <c r="AL2" s="198">
        <f>ROUND(N(data!D157),0)</f>
        <v>2338827</v>
      </c>
      <c r="AM2" s="198">
        <f>ROUND(N(data!D158),0)</f>
        <v>12498996</v>
      </c>
      <c r="AN2" s="198">
        <f>ROUND(N(data!B160),0)</f>
        <v>72</v>
      </c>
      <c r="AO2" s="198">
        <f>ROUND(N(data!B161),0)</f>
        <v>988</v>
      </c>
      <c r="AP2" s="198">
        <f>ROUND(N(data!B162),0)</f>
        <v>0</v>
      </c>
      <c r="AQ2" s="198">
        <f>ROUND(N(data!B163),0)</f>
        <v>4286146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10</v>
      </c>
      <c r="AY2" s="198">
        <f>ROUND(N(data!D161),0)</f>
        <v>82</v>
      </c>
      <c r="AZ2" s="198">
        <f>ROUND(N(data!D162),0)</f>
        <v>0</v>
      </c>
      <c r="BA2" s="198">
        <f>ROUND(N(data!D163),0)</f>
        <v>372710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2670922</v>
      </c>
      <c r="BS2" s="198">
        <f>ROUND(N(data!C173),0)</f>
        <v>2365751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173</v>
      </c>
      <c r="B2" s="200" t="str">
        <f>RIGHT(data!C96,4)</f>
        <v>2024</v>
      </c>
      <c r="C2" s="12" t="s">
        <v>1163</v>
      </c>
      <c r="D2" s="198">
        <f>ROUND(N(data!C181),0)</f>
        <v>1353127</v>
      </c>
      <c r="E2" s="198">
        <f>ROUND(N(data!C267),0)</f>
        <v>0</v>
      </c>
      <c r="F2" s="198">
        <f>ROUND(N(data!C268),0)</f>
        <v>11049177</v>
      </c>
      <c r="G2" s="198">
        <f>ROUND(N(data!C269),0)</f>
        <v>4250094</v>
      </c>
      <c r="H2" s="198">
        <f>ROUND(N(data!C270),0)</f>
        <v>0</v>
      </c>
      <c r="I2" s="198">
        <f>ROUND(N(data!C271),0)</f>
        <v>35830</v>
      </c>
      <c r="J2" s="198">
        <f>ROUND(N(data!C272),0)</f>
        <v>0</v>
      </c>
      <c r="K2" s="198">
        <f>ROUND(N(data!C273),0)</f>
        <v>238552</v>
      </c>
      <c r="L2" s="198">
        <f>ROUND(N(data!C274),0)</f>
        <v>470965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1913639</v>
      </c>
      <c r="Q2" s="198">
        <f>ROUND(N(data!C283),0)</f>
        <v>952749</v>
      </c>
      <c r="R2" s="198">
        <f>ROUND(N(data!C284),0)</f>
        <v>1426739</v>
      </c>
      <c r="S2" s="198">
        <f>ROUND(N(data!C285),0)</f>
        <v>16059783</v>
      </c>
      <c r="T2" s="198">
        <f>ROUND(N(data!C286),0)</f>
        <v>5330680</v>
      </c>
      <c r="U2" s="198">
        <f>ROUND(N(data!C287),0)</f>
        <v>2711951</v>
      </c>
      <c r="V2" s="198">
        <f>ROUND(N(data!C288),0)</f>
        <v>9355837</v>
      </c>
      <c r="W2" s="198">
        <f>ROUND(N(data!C289),0)</f>
        <v>0</v>
      </c>
      <c r="X2" s="198">
        <f>ROUND(N(data!C290),0)</f>
        <v>0</v>
      </c>
      <c r="Y2" s="198">
        <f>ROUND(N(data!C291),0)</f>
        <v>0</v>
      </c>
      <c r="Z2" s="198">
        <f>ROUND(N(data!C292),0)</f>
        <v>26588876</v>
      </c>
      <c r="AA2" s="198">
        <f>ROUND(N(data!C295),0)</f>
        <v>2176049</v>
      </c>
      <c r="AB2" s="198">
        <f>ROUND(N(data!C296),0)</f>
        <v>1007142</v>
      </c>
      <c r="AC2" s="198">
        <f>ROUND(N(data!C297),0)</f>
        <v>0</v>
      </c>
      <c r="AD2" s="198">
        <f>ROUND(N(data!C298),0)</f>
        <v>2661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1291094</v>
      </c>
      <c r="AK2" s="198">
        <f>ROUND(N(data!C316),0)</f>
        <v>2547447</v>
      </c>
      <c r="AL2" s="198">
        <f>ROUND(N(data!C317),0)</f>
        <v>0</v>
      </c>
      <c r="AM2" s="198">
        <f>ROUND(N(data!C318),0)</f>
        <v>0</v>
      </c>
      <c r="AN2" s="198">
        <f>ROUND(N(data!C319),0)</f>
        <v>598945</v>
      </c>
      <c r="AO2" s="198">
        <f>ROUND(N(data!C320),0)</f>
        <v>0</v>
      </c>
      <c r="AP2" s="198">
        <f>ROUND(N(data!C321),0)</f>
        <v>0</v>
      </c>
      <c r="AQ2" s="198">
        <f>ROUND(N(data!C322),0)</f>
        <v>4842</v>
      </c>
      <c r="AR2" s="198">
        <f>ROUND(N(data!C323),0)</f>
        <v>950223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460195</v>
      </c>
      <c r="AY2" s="198">
        <f>ROUND(N(data!C334),0)</f>
        <v>897925</v>
      </c>
      <c r="AZ2" s="198">
        <f>ROUND(N(data!C335),0)</f>
        <v>5056285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15192014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228.3</v>
      </c>
      <c r="BL2" s="198">
        <f>ROUND(N(data!C358),0)</f>
        <v>9745112</v>
      </c>
      <c r="BM2" s="198">
        <f>ROUND(N(data!C359),0)</f>
        <v>59232667</v>
      </c>
      <c r="BN2" s="198">
        <f>ROUND(N(data!C363),0)</f>
        <v>26068081</v>
      </c>
      <c r="BO2" s="198">
        <f>ROUND(N(data!C364),0)</f>
        <v>911139</v>
      </c>
      <c r="BP2" s="198">
        <f>ROUND(N(data!C365),0)</f>
        <v>1261124</v>
      </c>
      <c r="BQ2" s="198">
        <f>ROUND(N(data!D381),0)</f>
        <v>3757994</v>
      </c>
      <c r="BR2" s="198">
        <f>ROUND(N(data!C370),0)</f>
        <v>0</v>
      </c>
      <c r="BS2" s="198">
        <f>ROUND(N(data!C371),0)</f>
        <v>601915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314756</v>
      </c>
      <c r="BY2" s="198">
        <f>ROUND(N(data!C377),0)</f>
        <v>0</v>
      </c>
      <c r="BZ2" s="198">
        <f>ROUND(N(data!C378),0)</f>
        <v>5025</v>
      </c>
      <c r="CA2" s="198">
        <f>ROUND(N(data!C379),0)</f>
        <v>150174</v>
      </c>
      <c r="CB2" s="198">
        <f>ROUND(N(data!C380),0)</f>
        <v>2686124</v>
      </c>
      <c r="CC2" s="198">
        <f>ROUND(N(data!C382),0)</f>
        <v>989490</v>
      </c>
      <c r="CD2" s="198">
        <f>ROUND(N(data!C389),0)</f>
        <v>25053354</v>
      </c>
      <c r="CE2" s="198">
        <f>ROUND(N(data!C390),0)</f>
        <v>5214059</v>
      </c>
      <c r="CF2" s="198">
        <f>ROUND(N(data!C391),0)</f>
        <v>392417</v>
      </c>
      <c r="CG2" s="198">
        <f>ROUND(N(data!C392),0)</f>
        <v>3386583</v>
      </c>
      <c r="CH2" s="198">
        <f>ROUND(N(data!C393),0)</f>
        <v>439580</v>
      </c>
      <c r="CI2" s="198">
        <f>ROUND(N(data!C394),0)</f>
        <v>4583893</v>
      </c>
      <c r="CJ2" s="198">
        <f>ROUND(N(data!C395),0)</f>
        <v>1617573</v>
      </c>
      <c r="CK2" s="198">
        <f>ROUND(N(data!C396),0)</f>
        <v>127734</v>
      </c>
      <c r="CL2" s="198">
        <f>ROUND(N(data!C397),0)</f>
        <v>413773</v>
      </c>
      <c r="CM2" s="198">
        <f>ROUND(N(data!C398),0)</f>
        <v>623013</v>
      </c>
      <c r="CN2" s="198">
        <f>ROUND(N(data!C399),0)</f>
        <v>423940</v>
      </c>
      <c r="CO2" s="198">
        <f>ROUND(N(data!C362),0)</f>
        <v>707642</v>
      </c>
      <c r="CP2" s="198">
        <f>ROUND(N(data!D415),0)</f>
        <v>214140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214140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173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173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173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497</v>
      </c>
      <c r="F4" s="271">
        <f>ROUND(N(data!E60), 2)</f>
        <v>19</v>
      </c>
      <c r="G4" s="198">
        <f>ROUND(N(data!E61), 0)</f>
        <v>2674301</v>
      </c>
      <c r="H4" s="198">
        <f>ROUND(N(data!E62), 0)</f>
        <v>550042</v>
      </c>
      <c r="I4" s="198">
        <f>ROUND(N(data!E63), 0)</f>
        <v>0</v>
      </c>
      <c r="J4" s="198">
        <f>ROUND(N(data!E64), 0)</f>
        <v>87717</v>
      </c>
      <c r="K4" s="198">
        <f>ROUND(N(data!E65), 0)</f>
        <v>0</v>
      </c>
      <c r="L4" s="198">
        <f>ROUND(N(data!E66), 0)</f>
        <v>92496</v>
      </c>
      <c r="M4" s="198">
        <f>ROUND(N(data!E67), 0)</f>
        <v>378059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8662582</v>
      </c>
      <c r="AF4" s="198">
        <f>ROUND(N(data!E87), 0)</f>
        <v>6783191</v>
      </c>
      <c r="AG4" s="198">
        <f>ROUND(N(data!E90), 0)</f>
        <v>18333</v>
      </c>
      <c r="AH4" s="198">
        <f>ROUND(N(data!E91), 0)</f>
        <v>0</v>
      </c>
      <c r="AI4" s="198">
        <f>ROUND(N(data!E92), 0)</f>
        <v>5000</v>
      </c>
      <c r="AJ4" s="198">
        <f>ROUND(N(data!E93), 0)</f>
        <v>31000</v>
      </c>
      <c r="AK4" s="271">
        <f>ROUND(N(data!E94), 2)</f>
        <v>7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173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173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173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173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173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173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1069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173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173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173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173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173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16611</v>
      </c>
      <c r="F15" s="271">
        <f>ROUND(N(data!P60), 2)</f>
        <v>7</v>
      </c>
      <c r="G15" s="198">
        <f>ROUND(N(data!P61), 0)</f>
        <v>649669</v>
      </c>
      <c r="H15" s="198">
        <f>ROUND(N(data!P62), 0)</f>
        <v>104066</v>
      </c>
      <c r="I15" s="198">
        <f>ROUND(N(data!P63), 0)</f>
        <v>0</v>
      </c>
      <c r="J15" s="198">
        <f>ROUND(N(data!P64), 0)</f>
        <v>530313</v>
      </c>
      <c r="K15" s="198">
        <f>ROUND(N(data!P65), 0)</f>
        <v>0</v>
      </c>
      <c r="L15" s="198">
        <f>ROUND(N(data!P66), 0)</f>
        <v>44748</v>
      </c>
      <c r="M15" s="198">
        <f>ROUND(N(data!P67), 0)</f>
        <v>26726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4536095</v>
      </c>
      <c r="AF15" s="198">
        <f>ROUND(N(data!P87), 0)</f>
        <v>516949</v>
      </c>
      <c r="AG15" s="198">
        <f>ROUND(N(data!P90), 0)</f>
        <v>1296</v>
      </c>
      <c r="AH15" s="198">
        <f>ROUND(N(data!P91), 0)</f>
        <v>0</v>
      </c>
      <c r="AI15" s="198">
        <f>ROUND(N(data!P92), 0)</f>
        <v>3000</v>
      </c>
      <c r="AJ15" s="198">
        <f>ROUND(N(data!P93), 0)</f>
        <v>10000</v>
      </c>
      <c r="AK15" s="271">
        <f>ROUND(N(data!P94), 2)</f>
        <v>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173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344052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173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27082</v>
      </c>
      <c r="F17" s="271">
        <f>ROUND(N(data!R60), 2)</f>
        <v>1</v>
      </c>
      <c r="G17" s="198">
        <f>ROUND(N(data!R61), 0)</f>
        <v>517032</v>
      </c>
      <c r="H17" s="198">
        <f>ROUND(N(data!R62), 0)</f>
        <v>121740</v>
      </c>
      <c r="I17" s="198">
        <f>ROUND(N(data!R63), 0)</f>
        <v>0</v>
      </c>
      <c r="J17" s="198">
        <f>ROUND(N(data!R64), 0)</f>
        <v>13359</v>
      </c>
      <c r="K17" s="198">
        <f>ROUND(N(data!R65), 0)</f>
        <v>0</v>
      </c>
      <c r="L17" s="198">
        <f>ROUND(N(data!R66), 0)</f>
        <v>9371</v>
      </c>
      <c r="M17" s="198">
        <f>ROUND(N(data!R67), 0)</f>
        <v>0</v>
      </c>
      <c r="N17" s="198">
        <f>ROUND(N(data!R68), 0)</f>
        <v>0</v>
      </c>
      <c r="O17" s="198">
        <f>ROUND(N(data!R69), 0)</f>
        <v>2217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2217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1024977</v>
      </c>
      <c r="AF17" s="198">
        <f>ROUND(N(data!R87), 0)</f>
        <v>85892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173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</v>
      </c>
      <c r="G18" s="198">
        <f>ROUND(N(data!S61), 0)</f>
        <v>51584</v>
      </c>
      <c r="H18" s="198">
        <f>ROUND(N(data!S62), 0)</f>
        <v>10063</v>
      </c>
      <c r="I18" s="198">
        <f>ROUND(N(data!S63), 0)</f>
        <v>0</v>
      </c>
      <c r="J18" s="198">
        <f>ROUND(N(data!S64), 0)</f>
        <v>19617</v>
      </c>
      <c r="K18" s="198">
        <f>ROUND(N(data!S65), 0)</f>
        <v>0</v>
      </c>
      <c r="L18" s="198">
        <f>ROUND(N(data!S66), 0)</f>
        <v>25557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3449242</v>
      </c>
      <c r="AF18" s="198">
        <f>ROUND(N(data!S87), 0)</f>
        <v>99461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173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173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52538</v>
      </c>
      <c r="F20" s="271">
        <f>ROUND(N(data!U60), 2)</f>
        <v>9</v>
      </c>
      <c r="G20" s="198">
        <f>ROUND(N(data!U61), 0)</f>
        <v>949503</v>
      </c>
      <c r="H20" s="198">
        <f>ROUND(N(data!U62), 0)</f>
        <v>161488</v>
      </c>
      <c r="I20" s="198">
        <f>ROUND(N(data!U63), 0)</f>
        <v>0</v>
      </c>
      <c r="J20" s="198">
        <f>ROUND(N(data!U64), 0)</f>
        <v>382827</v>
      </c>
      <c r="K20" s="198">
        <f>ROUND(N(data!U65), 0)</f>
        <v>0</v>
      </c>
      <c r="L20" s="198">
        <f>ROUND(N(data!U66), 0)</f>
        <v>392071</v>
      </c>
      <c r="M20" s="198">
        <f>ROUND(N(data!U67), 0)</f>
        <v>21715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7052880</v>
      </c>
      <c r="AF20" s="198">
        <f>ROUND(N(data!U87), 0)</f>
        <v>439237</v>
      </c>
      <c r="AG20" s="198">
        <f>ROUND(N(data!U90), 0)</f>
        <v>1053</v>
      </c>
      <c r="AH20" s="198">
        <f>ROUND(N(data!U91), 0)</f>
        <v>0</v>
      </c>
      <c r="AI20" s="198">
        <f>ROUND(N(data!U92), 0)</f>
        <v>2000</v>
      </c>
      <c r="AJ20" s="198">
        <f>ROUND(N(data!U93), 0)</f>
        <v>10000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173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173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489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267825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1077612</v>
      </c>
      <c r="AF22" s="198">
        <f>ROUND(N(data!W87), 0)</f>
        <v>22859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173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2729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28762</v>
      </c>
      <c r="K23" s="198">
        <f>ROUND(N(data!X65), 0)</f>
        <v>0</v>
      </c>
      <c r="L23" s="198">
        <f>ROUND(N(data!X66), 0)</f>
        <v>92939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7194528</v>
      </c>
      <c r="AF23" s="198">
        <f>ROUND(N(data!X87), 0)</f>
        <v>261920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173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5532</v>
      </c>
      <c r="F24" s="271">
        <f>ROUND(N(data!Y60), 2)</f>
        <v>10</v>
      </c>
      <c r="G24" s="198">
        <f>ROUND(N(data!Y61), 0)</f>
        <v>1379708</v>
      </c>
      <c r="H24" s="198">
        <f>ROUND(N(data!Y62), 0)</f>
        <v>278478</v>
      </c>
      <c r="I24" s="198">
        <f>ROUND(N(data!Y63), 0)</f>
        <v>0</v>
      </c>
      <c r="J24" s="198">
        <f>ROUND(N(data!Y64), 0)</f>
        <v>30184</v>
      </c>
      <c r="K24" s="198">
        <f>ROUND(N(data!Y65), 0)</f>
        <v>0</v>
      </c>
      <c r="L24" s="198">
        <f>ROUND(N(data!Y66), 0)</f>
        <v>71100</v>
      </c>
      <c r="M24" s="198">
        <f>ROUND(N(data!Y67), 0)</f>
        <v>50585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138205</v>
      </c>
      <c r="AF24" s="198">
        <f>ROUND(N(data!Y87), 0)</f>
        <v>138205</v>
      </c>
      <c r="AG24" s="198">
        <f>ROUND(N(data!Y90), 0)</f>
        <v>2453</v>
      </c>
      <c r="AH24" s="198">
        <f>ROUND(N(data!Y91), 0)</f>
        <v>0</v>
      </c>
      <c r="AI24" s="198">
        <f>ROUND(N(data!Y92), 0)</f>
        <v>2000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173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4662039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173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70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20926</v>
      </c>
      <c r="K26" s="198">
        <f>ROUND(N(data!AA65), 0)</f>
        <v>0</v>
      </c>
      <c r="L26" s="198">
        <f>ROUND(N(data!AA66), 0)</f>
        <v>92664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381375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173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2</v>
      </c>
      <c r="G27" s="198">
        <f>ROUND(N(data!AB61), 0)</f>
        <v>324807</v>
      </c>
      <c r="H27" s="198">
        <f>ROUND(N(data!AB62), 0)</f>
        <v>70719</v>
      </c>
      <c r="I27" s="198">
        <f>ROUND(N(data!AB63), 0)</f>
        <v>20160</v>
      </c>
      <c r="J27" s="198">
        <f>ROUND(N(data!AB64), 0)</f>
        <v>502296</v>
      </c>
      <c r="K27" s="198">
        <f>ROUND(N(data!AB65), 0)</f>
        <v>0</v>
      </c>
      <c r="L27" s="198">
        <f>ROUND(N(data!AB66), 0)</f>
        <v>96718</v>
      </c>
      <c r="M27" s="198">
        <f>ROUND(N(data!AB67), 0)</f>
        <v>10270</v>
      </c>
      <c r="N27" s="198">
        <f>ROUND(N(data!AB68), 0)</f>
        <v>0</v>
      </c>
      <c r="O27" s="198">
        <f>ROUND(N(data!AB69), 0)</f>
        <v>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1696091</v>
      </c>
      <c r="AF27" s="198">
        <f>ROUND(N(data!AB87), 0)</f>
        <v>470964</v>
      </c>
      <c r="AG27" s="198">
        <f>ROUND(N(data!AB90), 0)</f>
        <v>498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173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4734</v>
      </c>
      <c r="F28" s="271">
        <f>ROUND(N(data!AC60), 2)</f>
        <v>3</v>
      </c>
      <c r="G28" s="198">
        <f>ROUND(N(data!AC61), 0)</f>
        <v>280547</v>
      </c>
      <c r="H28" s="198">
        <f>ROUND(N(data!AC62), 0)</f>
        <v>66072</v>
      </c>
      <c r="I28" s="198">
        <f>ROUND(N(data!AC63), 0)</f>
        <v>0</v>
      </c>
      <c r="J28" s="198">
        <f>ROUND(N(data!AC64), 0)</f>
        <v>18387</v>
      </c>
      <c r="K28" s="198">
        <f>ROUND(N(data!AC65), 0)</f>
        <v>0</v>
      </c>
      <c r="L28" s="198">
        <f>ROUND(N(data!AC66), 0)</f>
        <v>1376</v>
      </c>
      <c r="M28" s="198">
        <f>ROUND(N(data!AC67), 0)</f>
        <v>20457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1119700</v>
      </c>
      <c r="AF28" s="198">
        <f>ROUND(N(data!AC87), 0)</f>
        <v>142934</v>
      </c>
      <c r="AG28" s="198">
        <f>ROUND(N(data!AC90), 0)</f>
        <v>992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173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173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31322</v>
      </c>
      <c r="F30" s="271">
        <f>ROUND(N(data!AE60), 2)</f>
        <v>11</v>
      </c>
      <c r="G30" s="198">
        <f>ROUND(N(data!AE61), 0)</f>
        <v>1397430</v>
      </c>
      <c r="H30" s="198">
        <f>ROUND(N(data!AE62), 0)</f>
        <v>285269</v>
      </c>
      <c r="I30" s="198">
        <f>ROUND(N(data!AE63), 0)</f>
        <v>0</v>
      </c>
      <c r="J30" s="198">
        <f>ROUND(N(data!AE64), 0)</f>
        <v>27918</v>
      </c>
      <c r="K30" s="198">
        <f>ROUND(N(data!AE65), 0)</f>
        <v>0</v>
      </c>
      <c r="L30" s="198">
        <f>ROUND(N(data!AE66), 0)</f>
        <v>18783</v>
      </c>
      <c r="M30" s="198">
        <f>ROUND(N(data!AE67), 0)</f>
        <v>58277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4576428</v>
      </c>
      <c r="AF30" s="198">
        <f>ROUND(N(data!AE87), 0)</f>
        <v>517402</v>
      </c>
      <c r="AG30" s="198">
        <f>ROUND(N(data!AE90), 0)</f>
        <v>2826</v>
      </c>
      <c r="AH30" s="198">
        <f>ROUND(N(data!AE91), 0)</f>
        <v>0</v>
      </c>
      <c r="AI30" s="198">
        <f>ROUND(N(data!AE92), 0)</f>
        <v>1000</v>
      </c>
      <c r="AJ30" s="198">
        <f>ROUND(N(data!AE93), 0)</f>
        <v>24000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173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173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5633</v>
      </c>
      <c r="F32" s="271">
        <f>ROUND(N(data!AG60), 2)</f>
        <v>13</v>
      </c>
      <c r="G32" s="198">
        <f>ROUND(N(data!AG61), 0)</f>
        <v>3429921</v>
      </c>
      <c r="H32" s="198">
        <f>ROUND(N(data!AG62), 0)</f>
        <v>619257</v>
      </c>
      <c r="I32" s="198">
        <f>ROUND(N(data!AG63), 0)</f>
        <v>10406</v>
      </c>
      <c r="J32" s="198">
        <f>ROUND(N(data!AG64), 0)</f>
        <v>193243</v>
      </c>
      <c r="K32" s="198">
        <f>ROUND(N(data!AG65), 0)</f>
        <v>0</v>
      </c>
      <c r="L32" s="198">
        <f>ROUND(N(data!AG66), 0)</f>
        <v>29410</v>
      </c>
      <c r="M32" s="198">
        <f>ROUND(N(data!AG67), 0)</f>
        <v>72960</v>
      </c>
      <c r="N32" s="198">
        <f>ROUND(N(data!AG68), 0)</f>
        <v>0</v>
      </c>
      <c r="O32" s="198">
        <f>ROUND(N(data!AG69), 0)</f>
        <v>10964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10964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14518984</v>
      </c>
      <c r="AF32" s="198">
        <f>ROUND(N(data!AG87), 0)</f>
        <v>235867</v>
      </c>
      <c r="AG32" s="198">
        <f>ROUND(N(data!AG90), 0)</f>
        <v>3538</v>
      </c>
      <c r="AH32" s="198">
        <f>ROUND(N(data!AG91), 0)</f>
        <v>0</v>
      </c>
      <c r="AI32" s="198">
        <f>ROUND(N(data!AG92), 0)</f>
        <v>3000</v>
      </c>
      <c r="AJ32" s="198">
        <f>ROUND(N(data!AG93), 0)</f>
        <v>35000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173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500004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173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4092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65625</v>
      </c>
      <c r="AF34" s="198">
        <f>ROUND(N(data!AI87), 0)</f>
        <v>17301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173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29586</v>
      </c>
      <c r="F35" s="271">
        <f>ROUND(N(data!AJ60), 2)</f>
        <v>40</v>
      </c>
      <c r="G35" s="198">
        <f>ROUND(N(data!AJ61), 0)</f>
        <v>6375418</v>
      </c>
      <c r="H35" s="198">
        <f>ROUND(N(data!AJ62), 0)</f>
        <v>1327007</v>
      </c>
      <c r="I35" s="198">
        <f>ROUND(N(data!AJ63), 0)</f>
        <v>12490</v>
      </c>
      <c r="J35" s="198">
        <f>ROUND(N(data!AJ64), 0)</f>
        <v>940088</v>
      </c>
      <c r="K35" s="198">
        <f>ROUND(N(data!AJ65), 0)</f>
        <v>29397</v>
      </c>
      <c r="L35" s="198">
        <f>ROUND(N(data!AJ66), 0)</f>
        <v>164251</v>
      </c>
      <c r="M35" s="198">
        <f>ROUND(N(data!AJ67), 0)</f>
        <v>166459</v>
      </c>
      <c r="N35" s="198">
        <f>ROUND(N(data!AJ68), 0)</f>
        <v>0</v>
      </c>
      <c r="O35" s="198">
        <f>ROUND(N(data!AJ69), 0)</f>
        <v>24622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24622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8477364</v>
      </c>
      <c r="AF35" s="198">
        <f>ROUND(N(data!AJ87), 0)</f>
        <v>12930</v>
      </c>
      <c r="AG35" s="198">
        <f>ROUND(N(data!AJ90), 0)</f>
        <v>8072</v>
      </c>
      <c r="AH35" s="198">
        <f>ROUND(N(data!AJ91), 0)</f>
        <v>0</v>
      </c>
      <c r="AI35" s="198">
        <f>ROUND(N(data!AJ92), 0)</f>
        <v>1000</v>
      </c>
      <c r="AJ35" s="198">
        <f>ROUND(N(data!AJ93), 0)</f>
        <v>0</v>
      </c>
      <c r="AK35" s="271">
        <f>ROUND(N(data!AJ94), 2)</f>
        <v>3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173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0</v>
      </c>
      <c r="G36" s="198">
        <f>ROUND(N(data!AK61), 0)</f>
        <v>56503</v>
      </c>
      <c r="H36" s="198">
        <f>ROUND(N(data!AK62), 0)</f>
        <v>12767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173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0</v>
      </c>
      <c r="G37" s="198">
        <f>ROUND(N(data!AL61), 0)</f>
        <v>11429</v>
      </c>
      <c r="H37" s="198">
        <f>ROUND(N(data!AL62), 0)</f>
        <v>2301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173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173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173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173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173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173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173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173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173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173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27838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68320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3313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173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173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173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28181</v>
      </c>
      <c r="F50" s="271">
        <f>ROUND(N(data!AY60), 2)</f>
        <v>9</v>
      </c>
      <c r="G50" s="198">
        <f>ROUND(N(data!AY61), 0)</f>
        <v>442632</v>
      </c>
      <c r="H50" s="198">
        <f>ROUND(N(data!AY62), 0)</f>
        <v>100521</v>
      </c>
      <c r="I50" s="198">
        <f>ROUND(N(data!AY63), 0)</f>
        <v>0</v>
      </c>
      <c r="J50" s="198">
        <f>ROUND(N(data!AY64), 0)</f>
        <v>170252</v>
      </c>
      <c r="K50" s="198">
        <f>ROUND(N(data!AY65), 0)</f>
        <v>0</v>
      </c>
      <c r="L50" s="198">
        <f>ROUND(N(data!AY66), 0)</f>
        <v>18145</v>
      </c>
      <c r="M50" s="198">
        <f>ROUND(N(data!AY67), 0)</f>
        <v>58071</v>
      </c>
      <c r="N50" s="198">
        <f>ROUND(N(data!AY68), 0)</f>
        <v>0</v>
      </c>
      <c r="O50" s="198">
        <f>ROUND(N(data!AY69), 0)</f>
        <v>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2816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173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28181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173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3</v>
      </c>
      <c r="G52" s="198">
        <f>ROUND(N(data!BA61), 0)</f>
        <v>74312</v>
      </c>
      <c r="H52" s="198">
        <f>ROUND(N(data!BA62), 0)</f>
        <v>15034</v>
      </c>
      <c r="I52" s="198">
        <f>ROUND(N(data!BA63), 0)</f>
        <v>0</v>
      </c>
      <c r="J52" s="198">
        <f>ROUND(N(data!BA64), 0)</f>
        <v>38144</v>
      </c>
      <c r="K52" s="198">
        <f>ROUND(N(data!BA65), 0)</f>
        <v>0</v>
      </c>
      <c r="L52" s="198">
        <f>ROUND(N(data!BA66), 0)</f>
        <v>12534</v>
      </c>
      <c r="M52" s="198">
        <f>ROUND(N(data!BA67), 0)</f>
        <v>13961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677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173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173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1</v>
      </c>
      <c r="G54" s="198">
        <f>ROUND(N(data!BC61), 0)</f>
        <v>44347</v>
      </c>
      <c r="H54" s="198">
        <f>ROUND(N(data!BC62), 0)</f>
        <v>9127</v>
      </c>
      <c r="I54" s="198">
        <f>ROUND(N(data!BC63), 0)</f>
        <v>0</v>
      </c>
      <c r="J54" s="198">
        <f>ROUND(N(data!BC64), 0)</f>
        <v>51</v>
      </c>
      <c r="K54" s="198">
        <f>ROUND(N(data!BC65), 0)</f>
        <v>5449</v>
      </c>
      <c r="L54" s="198">
        <f>ROUND(N(data!BC66), 0)</f>
        <v>2342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173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3</v>
      </c>
      <c r="G55" s="198">
        <f>ROUND(N(data!BD61), 0)</f>
        <v>155161</v>
      </c>
      <c r="H55" s="198">
        <f>ROUND(N(data!BD62), 0)</f>
        <v>38422</v>
      </c>
      <c r="I55" s="198">
        <f>ROUND(N(data!BD63), 0)</f>
        <v>0</v>
      </c>
      <c r="J55" s="198">
        <f>ROUND(N(data!BD64), 0)</f>
        <v>2882</v>
      </c>
      <c r="K55" s="198">
        <f>ROUND(N(data!BD65), 0)</f>
        <v>0</v>
      </c>
      <c r="L55" s="198">
        <f>ROUND(N(data!BD66), 0)</f>
        <v>12779</v>
      </c>
      <c r="M55" s="198">
        <f>ROUND(N(data!BD67), 0)</f>
        <v>15549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754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173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78440</v>
      </c>
      <c r="F56" s="271">
        <f>ROUND(N(data!BE60), 2)</f>
        <v>7</v>
      </c>
      <c r="G56" s="198">
        <f>ROUND(N(data!BE61), 0)</f>
        <v>647587</v>
      </c>
      <c r="H56" s="198">
        <f>ROUND(N(data!BE62), 0)</f>
        <v>135379</v>
      </c>
      <c r="I56" s="198">
        <f>ROUND(N(data!BE63), 0)</f>
        <v>565</v>
      </c>
      <c r="J56" s="198">
        <f>ROUND(N(data!BE64), 0)</f>
        <v>48964</v>
      </c>
      <c r="K56" s="198">
        <f>ROUND(N(data!BE65), 0)</f>
        <v>281581</v>
      </c>
      <c r="L56" s="198">
        <f>ROUND(N(data!BE66), 0)</f>
        <v>358355</v>
      </c>
      <c r="M56" s="198">
        <f>ROUND(N(data!BE67), 0)</f>
        <v>499748</v>
      </c>
      <c r="N56" s="198">
        <f>ROUND(N(data!BE68), 0)</f>
        <v>0</v>
      </c>
      <c r="O56" s="198">
        <f>ROUND(N(data!BE69), 0)</f>
        <v>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24234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173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11</v>
      </c>
      <c r="G57" s="198">
        <f>ROUND(N(data!BF61), 0)</f>
        <v>457548</v>
      </c>
      <c r="H57" s="198">
        <f>ROUND(N(data!BF62), 0)</f>
        <v>100165</v>
      </c>
      <c r="I57" s="198">
        <f>ROUND(N(data!BF63), 0)</f>
        <v>0</v>
      </c>
      <c r="J57" s="198">
        <f>ROUND(N(data!BF64), 0)</f>
        <v>48024</v>
      </c>
      <c r="K57" s="198">
        <f>ROUND(N(data!BF65), 0)</f>
        <v>0</v>
      </c>
      <c r="L57" s="198">
        <f>ROUND(N(data!BF66), 0)</f>
        <v>9426</v>
      </c>
      <c r="M57" s="198">
        <f>ROUND(N(data!BF67), 0)</f>
        <v>8228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399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173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1</v>
      </c>
      <c r="G58" s="198">
        <f>ROUND(N(data!BG61), 0)</f>
        <v>94271</v>
      </c>
      <c r="H58" s="198">
        <f>ROUND(N(data!BG62), 0)</f>
        <v>24417</v>
      </c>
      <c r="I58" s="198">
        <f>ROUND(N(data!BG63), 0)</f>
        <v>0</v>
      </c>
      <c r="J58" s="198">
        <f>ROUND(N(data!BG64), 0)</f>
        <v>32835</v>
      </c>
      <c r="K58" s="198">
        <f>ROUND(N(data!BG65), 0)</f>
        <v>0</v>
      </c>
      <c r="L58" s="198">
        <f>ROUND(N(data!BG66), 0)</f>
        <v>342657</v>
      </c>
      <c r="M58" s="198">
        <f>ROUND(N(data!BG67), 0)</f>
        <v>9404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456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173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8</v>
      </c>
      <c r="G59" s="198">
        <f>ROUND(N(data!BH61), 0)</f>
        <v>763296</v>
      </c>
      <c r="H59" s="198">
        <f>ROUND(N(data!BH62), 0)</f>
        <v>173343</v>
      </c>
      <c r="I59" s="198">
        <f>ROUND(N(data!BH63), 0)</f>
        <v>0</v>
      </c>
      <c r="J59" s="198">
        <f>ROUND(N(data!BH64), 0)</f>
        <v>173452</v>
      </c>
      <c r="K59" s="198">
        <f>ROUND(N(data!BH65), 0)</f>
        <v>107987</v>
      </c>
      <c r="L59" s="198">
        <f>ROUND(N(data!BH66), 0)</f>
        <v>1214758</v>
      </c>
      <c r="M59" s="198">
        <f>ROUND(N(data!BH67), 0)</f>
        <v>1650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80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173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173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4</v>
      </c>
      <c r="G61" s="198">
        <f>ROUND(N(data!BJ61), 0)</f>
        <v>326962</v>
      </c>
      <c r="H61" s="198">
        <f>ROUND(N(data!BJ62), 0)</f>
        <v>77682</v>
      </c>
      <c r="I61" s="198">
        <f>ROUND(N(data!BJ63), 0)</f>
        <v>96677</v>
      </c>
      <c r="J61" s="198">
        <f>ROUND(N(data!BJ64), 0)</f>
        <v>16331</v>
      </c>
      <c r="K61" s="198">
        <f>ROUND(N(data!BJ65), 0)</f>
        <v>0</v>
      </c>
      <c r="L61" s="198">
        <f>ROUND(N(data!BJ66), 0)</f>
        <v>7924</v>
      </c>
      <c r="M61" s="198">
        <f>ROUND(N(data!BJ67), 0)</f>
        <v>28252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1370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173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10</v>
      </c>
      <c r="G62" s="198">
        <f>ROUND(N(data!BK61), 0)</f>
        <v>800192</v>
      </c>
      <c r="H62" s="198">
        <f>ROUND(N(data!BK62), 0)</f>
        <v>180060</v>
      </c>
      <c r="I62" s="198">
        <f>ROUND(N(data!BK63), 0)</f>
        <v>199278</v>
      </c>
      <c r="J62" s="198">
        <f>ROUND(N(data!BK64), 0)</f>
        <v>3654</v>
      </c>
      <c r="K62" s="198">
        <f>ROUND(N(data!BK65), 0)</f>
        <v>5619</v>
      </c>
      <c r="L62" s="198">
        <f>ROUND(N(data!BK66), 0)</f>
        <v>107951</v>
      </c>
      <c r="M62" s="198">
        <f>ROUND(N(data!BK67), 0)</f>
        <v>28252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1370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173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11</v>
      </c>
      <c r="G63" s="198">
        <f>ROUND(N(data!BL61), 0)</f>
        <v>580707</v>
      </c>
      <c r="H63" s="198">
        <f>ROUND(N(data!BL62), 0)</f>
        <v>129308</v>
      </c>
      <c r="I63" s="198">
        <f>ROUND(N(data!BL63), 0)</f>
        <v>0</v>
      </c>
      <c r="J63" s="198">
        <f>ROUND(N(data!BL64), 0)</f>
        <v>6104</v>
      </c>
      <c r="K63" s="198">
        <f>ROUND(N(data!BL65), 0)</f>
        <v>7231</v>
      </c>
      <c r="L63" s="198">
        <f>ROUND(N(data!BL66), 0)</f>
        <v>668</v>
      </c>
      <c r="M63" s="198">
        <f>ROUND(N(data!BL67), 0)</f>
        <v>12703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616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173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173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3</v>
      </c>
      <c r="G65" s="198">
        <f>ROUND(N(data!BN61), 0)</f>
        <v>790392</v>
      </c>
      <c r="H65" s="198">
        <f>ROUND(N(data!BN62), 0)</f>
        <v>176651</v>
      </c>
      <c r="I65" s="198">
        <f>ROUND(N(data!BN63), 0)</f>
        <v>22349</v>
      </c>
      <c r="J65" s="198">
        <f>ROUND(N(data!BN64), 0)</f>
        <v>8846</v>
      </c>
      <c r="K65" s="198">
        <f>ROUND(N(data!BN65), 0)</f>
        <v>0</v>
      </c>
      <c r="L65" s="198">
        <f>ROUND(N(data!BN66), 0)</f>
        <v>121815</v>
      </c>
      <c r="M65" s="198">
        <f>ROUND(N(data!BN67), 0)</f>
        <v>18374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891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173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1</v>
      </c>
      <c r="G66" s="198">
        <f>ROUND(N(data!BO61), 0)</f>
        <v>69601</v>
      </c>
      <c r="H66" s="198">
        <f>ROUND(N(data!BO62), 0)</f>
        <v>18119</v>
      </c>
      <c r="I66" s="198">
        <f>ROUND(N(data!BO63), 0)</f>
        <v>0</v>
      </c>
      <c r="J66" s="198">
        <f>ROUND(N(data!BO64), 0)</f>
        <v>9910</v>
      </c>
      <c r="K66" s="198">
        <f>ROUND(N(data!BO65), 0)</f>
        <v>0</v>
      </c>
      <c r="L66" s="198">
        <f>ROUND(N(data!BO66), 0)</f>
        <v>15652</v>
      </c>
      <c r="M66" s="198">
        <f>ROUND(N(data!BO67), 0)</f>
        <v>0</v>
      </c>
      <c r="N66" s="198">
        <f>ROUND(N(data!BO68), 0)</f>
        <v>0</v>
      </c>
      <c r="O66" s="198">
        <f>ROUND(N(data!BO69), 0)</f>
        <v>64203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64203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173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173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173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4</v>
      </c>
      <c r="G69" s="198">
        <f>ROUND(N(data!BR61), 0)</f>
        <v>407982</v>
      </c>
      <c r="H69" s="198">
        <f>ROUND(N(data!BR62), 0)</f>
        <v>104204</v>
      </c>
      <c r="I69" s="198">
        <f>ROUND(N(data!BR63), 0)</f>
        <v>26307</v>
      </c>
      <c r="J69" s="198">
        <f>ROUND(N(data!BR64), 0)</f>
        <v>3096</v>
      </c>
      <c r="K69" s="198">
        <f>ROUND(N(data!BR65), 0)</f>
        <v>2316</v>
      </c>
      <c r="L69" s="198">
        <f>ROUND(N(data!BR66), 0)</f>
        <v>83461</v>
      </c>
      <c r="M69" s="198">
        <f>ROUND(N(data!BR67), 0)</f>
        <v>11589</v>
      </c>
      <c r="N69" s="198">
        <f>ROUND(N(data!BR68), 0)</f>
        <v>0</v>
      </c>
      <c r="O69" s="198">
        <f>ROUND(N(data!BR69), 0)</f>
        <v>61082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61082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562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173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173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173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173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5</v>
      </c>
      <c r="G73" s="198">
        <f>ROUND(N(data!BV61), 0)</f>
        <v>489999</v>
      </c>
      <c r="H73" s="198">
        <f>ROUND(N(data!BV62), 0)</f>
        <v>79785</v>
      </c>
      <c r="I73" s="198">
        <f>ROUND(N(data!BV63), 0)</f>
        <v>0</v>
      </c>
      <c r="J73" s="198">
        <f>ROUND(N(data!BV64), 0)</f>
        <v>429</v>
      </c>
      <c r="K73" s="198">
        <f>ROUND(N(data!BV65), 0)</f>
        <v>0</v>
      </c>
      <c r="L73" s="198">
        <f>ROUND(N(data!BV66), 0)</f>
        <v>32126</v>
      </c>
      <c r="M73" s="198">
        <f>ROUND(N(data!BV67), 0)</f>
        <v>23385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1134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173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173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0.3</v>
      </c>
      <c r="G75" s="198">
        <f>ROUND(N(data!BX61), 0)</f>
        <v>141071</v>
      </c>
      <c r="H75" s="198">
        <f>ROUND(N(data!BX62), 0)</f>
        <v>37784</v>
      </c>
      <c r="I75" s="198">
        <f>ROUND(N(data!BX63), 0)</f>
        <v>0</v>
      </c>
      <c r="J75" s="198">
        <f>ROUND(N(data!BX64), 0)</f>
        <v>29</v>
      </c>
      <c r="K75" s="198">
        <f>ROUND(N(data!BX65), 0)</f>
        <v>0</v>
      </c>
      <c r="L75" s="198">
        <f>ROUND(N(data!BX66), 0)</f>
        <v>4359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173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5</v>
      </c>
      <c r="G76" s="198">
        <f>ROUND(N(data!BY61), 0)</f>
        <v>561385</v>
      </c>
      <c r="H76" s="198">
        <f>ROUND(N(data!BY62), 0)</f>
        <v>139332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26952</v>
      </c>
      <c r="M76" s="198">
        <f>ROUND(N(data!BY67), 0)</f>
        <v>14580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707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173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173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173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4670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173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27</v>
      </c>
      <c r="G80" s="198">
        <f>ROUND(N(data!CC61), 0)</f>
        <v>108057</v>
      </c>
      <c r="H80" s="198">
        <f>ROUND(N(data!CC62), 0)</f>
        <v>37619</v>
      </c>
      <c r="I80" s="198">
        <f>ROUND(N(data!CC63), 0)</f>
        <v>4185</v>
      </c>
      <c r="J80" s="198">
        <f>ROUND(N(data!CC64), 0)</f>
        <v>23851</v>
      </c>
      <c r="K80" s="198">
        <f>ROUND(N(data!CC65), 0)</f>
        <v>0</v>
      </c>
      <c r="L80" s="198">
        <f>ROUND(N(data!CC66), 0)</f>
        <v>308006</v>
      </c>
      <c r="M80" s="198">
        <f>ROUND(N(data!CC67), 0)</f>
        <v>0</v>
      </c>
      <c r="N80" s="198">
        <f>ROUND(N(data!CC68), 0)</f>
        <v>0</v>
      </c>
      <c r="O80" s="198">
        <f>ROUND(N(data!CC69), 0)</f>
        <v>1581100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375970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1205130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2025-03-31T20:53:39Z</cp:lastPrinted>
  <dcterms:created xsi:type="dcterms:W3CDTF">1999-06-02T22:01:56Z</dcterms:created>
  <dcterms:modified xsi:type="dcterms:W3CDTF">2025-04-07T18:00:03Z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