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6CDEC4C8-EB92-4036-96FF-1D40C23F700A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  <sheet name="DS_INTERNAL_SETTINGS_STORAGE" sheetId="35" state="veryHidden" r:id="rId18"/>
    <sheet name="DS_INTERNAL_DOCGROUP_STORAGE" sheetId="36" state="veryHidden" r:id="rId19"/>
    <sheet name="DS_INTERNAL_DOCUMENT_STORAGE" sheetId="37" state="veryHidden" r:id="rId20"/>
    <sheet name="DS_INTERNAL_SNIP_STORAGE" sheetId="38" state="veryHidden" r:id="rId21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D27" i="7" l="1"/>
  <c r="D161" i="24"/>
  <c r="E21" i="27"/>
  <c r="C380" i="24"/>
  <c r="B216" i="24"/>
  <c r="BD83" i="24"/>
  <c r="BK83" i="24"/>
  <c r="BR83" i="24"/>
  <c r="BN83" i="24"/>
  <c r="BJ83" i="24"/>
  <c r="BE83" i="24"/>
  <c r="AJ83" i="24"/>
  <c r="AB83" i="24"/>
  <c r="N83" i="24"/>
  <c r="C155" i="24"/>
  <c r="C270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/>
  <c r="I371" i="32" s="1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62" i="24" l="1"/>
  <c r="CE48" i="24"/>
  <c r="H3" i="31"/>
  <c r="D12" i="32"/>
  <c r="H4" i="31"/>
  <c r="E12" i="32"/>
  <c r="H5" i="31"/>
  <c r="F12" i="32"/>
  <c r="H6" i="31"/>
  <c r="G12" i="32"/>
  <c r="H7" i="31"/>
  <c r="H12" i="32"/>
  <c r="H8" i="31"/>
  <c r="I12" i="32"/>
  <c r="H9" i="31"/>
  <c r="C44" i="32"/>
  <c r="H10" i="31"/>
  <c r="D44" i="32"/>
  <c r="H11" i="31"/>
  <c r="E44" i="32"/>
  <c r="H12" i="31"/>
  <c r="F44" i="32"/>
  <c r="H13" i="31"/>
  <c r="G44" i="32"/>
  <c r="H14" i="31"/>
  <c r="H44" i="32"/>
  <c r="H15" i="31"/>
  <c r="I44" i="32"/>
  <c r="H16" i="31"/>
  <c r="C76" i="32"/>
  <c r="H17" i="31"/>
  <c r="D76" i="32"/>
  <c r="H18" i="31"/>
  <c r="E76" i="32"/>
  <c r="H19" i="31"/>
  <c r="F76" i="32"/>
  <c r="H20" i="31"/>
  <c r="G76" i="32"/>
  <c r="H21" i="31"/>
  <c r="H76" i="32"/>
  <c r="H22" i="31"/>
  <c r="I76" i="32"/>
  <c r="H23" i="31"/>
  <c r="C108" i="32"/>
  <c r="H24" i="31"/>
  <c r="D108" i="32"/>
  <c r="H25" i="31"/>
  <c r="E108" i="32"/>
  <c r="H26" i="31"/>
  <c r="F108" i="32"/>
  <c r="H27" i="31"/>
  <c r="G108" i="32"/>
  <c r="H28" i="31"/>
  <c r="H108" i="32"/>
  <c r="H29" i="31"/>
  <c r="I108" i="32"/>
  <c r="H30" i="31"/>
  <c r="C140" i="32"/>
  <c r="H31" i="31"/>
  <c r="D140" i="32"/>
  <c r="H32" i="31"/>
  <c r="E140" i="32"/>
  <c r="H33" i="31"/>
  <c r="F140" i="32"/>
  <c r="H34" i="31"/>
  <c r="G140" i="32"/>
  <c r="H35" i="31"/>
  <c r="H140" i="32"/>
  <c r="H36" i="31"/>
  <c r="I140" i="32"/>
  <c r="H37" i="31"/>
  <c r="C172" i="32"/>
  <c r="H38" i="31"/>
  <c r="D172" i="32"/>
  <c r="H39" i="31"/>
  <c r="E172" i="32"/>
  <c r="H40" i="31"/>
  <c r="F172" i="32"/>
  <c r="H41" i="31"/>
  <c r="G172" i="32"/>
  <c r="H42" i="31"/>
  <c r="H172" i="32"/>
  <c r="H43" i="31"/>
  <c r="I172" i="32"/>
  <c r="H44" i="31"/>
  <c r="C204" i="32"/>
  <c r="H45" i="31"/>
  <c r="D204" i="32"/>
  <c r="H46" i="31"/>
  <c r="E204" i="32"/>
  <c r="H47" i="31"/>
  <c r="F204" i="32"/>
  <c r="H48" i="31"/>
  <c r="G204" i="32"/>
  <c r="H49" i="31"/>
  <c r="H204" i="32"/>
  <c r="H50" i="31"/>
  <c r="I204" i="32"/>
  <c r="H51" i="31"/>
  <c r="C236" i="32"/>
  <c r="H52" i="31"/>
  <c r="D236" i="32"/>
  <c r="H53" i="31"/>
  <c r="E236" i="32"/>
  <c r="H54" i="31"/>
  <c r="F236" i="32"/>
  <c r="H55" i="31"/>
  <c r="G236" i="32"/>
  <c r="H56" i="31"/>
  <c r="H236" i="32"/>
  <c r="H57" i="31"/>
  <c r="I236" i="32"/>
  <c r="H58" i="31"/>
  <c r="C268" i="32"/>
  <c r="H59" i="31"/>
  <c r="D268" i="32"/>
  <c r="H60" i="31"/>
  <c r="E268" i="32"/>
  <c r="H61" i="31"/>
  <c r="F268" i="32"/>
  <c r="H62" i="31"/>
  <c r="G268" i="32"/>
  <c r="H63" i="31"/>
  <c r="H268" i="32"/>
  <c r="H64" i="31"/>
  <c r="I268" i="32"/>
  <c r="H65" i="31"/>
  <c r="C300" i="32"/>
  <c r="H66" i="31"/>
  <c r="D300" i="32"/>
  <c r="H67" i="31"/>
  <c r="E300" i="32"/>
  <c r="H68" i="31"/>
  <c r="F300" i="32"/>
  <c r="H69" i="31"/>
  <c r="G300" i="32"/>
  <c r="H70" i="31"/>
  <c r="H71" i="31"/>
  <c r="I300" i="32"/>
  <c r="H72" i="31"/>
  <c r="C332" i="32"/>
  <c r="H73" i="31"/>
  <c r="D332" i="32"/>
  <c r="H74" i="31"/>
  <c r="E332" i="32"/>
  <c r="H75" i="31"/>
  <c r="F332" i="32"/>
  <c r="H76" i="31"/>
  <c r="G332" i="32"/>
  <c r="H77" i="31"/>
  <c r="H332" i="32"/>
  <c r="H78" i="31"/>
  <c r="I332" i="32"/>
  <c r="H79" i="31"/>
  <c r="C364" i="32"/>
  <c r="H80" i="31"/>
  <c r="D364" i="32"/>
  <c r="BK2" i="30"/>
  <c r="I362" i="32"/>
  <c r="H612" i="24"/>
  <c r="I366" i="32"/>
  <c r="F612" i="24"/>
  <c r="O2" i="31"/>
  <c r="C19" i="32"/>
  <c r="O3" i="31"/>
  <c r="D19" i="32"/>
  <c r="O4" i="31"/>
  <c r="E19" i="32"/>
  <c r="O5" i="31"/>
  <c r="F19" i="32"/>
  <c r="O6" i="31"/>
  <c r="G19" i="32"/>
  <c r="O7" i="31"/>
  <c r="H19" i="32"/>
  <c r="O8" i="31"/>
  <c r="I19" i="32"/>
  <c r="O9" i="31"/>
  <c r="C51" i="32"/>
  <c r="O10" i="31"/>
  <c r="D51" i="32"/>
  <c r="O11" i="31"/>
  <c r="E51" i="32"/>
  <c r="O12" i="31"/>
  <c r="F51" i="32"/>
  <c r="O13" i="31"/>
  <c r="G51" i="32"/>
  <c r="O14" i="31"/>
  <c r="H51" i="32"/>
  <c r="O15" i="31"/>
  <c r="I51" i="32"/>
  <c r="O16" i="31"/>
  <c r="C83" i="32"/>
  <c r="O17" i="31"/>
  <c r="D83" i="32"/>
  <c r="O18" i="31"/>
  <c r="E83" i="32"/>
  <c r="O19" i="31"/>
  <c r="F83" i="32"/>
  <c r="O20" i="31"/>
  <c r="G83" i="32"/>
  <c r="O21" i="31"/>
  <c r="H83" i="32"/>
  <c r="O22" i="31"/>
  <c r="I83" i="32"/>
  <c r="O23" i="31"/>
  <c r="C115" i="32"/>
  <c r="O24" i="31"/>
  <c r="D115" i="32"/>
  <c r="O25" i="31"/>
  <c r="E115" i="32"/>
  <c r="O26" i="31"/>
  <c r="F115" i="32"/>
  <c r="O27" i="31"/>
  <c r="G115" i="32"/>
  <c r="O28" i="31"/>
  <c r="H115" i="32"/>
  <c r="O29" i="31"/>
  <c r="I115" i="32"/>
  <c r="O30" i="31"/>
  <c r="C147" i="32"/>
  <c r="O31" i="31"/>
  <c r="D147" i="32"/>
  <c r="O32" i="31"/>
  <c r="E147" i="32"/>
  <c r="O33" i="31"/>
  <c r="F147" i="32"/>
  <c r="O34" i="31"/>
  <c r="G147" i="32"/>
  <c r="O35" i="31"/>
  <c r="H147" i="32"/>
  <c r="O36" i="31"/>
  <c r="I147" i="32"/>
  <c r="O37" i="31"/>
  <c r="C179" i="32"/>
  <c r="O38" i="31"/>
  <c r="D179" i="32"/>
  <c r="O39" i="31"/>
  <c r="E179" i="32"/>
  <c r="O40" i="31"/>
  <c r="F179" i="32"/>
  <c r="O41" i="31"/>
  <c r="G179" i="32"/>
  <c r="O42" i="31"/>
  <c r="H179" i="32"/>
  <c r="O43" i="31"/>
  <c r="I179" i="32"/>
  <c r="O44" i="31"/>
  <c r="C211" i="32"/>
  <c r="O45" i="31"/>
  <c r="D211" i="32"/>
  <c r="O46" i="31"/>
  <c r="E211" i="32"/>
  <c r="O47" i="31"/>
  <c r="F211" i="32"/>
  <c r="O48" i="31"/>
  <c r="G211" i="32"/>
  <c r="O49" i="31"/>
  <c r="H211" i="32"/>
  <c r="O50" i="31"/>
  <c r="I211" i="32"/>
  <c r="O51" i="31"/>
  <c r="C243" i="32"/>
  <c r="O52" i="31"/>
  <c r="D243" i="32"/>
  <c r="O53" i="31"/>
  <c r="E243" i="32"/>
  <c r="O54" i="31"/>
  <c r="F243" i="32"/>
  <c r="O55" i="31"/>
  <c r="G243" i="32"/>
  <c r="O56" i="31"/>
  <c r="H243" i="32"/>
  <c r="O57" i="31"/>
  <c r="I243" i="32"/>
  <c r="O58" i="31"/>
  <c r="C275" i="32"/>
  <c r="O59" i="31"/>
  <c r="D275" i="32"/>
  <c r="O60" i="31"/>
  <c r="E275" i="32"/>
  <c r="O61" i="31"/>
  <c r="F275" i="32"/>
  <c r="O62" i="31"/>
  <c r="G275" i="32"/>
  <c r="O63" i="31"/>
  <c r="H275" i="32"/>
  <c r="O64" i="31"/>
  <c r="I275" i="32"/>
  <c r="O65" i="31"/>
  <c r="C307" i="32"/>
  <c r="O66" i="31"/>
  <c r="D307" i="32"/>
  <c r="O67" i="31"/>
  <c r="E307" i="32"/>
  <c r="O68" i="31"/>
  <c r="F307" i="32"/>
  <c r="O69" i="31"/>
  <c r="G307" i="32"/>
  <c r="O70" i="31"/>
  <c r="H307" i="32"/>
  <c r="O71" i="31"/>
  <c r="I307" i="32"/>
  <c r="O72" i="31"/>
  <c r="C339" i="32"/>
  <c r="O73" i="31"/>
  <c r="D339" i="32"/>
  <c r="O74" i="31"/>
  <c r="E339" i="32"/>
  <c r="O75" i="31"/>
  <c r="F339" i="32"/>
  <c r="O76" i="31"/>
  <c r="G339" i="32"/>
  <c r="O77" i="31"/>
  <c r="H339" i="32"/>
  <c r="O78" i="31"/>
  <c r="I339" i="32"/>
  <c r="O79" i="31"/>
  <c r="C371" i="32"/>
  <c r="O80" i="31"/>
  <c r="D371" i="32"/>
  <c r="E371" i="32"/>
  <c r="C615" i="24"/>
  <c r="CD85" i="24"/>
  <c r="AE2" i="31"/>
  <c r="C26" i="32"/>
  <c r="CE89" i="24"/>
  <c r="AE3" i="31"/>
  <c r="D26" i="32"/>
  <c r="AE4" i="31"/>
  <c r="E26" i="32"/>
  <c r="AE5" i="31"/>
  <c r="F26" i="32"/>
  <c r="AE6" i="31"/>
  <c r="G26" i="32"/>
  <c r="AE7" i="31"/>
  <c r="H26" i="32"/>
  <c r="AE8" i="31"/>
  <c r="I26" i="32"/>
  <c r="AE9" i="31"/>
  <c r="C58" i="32"/>
  <c r="AE10" i="31"/>
  <c r="D58" i="32"/>
  <c r="AE11" i="31"/>
  <c r="E58" i="32"/>
  <c r="AE12" i="31"/>
  <c r="F58" i="32"/>
  <c r="AE13" i="31"/>
  <c r="G58" i="32"/>
  <c r="AE14" i="31"/>
  <c r="H58" i="32"/>
  <c r="AE15" i="31"/>
  <c r="I58" i="32"/>
  <c r="AE16" i="31"/>
  <c r="C90" i="32"/>
  <c r="AE17" i="31"/>
  <c r="D90" i="32"/>
  <c r="AE18" i="31"/>
  <c r="E90" i="32"/>
  <c r="AE19" i="31"/>
  <c r="F90" i="32"/>
  <c r="AE20" i="31"/>
  <c r="G90" i="32"/>
  <c r="AE21" i="31"/>
  <c r="H90" i="32"/>
  <c r="AE22" i="31"/>
  <c r="I90" i="32"/>
  <c r="AE23" i="31"/>
  <c r="C122" i="32"/>
  <c r="AE24" i="31"/>
  <c r="D122" i="32"/>
  <c r="AE25" i="31"/>
  <c r="E122" i="32"/>
  <c r="AE26" i="31"/>
  <c r="F122" i="32"/>
  <c r="AE27" i="31"/>
  <c r="G122" i="32"/>
  <c r="AE28" i="31"/>
  <c r="H122" i="32"/>
  <c r="AE29" i="31"/>
  <c r="I122" i="32"/>
  <c r="AE30" i="31"/>
  <c r="C154" i="32"/>
  <c r="AE31" i="31"/>
  <c r="D154" i="32"/>
  <c r="AE32" i="31"/>
  <c r="E154" i="32"/>
  <c r="AE33" i="31"/>
  <c r="F154" i="32"/>
  <c r="AE34" i="31"/>
  <c r="G154" i="32"/>
  <c r="AE35" i="31"/>
  <c r="H154" i="32"/>
  <c r="AE36" i="31"/>
  <c r="I154" i="32"/>
  <c r="AE37" i="31"/>
  <c r="C186" i="32"/>
  <c r="AE38" i="31"/>
  <c r="D186" i="32"/>
  <c r="AE39" i="31"/>
  <c r="E186" i="32"/>
  <c r="AE40" i="31"/>
  <c r="F186" i="32"/>
  <c r="AE41" i="31"/>
  <c r="G186" i="32"/>
  <c r="AE42" i="31"/>
  <c r="H186" i="32"/>
  <c r="AE43" i="31"/>
  <c r="I186" i="32"/>
  <c r="AE44" i="31"/>
  <c r="C218" i="32"/>
  <c r="AE45" i="31"/>
  <c r="D218" i="32"/>
  <c r="AE46" i="31"/>
  <c r="E218" i="32"/>
  <c r="AE47" i="31"/>
  <c r="F218" i="32"/>
  <c r="I380" i="32"/>
  <c r="D612" i="24"/>
  <c r="CF90" i="24"/>
  <c r="AH51" i="31"/>
  <c r="C253" i="32"/>
  <c r="CE91" i="24"/>
  <c r="I382" i="32"/>
  <c r="I612" i="24"/>
  <c r="I383" i="32"/>
  <c r="J612" i="24"/>
  <c r="I384" i="32"/>
  <c r="L612" i="24"/>
  <c r="G19" i="4"/>
  <c r="E19" i="4"/>
  <c r="G28" i="4"/>
  <c r="E28" i="4"/>
  <c r="F7" i="6"/>
  <c r="E220" i="24"/>
  <c r="F24" i="6"/>
  <c r="E233" i="24"/>
  <c r="F32" i="6" s="1"/>
  <c r="CF2" i="28"/>
  <c r="D5" i="7"/>
  <c r="D258" i="24"/>
  <c r="D13" i="7"/>
  <c r="C363" i="24"/>
  <c r="C365" i="24"/>
  <c r="C16" i="8"/>
  <c r="D308" i="24"/>
  <c r="C68" i="8"/>
  <c r="C85" i="8"/>
  <c r="D341" i="24"/>
  <c r="C113" i="8"/>
  <c r="BQ2" i="30"/>
  <c r="D383" i="24"/>
  <c r="CP2" i="30"/>
  <c r="D416" i="24"/>
  <c r="DF2" i="30"/>
  <c r="C170" i="8"/>
  <c r="F420" i="24"/>
  <c r="H15" i="15"/>
  <c r="I15" i="15" s="1"/>
  <c r="F15" i="15"/>
  <c r="H16" i="15"/>
  <c r="I16" i="15" s="1"/>
  <c r="F16" i="15"/>
  <c r="F17" i="15"/>
  <c r="H18" i="15"/>
  <c r="I18" i="15" s="1"/>
  <c r="F18" i="15"/>
  <c r="H19" i="15"/>
  <c r="I19" i="15" s="1"/>
  <c r="F19" i="15"/>
  <c r="H20" i="15"/>
  <c r="I20" i="15" s="1"/>
  <c r="F20" i="15"/>
  <c r="H21" i="15"/>
  <c r="I21" i="15" s="1"/>
  <c r="F21" i="15"/>
  <c r="H22" i="15"/>
  <c r="I22" i="15" s="1"/>
  <c r="F22" i="15"/>
  <c r="F23" i="15"/>
  <c r="F24" i="15"/>
  <c r="H25" i="15"/>
  <c r="I25" i="15" s="1"/>
  <c r="F25" i="15"/>
  <c r="F26" i="15"/>
  <c r="H27" i="15"/>
  <c r="I27" i="15" s="1"/>
  <c r="F27" i="15"/>
  <c r="H28" i="15"/>
  <c r="I28" i="15" s="1"/>
  <c r="F28" i="15"/>
  <c r="H29" i="15"/>
  <c r="I29" i="15" s="1"/>
  <c r="F29" i="15"/>
  <c r="H30" i="15"/>
  <c r="I30" i="15" s="1"/>
  <c r="F30" i="15"/>
  <c r="F33" i="15"/>
  <c r="F34" i="15"/>
  <c r="F35" i="15"/>
  <c r="F36" i="15"/>
  <c r="F37" i="15"/>
  <c r="H38" i="15"/>
  <c r="I38" i="15" s="1"/>
  <c r="F38" i="15"/>
  <c r="H39" i="15"/>
  <c r="I39" i="15" s="1"/>
  <c r="F39" i="15"/>
  <c r="H41" i="15"/>
  <c r="I41" i="15" s="1"/>
  <c r="F41" i="15"/>
  <c r="H42" i="15"/>
  <c r="I42" i="15" s="1"/>
  <c r="F42" i="15"/>
  <c r="F43" i="15"/>
  <c r="H44" i="15"/>
  <c r="I44" i="15" s="1"/>
  <c r="F44" i="15"/>
  <c r="F45" i="15"/>
  <c r="H46" i="15"/>
  <c r="I46" i="15" s="1"/>
  <c r="F46" i="15"/>
  <c r="H47" i="15"/>
  <c r="I47" i="15" s="1"/>
  <c r="F47" i="15"/>
  <c r="F48" i="15"/>
  <c r="F49" i="15"/>
  <c r="F50" i="15"/>
  <c r="H51" i="15"/>
  <c r="I51" i="15" s="1"/>
  <c r="F51" i="15"/>
  <c r="H52" i="15"/>
  <c r="I52" i="15" s="1"/>
  <c r="F52" i="15"/>
  <c r="F53" i="15"/>
  <c r="H54" i="15"/>
  <c r="I54" i="15" s="1"/>
  <c r="F54" i="15"/>
  <c r="H55" i="15"/>
  <c r="I55" i="15" s="1"/>
  <c r="F55" i="15"/>
  <c r="H56" i="15"/>
  <c r="I56" i="15" s="1"/>
  <c r="F56" i="15"/>
  <c r="H57" i="15"/>
  <c r="I57" i="15" s="1"/>
  <c r="F57" i="15"/>
  <c r="H58" i="15"/>
  <c r="I58" i="15" s="1"/>
  <c r="F58" i="15"/>
  <c r="H59" i="15"/>
  <c r="I59" i="15" s="1"/>
  <c r="F59" i="15"/>
  <c r="F63" i="15"/>
  <c r="F64" i="15"/>
  <c r="F65" i="15"/>
  <c r="F69" i="15"/>
  <c r="C715" i="34"/>
  <c r="C648" i="34"/>
  <c r="M716" i="34" s="1"/>
  <c r="D615" i="34"/>
  <c r="CD52" i="24" l="1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D716" i="34"/>
  <c r="D713" i="34"/>
  <c r="D712" i="34"/>
  <c r="D711" i="34"/>
  <c r="D710" i="34"/>
  <c r="D709" i="34"/>
  <c r="D708" i="34"/>
  <c r="D707" i="34"/>
  <c r="D706" i="34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C167" i="8"/>
  <c r="D26" i="33"/>
  <c r="E414" i="24"/>
  <c r="C137" i="8"/>
  <c r="D12" i="33"/>
  <c r="E380" i="24"/>
  <c r="C87" i="8"/>
  <c r="D350" i="24"/>
  <c r="C50" i="8"/>
  <c r="D352" i="24"/>
  <c r="C103" i="8" s="1"/>
  <c r="F309" i="24"/>
  <c r="BP2" i="30"/>
  <c r="C119" i="8"/>
  <c r="BN2" i="30"/>
  <c r="C117" i="8"/>
  <c r="D366" i="24"/>
  <c r="F16" i="6"/>
  <c r="F234" i="24"/>
  <c r="I381" i="32"/>
  <c r="G612" i="24"/>
  <c r="CF91" i="24"/>
  <c r="I378" i="32"/>
  <c r="K612" i="24"/>
  <c r="E373" i="32"/>
  <c r="C94" i="15"/>
  <c r="G94" i="15" s="1"/>
  <c r="H2" i="31"/>
  <c r="C12" i="32"/>
  <c r="CE62" i="24"/>
  <c r="I364" i="32" s="1"/>
  <c r="C67" i="24" l="1"/>
  <c r="CE52" i="24"/>
  <c r="D85" i="24"/>
  <c r="M3" i="31"/>
  <c r="D17" i="32"/>
  <c r="E85" i="24"/>
  <c r="M4" i="31"/>
  <c r="E17" i="32"/>
  <c r="F85" i="24"/>
  <c r="M5" i="31"/>
  <c r="F17" i="32"/>
  <c r="G85" i="24"/>
  <c r="M6" i="31"/>
  <c r="G17" i="32"/>
  <c r="H85" i="24"/>
  <c r="M7" i="31"/>
  <c r="H17" i="32"/>
  <c r="I85" i="24"/>
  <c r="M8" i="31"/>
  <c r="I17" i="32"/>
  <c r="J85" i="24"/>
  <c r="M9" i="31"/>
  <c r="C49" i="32"/>
  <c r="K85" i="24"/>
  <c r="M10" i="31"/>
  <c r="D49" i="32"/>
  <c r="L85" i="24"/>
  <c r="M11" i="31"/>
  <c r="E49" i="32"/>
  <c r="M85" i="24"/>
  <c r="M12" i="31"/>
  <c r="F49" i="32"/>
  <c r="N85" i="24"/>
  <c r="M13" i="31"/>
  <c r="G49" i="32"/>
  <c r="O85" i="24"/>
  <c r="M14" i="31"/>
  <c r="H49" i="32"/>
  <c r="P85" i="24"/>
  <c r="M15" i="31"/>
  <c r="I49" i="32"/>
  <c r="Q85" i="24"/>
  <c r="M16" i="31"/>
  <c r="C81" i="32"/>
  <c r="R85" i="24"/>
  <c r="M17" i="31"/>
  <c r="D81" i="32"/>
  <c r="S85" i="24"/>
  <c r="M18" i="31"/>
  <c r="E81" i="32"/>
  <c r="T85" i="24"/>
  <c r="M19" i="31"/>
  <c r="F81" i="32"/>
  <c r="U85" i="24"/>
  <c r="M20" i="31"/>
  <c r="G81" i="32"/>
  <c r="V85" i="24"/>
  <c r="M21" i="31"/>
  <c r="H81" i="32"/>
  <c r="W85" i="24"/>
  <c r="M22" i="31"/>
  <c r="I81" i="32"/>
  <c r="X85" i="24"/>
  <c r="M23" i="31"/>
  <c r="C113" i="32"/>
  <c r="Y85" i="24"/>
  <c r="M24" i="31"/>
  <c r="D113" i="32"/>
  <c r="Z85" i="24"/>
  <c r="M25" i="31"/>
  <c r="E113" i="32"/>
  <c r="AA85" i="24"/>
  <c r="M26" i="31"/>
  <c r="F113" i="32"/>
  <c r="AB85" i="24"/>
  <c r="M27" i="31"/>
  <c r="G113" i="32"/>
  <c r="AC85" i="24"/>
  <c r="M28" i="31"/>
  <c r="H113" i="32"/>
  <c r="AD85" i="24"/>
  <c r="M29" i="31"/>
  <c r="I113" i="32"/>
  <c r="AE85" i="24"/>
  <c r="M30" i="31"/>
  <c r="C145" i="32"/>
  <c r="AF85" i="24"/>
  <c r="M31" i="31"/>
  <c r="D145" i="32"/>
  <c r="AG85" i="24"/>
  <c r="M32" i="31"/>
  <c r="E145" i="32"/>
  <c r="AH85" i="24"/>
  <c r="M33" i="31"/>
  <c r="F145" i="32"/>
  <c r="AI85" i="24"/>
  <c r="M34" i="31"/>
  <c r="G145" i="32"/>
  <c r="AJ85" i="24"/>
  <c r="M35" i="31"/>
  <c r="H145" i="32"/>
  <c r="AK85" i="24"/>
  <c r="M36" i="31"/>
  <c r="I145" i="32"/>
  <c r="AL85" i="24"/>
  <c r="M37" i="31"/>
  <c r="C177" i="32"/>
  <c r="AM85" i="24"/>
  <c r="M38" i="31"/>
  <c r="D177" i="32"/>
  <c r="AN85" i="24"/>
  <c r="M39" i="31"/>
  <c r="E177" i="32"/>
  <c r="AO85" i="24"/>
  <c r="M40" i="31"/>
  <c r="F177" i="32"/>
  <c r="AP85" i="24"/>
  <c r="M41" i="31"/>
  <c r="G177" i="32"/>
  <c r="AQ85" i="24"/>
  <c r="M42" i="31"/>
  <c r="H177" i="32"/>
  <c r="AR85" i="24"/>
  <c r="M43" i="31"/>
  <c r="I177" i="32"/>
  <c r="AS85" i="24"/>
  <c r="M44" i="31"/>
  <c r="C209" i="32"/>
  <c r="AT85" i="24"/>
  <c r="M45" i="31"/>
  <c r="D209" i="32"/>
  <c r="AU85" i="24"/>
  <c r="M46" i="31"/>
  <c r="E209" i="32"/>
  <c r="AV85" i="24"/>
  <c r="M47" i="31"/>
  <c r="F209" i="32"/>
  <c r="AW85" i="24"/>
  <c r="M48" i="31"/>
  <c r="G209" i="32"/>
  <c r="AX85" i="24"/>
  <c r="M49" i="31"/>
  <c r="H209" i="32"/>
  <c r="AY85" i="24"/>
  <c r="M50" i="31"/>
  <c r="I209" i="32"/>
  <c r="AZ85" i="24"/>
  <c r="M51" i="31"/>
  <c r="C241" i="32"/>
  <c r="BA85" i="24"/>
  <c r="M52" i="31"/>
  <c r="D241" i="32"/>
  <c r="BB85" i="24"/>
  <c r="M53" i="31"/>
  <c r="E241" i="32"/>
  <c r="BC85" i="24"/>
  <c r="M54" i="31"/>
  <c r="F241" i="32"/>
  <c r="BD85" i="24"/>
  <c r="M55" i="31"/>
  <c r="G241" i="32"/>
  <c r="BE85" i="24"/>
  <c r="M56" i="31"/>
  <c r="H241" i="32"/>
  <c r="BF85" i="24"/>
  <c r="M57" i="31"/>
  <c r="I241" i="32"/>
  <c r="BG85" i="24"/>
  <c r="M58" i="31"/>
  <c r="C273" i="32"/>
  <c r="BH85" i="24"/>
  <c r="M59" i="31"/>
  <c r="D273" i="32"/>
  <c r="BI85" i="24"/>
  <c r="M60" i="31"/>
  <c r="E273" i="32"/>
  <c r="BJ85" i="24"/>
  <c r="M61" i="31"/>
  <c r="F273" i="32"/>
  <c r="BK85" i="24"/>
  <c r="M62" i="31"/>
  <c r="G273" i="32"/>
  <c r="BL85" i="24"/>
  <c r="M63" i="31"/>
  <c r="H273" i="32"/>
  <c r="BM85" i="24"/>
  <c r="M64" i="31"/>
  <c r="I273" i="32"/>
  <c r="BN85" i="24"/>
  <c r="M65" i="31"/>
  <c r="C305" i="32"/>
  <c r="BO85" i="24"/>
  <c r="M66" i="31"/>
  <c r="D305" i="32"/>
  <c r="BP85" i="24"/>
  <c r="M67" i="31"/>
  <c r="E305" i="32"/>
  <c r="BQ85" i="24"/>
  <c r="M68" i="31"/>
  <c r="F305" i="32"/>
  <c r="BR85" i="24"/>
  <c r="M69" i="31"/>
  <c r="G305" i="32"/>
  <c r="BS85" i="24"/>
  <c r="M70" i="31"/>
  <c r="H305" i="32"/>
  <c r="BT85" i="24"/>
  <c r="M71" i="31"/>
  <c r="I305" i="32"/>
  <c r="BU85" i="24"/>
  <c r="M72" i="31"/>
  <c r="C337" i="32"/>
  <c r="BV85" i="24"/>
  <c r="M73" i="31"/>
  <c r="D337" i="32"/>
  <c r="BW85" i="24"/>
  <c r="M74" i="31"/>
  <c r="E337" i="32"/>
  <c r="BX85" i="24"/>
  <c r="M75" i="31"/>
  <c r="F337" i="32"/>
  <c r="BY85" i="24"/>
  <c r="M76" i="31"/>
  <c r="G337" i="32"/>
  <c r="BZ85" i="24"/>
  <c r="M77" i="31"/>
  <c r="H337" i="32"/>
  <c r="CA85" i="24"/>
  <c r="M78" i="31"/>
  <c r="I337" i="32"/>
  <c r="CB85" i="24"/>
  <c r="M79" i="31"/>
  <c r="C369" i="32"/>
  <c r="CC85" i="24"/>
  <c r="M80" i="31"/>
  <c r="D369" i="32"/>
  <c r="C120" i="8"/>
  <c r="D367" i="24"/>
  <c r="D715" i="34"/>
  <c r="E623" i="34"/>
  <c r="E612" i="34"/>
  <c r="D373" i="32" l="1"/>
  <c r="C93" i="15"/>
  <c r="G93" i="15" s="1"/>
  <c r="C620" i="24"/>
  <c r="C373" i="32"/>
  <c r="C92" i="15"/>
  <c r="G92" i="15" s="1"/>
  <c r="C622" i="24"/>
  <c r="I341" i="32"/>
  <c r="C91" i="15"/>
  <c r="G91" i="15" s="1"/>
  <c r="C647" i="24"/>
  <c r="H341" i="32"/>
  <c r="C90" i="15"/>
  <c r="G90" i="15" s="1"/>
  <c r="C646" i="24"/>
  <c r="G341" i="32"/>
  <c r="C89" i="15"/>
  <c r="G89" i="15" s="1"/>
  <c r="C645" i="24"/>
  <c r="F341" i="32"/>
  <c r="C88" i="15"/>
  <c r="G88" i="15" s="1"/>
  <c r="C644" i="24"/>
  <c r="E341" i="32"/>
  <c r="C87" i="15"/>
  <c r="G87" i="15" s="1"/>
  <c r="C643" i="24"/>
  <c r="D341" i="32"/>
  <c r="C86" i="15"/>
  <c r="G86" i="15" s="1"/>
  <c r="C642" i="24"/>
  <c r="C341" i="32"/>
  <c r="C85" i="15"/>
  <c r="G85" i="15" s="1"/>
  <c r="C641" i="24"/>
  <c r="I309" i="32"/>
  <c r="C84" i="15"/>
  <c r="G84" i="15" s="1"/>
  <c r="C640" i="24"/>
  <c r="H309" i="32"/>
  <c r="C83" i="15"/>
  <c r="G83" i="15" s="1"/>
  <c r="C639" i="24"/>
  <c r="G309" i="32"/>
  <c r="C82" i="15"/>
  <c r="G82" i="15" s="1"/>
  <c r="C626" i="24"/>
  <c r="F309" i="32"/>
  <c r="C81" i="15"/>
  <c r="G81" i="15" s="1"/>
  <c r="C62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I277" i="32"/>
  <c r="C77" i="15"/>
  <c r="G77" i="15" s="1"/>
  <c r="C638" i="24"/>
  <c r="H277" i="32"/>
  <c r="C76" i="15"/>
  <c r="G76" i="15" s="1"/>
  <c r="C637" i="24"/>
  <c r="G277" i="32"/>
  <c r="C75" i="15"/>
  <c r="G75" i="15" s="1"/>
  <c r="C635" i="24"/>
  <c r="F277" i="32"/>
  <c r="C74" i="15"/>
  <c r="G74" i="15" s="1"/>
  <c r="C617" i="24"/>
  <c r="E277" i="32"/>
  <c r="C73" i="15"/>
  <c r="G73" i="15" s="1"/>
  <c r="C634" i="24"/>
  <c r="D277" i="32"/>
  <c r="C72" i="15"/>
  <c r="G72" i="15" s="1"/>
  <c r="C636" i="24"/>
  <c r="C277" i="32"/>
  <c r="C71" i="15"/>
  <c r="G71" i="15" s="1"/>
  <c r="C618" i="24"/>
  <c r="I245" i="32"/>
  <c r="C70" i="15"/>
  <c r="G70" i="15" s="1"/>
  <c r="C629" i="24"/>
  <c r="H245" i="32"/>
  <c r="C69" i="15"/>
  <c r="C614" i="24"/>
  <c r="G245" i="32"/>
  <c r="C68" i="15"/>
  <c r="G68" i="15" s="1"/>
  <c r="C624" i="24"/>
  <c r="F245" i="32"/>
  <c r="C67" i="15"/>
  <c r="G67" i="15" s="1"/>
  <c r="C633" i="24"/>
  <c r="E245" i="32"/>
  <c r="C66" i="15"/>
  <c r="G66" i="15" s="1"/>
  <c r="C632" i="24"/>
  <c r="D245" i="32"/>
  <c r="C65" i="15"/>
  <c r="C630" i="24"/>
  <c r="C245" i="32"/>
  <c r="C64" i="15"/>
  <c r="C628" i="24"/>
  <c r="I213" i="32"/>
  <c r="C63" i="15"/>
  <c r="C625" i="24"/>
  <c r="H213" i="32"/>
  <c r="C62" i="15"/>
  <c r="C616" i="24"/>
  <c r="G213" i="32"/>
  <c r="C61" i="15"/>
  <c r="C631" i="24"/>
  <c r="F213" i="32"/>
  <c r="C60" i="15"/>
  <c r="C713" i="24"/>
  <c r="E213" i="32"/>
  <c r="C59" i="15"/>
  <c r="G59" i="15" s="1"/>
  <c r="C712" i="24"/>
  <c r="D213" i="32"/>
  <c r="C58" i="15"/>
  <c r="G58" i="15" s="1"/>
  <c r="C711" i="24"/>
  <c r="C213" i="32"/>
  <c r="C57" i="15"/>
  <c r="G57" i="15" s="1"/>
  <c r="C710" i="24"/>
  <c r="I181" i="32"/>
  <c r="C56" i="15"/>
  <c r="G56" i="15" s="1"/>
  <c r="C709" i="24"/>
  <c r="H181" i="32"/>
  <c r="C55" i="15"/>
  <c r="G55" i="15" s="1"/>
  <c r="C708" i="24"/>
  <c r="G181" i="32"/>
  <c r="C54" i="15"/>
  <c r="G54" i="15" s="1"/>
  <c r="C707" i="24"/>
  <c r="F181" i="32"/>
  <c r="C53" i="15"/>
  <c r="C706" i="24"/>
  <c r="E181" i="32"/>
  <c r="C52" i="15"/>
  <c r="G52" i="15" s="1"/>
  <c r="C705" i="24"/>
  <c r="D181" i="32"/>
  <c r="C51" i="15"/>
  <c r="G51" i="15" s="1"/>
  <c r="C704" i="24"/>
  <c r="C181" i="32"/>
  <c r="C50" i="15"/>
  <c r="C703" i="24"/>
  <c r="I149" i="32"/>
  <c r="C49" i="15"/>
  <c r="C702" i="24"/>
  <c r="H149" i="32"/>
  <c r="C48" i="15"/>
  <c r="C701" i="24"/>
  <c r="G149" i="32"/>
  <c r="C47" i="15"/>
  <c r="G47" i="15" s="1"/>
  <c r="C700" i="24"/>
  <c r="F149" i="32"/>
  <c r="C46" i="15"/>
  <c r="G46" i="15" s="1"/>
  <c r="C699" i="24"/>
  <c r="E149" i="32"/>
  <c r="C45" i="15"/>
  <c r="C698" i="24"/>
  <c r="D149" i="32"/>
  <c r="C44" i="15"/>
  <c r="G44" i="15" s="1"/>
  <c r="C697" i="24"/>
  <c r="C149" i="32"/>
  <c r="C43" i="15"/>
  <c r="C696" i="24"/>
  <c r="I117" i="32"/>
  <c r="C42" i="15"/>
  <c r="G42" i="15" s="1"/>
  <c r="C695" i="24"/>
  <c r="H117" i="32"/>
  <c r="C41" i="15"/>
  <c r="G41" i="15" s="1"/>
  <c r="C694" i="24"/>
  <c r="G117" i="32"/>
  <c r="C40" i="15"/>
  <c r="G40" i="15" s="1"/>
  <c r="C693" i="24"/>
  <c r="F117" i="32"/>
  <c r="C39" i="15"/>
  <c r="G39" i="15" s="1"/>
  <c r="C692" i="24"/>
  <c r="E117" i="32"/>
  <c r="C38" i="15"/>
  <c r="G38" i="15" s="1"/>
  <c r="C691" i="24"/>
  <c r="D117" i="32"/>
  <c r="C37" i="15"/>
  <c r="C690" i="24"/>
  <c r="C117" i="32"/>
  <c r="C36" i="15"/>
  <c r="C689" i="24"/>
  <c r="I85" i="32"/>
  <c r="C35" i="15"/>
  <c r="C688" i="24"/>
  <c r="H85" i="32"/>
  <c r="C34" i="15"/>
  <c r="C687" i="24"/>
  <c r="G85" i="32"/>
  <c r="C33" i="15"/>
  <c r="C686" i="24"/>
  <c r="F85" i="32"/>
  <c r="C32" i="15"/>
  <c r="G32" i="15" s="1"/>
  <c r="C685" i="24"/>
  <c r="E85" i="32"/>
  <c r="C31" i="15"/>
  <c r="G31" i="15" s="1"/>
  <c r="C684" i="24"/>
  <c r="D85" i="32"/>
  <c r="C30" i="15"/>
  <c r="G30" i="15" s="1"/>
  <c r="C683" i="24"/>
  <c r="C85" i="32"/>
  <c r="C29" i="15"/>
  <c r="G29" i="15" s="1"/>
  <c r="C682" i="24"/>
  <c r="I53" i="32"/>
  <c r="C28" i="15"/>
  <c r="G28" i="15" s="1"/>
  <c r="C681" i="24"/>
  <c r="H53" i="32"/>
  <c r="C27" i="15"/>
  <c r="G27" i="15" s="1"/>
  <c r="C680" i="24"/>
  <c r="G53" i="32"/>
  <c r="C26" i="15"/>
  <c r="C679" i="24"/>
  <c r="F53" i="32"/>
  <c r="C25" i="15"/>
  <c r="G25" i="15" s="1"/>
  <c r="C678" i="24"/>
  <c r="E53" i="32"/>
  <c r="C24" i="15"/>
  <c r="C677" i="24"/>
  <c r="D53" i="32"/>
  <c r="C23" i="15"/>
  <c r="C676" i="24"/>
  <c r="C53" i="32"/>
  <c r="C22" i="15"/>
  <c r="G22" i="15" s="1"/>
  <c r="C675" i="24"/>
  <c r="I21" i="32"/>
  <c r="C21" i="15"/>
  <c r="G21" i="15" s="1"/>
  <c r="C674" i="24"/>
  <c r="H21" i="32"/>
  <c r="C20" i="15"/>
  <c r="G20" i="15" s="1"/>
  <c r="C673" i="24"/>
  <c r="G21" i="32"/>
  <c r="C19" i="15"/>
  <c r="G19" i="15" s="1"/>
  <c r="C672" i="24"/>
  <c r="F21" i="32"/>
  <c r="C18" i="15"/>
  <c r="G18" i="15" s="1"/>
  <c r="C671" i="24"/>
  <c r="E21" i="32"/>
  <c r="C17" i="15"/>
  <c r="C670" i="24"/>
  <c r="D21" i="32"/>
  <c r="C16" i="15"/>
  <c r="G16" i="15" s="1"/>
  <c r="C669" i="24"/>
  <c r="M2" i="31"/>
  <c r="C17" i="32"/>
  <c r="CE67" i="24"/>
  <c r="I369" i="32" s="1"/>
  <c r="C85" i="24"/>
  <c r="E716" i="34"/>
  <c r="E713" i="34"/>
  <c r="E712" i="34"/>
  <c r="E711" i="34"/>
  <c r="E710" i="34"/>
  <c r="E709" i="34"/>
  <c r="E708" i="34"/>
  <c r="E707" i="34"/>
  <c r="E706" i="34"/>
  <c r="E705" i="34"/>
  <c r="E704" i="34"/>
  <c r="E703" i="34"/>
  <c r="E702" i="34"/>
  <c r="E701" i="34"/>
  <c r="E700" i="34"/>
  <c r="E699" i="34"/>
  <c r="E698" i="34"/>
  <c r="E697" i="34"/>
  <c r="E696" i="34"/>
  <c r="E695" i="34"/>
  <c r="E694" i="34"/>
  <c r="E693" i="34"/>
  <c r="E692" i="34"/>
  <c r="E691" i="34"/>
  <c r="E690" i="34"/>
  <c r="E689" i="34"/>
  <c r="E688" i="34"/>
  <c r="E687" i="34"/>
  <c r="E686" i="34"/>
  <c r="E685" i="34"/>
  <c r="E684" i="34"/>
  <c r="E683" i="34"/>
  <c r="E682" i="34"/>
  <c r="E681" i="34"/>
  <c r="E680" i="34"/>
  <c r="E679" i="34"/>
  <c r="E678" i="34"/>
  <c r="E677" i="34"/>
  <c r="E676" i="34"/>
  <c r="E675" i="34"/>
  <c r="E674" i="34"/>
  <c r="E673" i="34"/>
  <c r="E672" i="34"/>
  <c r="E671" i="34"/>
  <c r="E670" i="34"/>
  <c r="E669" i="34"/>
  <c r="E668" i="34"/>
  <c r="E647" i="34"/>
  <c r="E646" i="34"/>
  <c r="E64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9" i="34"/>
  <c r="E628" i="34"/>
  <c r="E627" i="34"/>
  <c r="E626" i="34"/>
  <c r="E625" i="34"/>
  <c r="E624" i="34"/>
  <c r="C121" i="8"/>
  <c r="D384" i="24"/>
  <c r="C21" i="32" l="1"/>
  <c r="C15" i="15"/>
  <c r="G15" i="15" s="1"/>
  <c r="C668" i="24"/>
  <c r="CE85" i="24"/>
  <c r="G17" i="15"/>
  <c r="H17" i="15"/>
  <c r="I17" i="15" s="1"/>
  <c r="G23" i="15"/>
  <c r="H23" i="15"/>
  <c r="I23" i="15" s="1"/>
  <c r="G24" i="15"/>
  <c r="H24" i="15"/>
  <c r="I24" i="15" s="1"/>
  <c r="G26" i="15"/>
  <c r="H26" i="15"/>
  <c r="I26" i="15" s="1"/>
  <c r="G33" i="15"/>
  <c r="H33" i="15"/>
  <c r="I33" i="15" s="1"/>
  <c r="G34" i="15"/>
  <c r="H34" i="15"/>
  <c r="I34" i="15" s="1"/>
  <c r="G35" i="15"/>
  <c r="H35" i="15"/>
  <c r="I35" i="15" s="1"/>
  <c r="G36" i="15"/>
  <c r="H36" i="15"/>
  <c r="I36" i="15" s="1"/>
  <c r="G37" i="15"/>
  <c r="H37" i="15"/>
  <c r="G43" i="15"/>
  <c r="H43" i="15"/>
  <c r="I43" i="15" s="1"/>
  <c r="G45" i="15"/>
  <c r="H45" i="15"/>
  <c r="I45" i="15" s="1"/>
  <c r="G48" i="15"/>
  <c r="H48" i="15"/>
  <c r="I48" i="15" s="1"/>
  <c r="G49" i="15"/>
  <c r="H49" i="15"/>
  <c r="I49" i="15" s="1"/>
  <c r="G50" i="15"/>
  <c r="H50" i="15"/>
  <c r="G53" i="15"/>
  <c r="H53" i="15"/>
  <c r="I53" i="15" s="1"/>
  <c r="G63" i="15"/>
  <c r="H63" i="15"/>
  <c r="I63" i="15" s="1"/>
  <c r="G64" i="15"/>
  <c r="H64" i="15"/>
  <c r="I64" i="15" s="1"/>
  <c r="G65" i="15"/>
  <c r="H65" i="15"/>
  <c r="I65" i="15" s="1"/>
  <c r="C715" i="24"/>
  <c r="C648" i="24"/>
  <c r="M716" i="24" s="1"/>
  <c r="D615" i="24"/>
  <c r="G69" i="15"/>
  <c r="H69" i="15"/>
  <c r="C138" i="8"/>
  <c r="D417" i="24"/>
  <c r="E715" i="34"/>
  <c r="F624" i="34"/>
  <c r="D716" i="24" l="1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D623" i="24"/>
  <c r="D622" i="24"/>
  <c r="D621" i="24"/>
  <c r="D620" i="24"/>
  <c r="D619" i="24"/>
  <c r="D618" i="24"/>
  <c r="D617" i="24"/>
  <c r="D616" i="24"/>
  <c r="I373" i="32"/>
  <c r="C716" i="24"/>
  <c r="F716" i="34"/>
  <c r="F713" i="34"/>
  <c r="F712" i="34"/>
  <c r="F711" i="34"/>
  <c r="F710" i="34"/>
  <c r="F709" i="34"/>
  <c r="F708" i="34"/>
  <c r="F707" i="34"/>
  <c r="F706" i="34"/>
  <c r="F705" i="34"/>
  <c r="F704" i="34"/>
  <c r="F703" i="34"/>
  <c r="F702" i="34"/>
  <c r="F701" i="34"/>
  <c r="F700" i="34"/>
  <c r="F699" i="34"/>
  <c r="F698" i="34"/>
  <c r="F697" i="34"/>
  <c r="F696" i="34"/>
  <c r="F695" i="34"/>
  <c r="F694" i="34"/>
  <c r="F693" i="34"/>
  <c r="F692" i="34"/>
  <c r="F691" i="34"/>
  <c r="F690" i="34"/>
  <c r="F689" i="34"/>
  <c r="F688" i="34"/>
  <c r="F687" i="34"/>
  <c r="F686" i="34"/>
  <c r="F685" i="34"/>
  <c r="F684" i="34"/>
  <c r="F683" i="34"/>
  <c r="F682" i="34"/>
  <c r="F681" i="34"/>
  <c r="F680" i="34"/>
  <c r="F679" i="34"/>
  <c r="F678" i="34"/>
  <c r="F677" i="34"/>
  <c r="F676" i="34"/>
  <c r="F675" i="34"/>
  <c r="F674" i="34"/>
  <c r="F673" i="34"/>
  <c r="F672" i="34"/>
  <c r="F671" i="34"/>
  <c r="F670" i="34"/>
  <c r="F669" i="34"/>
  <c r="F668" i="34"/>
  <c r="F647" i="34"/>
  <c r="F646" i="34"/>
  <c r="F64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9" i="34"/>
  <c r="F628" i="34"/>
  <c r="F627" i="34"/>
  <c r="F626" i="34"/>
  <c r="F625" i="34"/>
  <c r="C168" i="8"/>
  <c r="D421" i="24"/>
  <c r="D715" i="24" l="1"/>
  <c r="E623" i="24"/>
  <c r="E612" i="24"/>
  <c r="C172" i="8"/>
  <c r="D424" i="24"/>
  <c r="C177" i="8" s="1"/>
  <c r="F715" i="34"/>
  <c r="G625" i="34"/>
  <c r="E716" i="24" l="1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G716" i="34"/>
  <c r="G713" i="34"/>
  <c r="G712" i="34"/>
  <c r="G711" i="34"/>
  <c r="G710" i="34"/>
  <c r="G709" i="34"/>
  <c r="G708" i="34"/>
  <c r="G707" i="34"/>
  <c r="G706" i="34"/>
  <c r="G705" i="34"/>
  <c r="G704" i="34"/>
  <c r="G703" i="34"/>
  <c r="G702" i="34"/>
  <c r="G701" i="34"/>
  <c r="G700" i="34"/>
  <c r="G699" i="34"/>
  <c r="G698" i="34"/>
  <c r="G697" i="34"/>
  <c r="G696" i="34"/>
  <c r="G695" i="34"/>
  <c r="G694" i="34"/>
  <c r="G693" i="34"/>
  <c r="G692" i="34"/>
  <c r="G691" i="34"/>
  <c r="G690" i="34"/>
  <c r="G689" i="34"/>
  <c r="G688" i="34"/>
  <c r="G687" i="34"/>
  <c r="G686" i="34"/>
  <c r="G685" i="34"/>
  <c r="G684" i="34"/>
  <c r="G683" i="34"/>
  <c r="G682" i="34"/>
  <c r="G681" i="34"/>
  <c r="G680" i="34"/>
  <c r="G679" i="34"/>
  <c r="G678" i="34"/>
  <c r="G677" i="34"/>
  <c r="G676" i="34"/>
  <c r="G675" i="34"/>
  <c r="G674" i="34"/>
  <c r="G673" i="34"/>
  <c r="G672" i="34"/>
  <c r="G671" i="34"/>
  <c r="G670" i="34"/>
  <c r="G669" i="34"/>
  <c r="G668" i="34"/>
  <c r="G647" i="34"/>
  <c r="G646" i="34"/>
  <c r="G64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29" i="34"/>
  <c r="G628" i="34"/>
  <c r="G627" i="34"/>
  <c r="G626" i="34"/>
  <c r="E715" i="24" l="1"/>
  <c r="F624" i="24"/>
  <c r="G715" i="34"/>
  <c r="H628" i="34"/>
  <c r="F716" i="24" l="1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H716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F715" i="24" l="1"/>
  <c r="G625" i="24"/>
  <c r="H715" i="34"/>
  <c r="I629" i="34"/>
  <c r="G716" i="24" l="1"/>
  <c r="G713" i="24"/>
  <c r="G712" i="24"/>
  <c r="G711" i="24"/>
  <c r="G710" i="24"/>
  <c r="G709" i="24"/>
  <c r="G708" i="24"/>
  <c r="G707" i="24"/>
  <c r="G706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I716" i="34"/>
  <c r="I713" i="34"/>
  <c r="I712" i="34"/>
  <c r="I711" i="34"/>
  <c r="I710" i="34"/>
  <c r="I709" i="34"/>
  <c r="I708" i="34"/>
  <c r="I707" i="34"/>
  <c r="I706" i="34"/>
  <c r="I705" i="34"/>
  <c r="I704" i="34"/>
  <c r="I703" i="34"/>
  <c r="I702" i="34"/>
  <c r="I701" i="34"/>
  <c r="I700" i="34"/>
  <c r="I699" i="34"/>
  <c r="I698" i="34"/>
  <c r="I697" i="34"/>
  <c r="I696" i="34"/>
  <c r="I695" i="34"/>
  <c r="I694" i="34"/>
  <c r="I693" i="34"/>
  <c r="I692" i="34"/>
  <c r="I691" i="34"/>
  <c r="I690" i="34"/>
  <c r="I689" i="34"/>
  <c r="I688" i="34"/>
  <c r="I687" i="34"/>
  <c r="I686" i="34"/>
  <c r="I685" i="34"/>
  <c r="I684" i="34"/>
  <c r="I683" i="34"/>
  <c r="I682" i="34"/>
  <c r="I681" i="34"/>
  <c r="I680" i="34"/>
  <c r="I679" i="34"/>
  <c r="I678" i="34"/>
  <c r="I677" i="34"/>
  <c r="I676" i="34"/>
  <c r="I675" i="34"/>
  <c r="I674" i="34"/>
  <c r="I673" i="34"/>
  <c r="I672" i="34"/>
  <c r="I671" i="34"/>
  <c r="I670" i="34"/>
  <c r="I669" i="34"/>
  <c r="I668" i="34"/>
  <c r="I647" i="34"/>
  <c r="I646" i="34"/>
  <c r="I64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G715" i="24" l="1"/>
  <c r="H628" i="24"/>
  <c r="I715" i="34"/>
  <c r="J630" i="34"/>
  <c r="H716" i="24" l="1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J716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47" i="34"/>
  <c r="J646" i="34"/>
  <c r="J645" i="34"/>
  <c r="L647" i="34" s="1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H715" i="24" l="1"/>
  <c r="I629" i="24"/>
  <c r="J715" i="34"/>
  <c r="K644" i="34"/>
  <c r="L716" i="34"/>
  <c r="L713" i="34"/>
  <c r="L712" i="34"/>
  <c r="L711" i="34"/>
  <c r="L710" i="34"/>
  <c r="L709" i="34"/>
  <c r="L708" i="34"/>
  <c r="L707" i="34"/>
  <c r="L706" i="34"/>
  <c r="L705" i="34"/>
  <c r="L704" i="34"/>
  <c r="L703" i="34"/>
  <c r="L702" i="34"/>
  <c r="L701" i="34"/>
  <c r="L700" i="34"/>
  <c r="L699" i="34"/>
  <c r="L698" i="34"/>
  <c r="L697" i="34"/>
  <c r="L696" i="34"/>
  <c r="L695" i="34"/>
  <c r="L694" i="34"/>
  <c r="L693" i="34"/>
  <c r="L692" i="34"/>
  <c r="L691" i="34"/>
  <c r="L690" i="34"/>
  <c r="L689" i="34"/>
  <c r="L688" i="34"/>
  <c r="L687" i="34"/>
  <c r="L686" i="34"/>
  <c r="L685" i="34"/>
  <c r="L684" i="34"/>
  <c r="L683" i="34"/>
  <c r="L682" i="34"/>
  <c r="L681" i="34"/>
  <c r="L680" i="34"/>
  <c r="L679" i="34"/>
  <c r="L678" i="34"/>
  <c r="L677" i="34"/>
  <c r="L676" i="34"/>
  <c r="L675" i="34"/>
  <c r="L674" i="34"/>
  <c r="L673" i="34"/>
  <c r="L672" i="34"/>
  <c r="L671" i="34"/>
  <c r="L670" i="34"/>
  <c r="L669" i="34"/>
  <c r="L668" i="34"/>
  <c r="L715" i="34" s="1"/>
  <c r="I716" i="24" l="1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K716" i="34"/>
  <c r="K713" i="34"/>
  <c r="M713" i="34" s="1"/>
  <c r="K712" i="34"/>
  <c r="M712" i="34" s="1"/>
  <c r="K711" i="34"/>
  <c r="M711" i="34" s="1"/>
  <c r="K710" i="34"/>
  <c r="M710" i="34" s="1"/>
  <c r="K709" i="34"/>
  <c r="M709" i="34" s="1"/>
  <c r="K708" i="34"/>
  <c r="M708" i="34" s="1"/>
  <c r="K707" i="34"/>
  <c r="M707" i="34" s="1"/>
  <c r="K706" i="34"/>
  <c r="M706" i="34" s="1"/>
  <c r="K705" i="34"/>
  <c r="M705" i="34" s="1"/>
  <c r="K704" i="34"/>
  <c r="M704" i="34" s="1"/>
  <c r="K703" i="34"/>
  <c r="M703" i="34" s="1"/>
  <c r="K702" i="34"/>
  <c r="M702" i="34" s="1"/>
  <c r="K701" i="34"/>
  <c r="M701" i="34" s="1"/>
  <c r="K700" i="34"/>
  <c r="M700" i="34" s="1"/>
  <c r="K699" i="34"/>
  <c r="M699" i="34" s="1"/>
  <c r="K698" i="34"/>
  <c r="M698" i="34" s="1"/>
  <c r="K697" i="34"/>
  <c r="M697" i="34" s="1"/>
  <c r="K696" i="34"/>
  <c r="M696" i="34" s="1"/>
  <c r="K695" i="34"/>
  <c r="M695" i="34" s="1"/>
  <c r="K694" i="34"/>
  <c r="M694" i="34" s="1"/>
  <c r="K693" i="34"/>
  <c r="M693" i="34" s="1"/>
  <c r="K692" i="34"/>
  <c r="M692" i="34" s="1"/>
  <c r="K691" i="34"/>
  <c r="M691" i="34" s="1"/>
  <c r="K690" i="34"/>
  <c r="M690" i="34" s="1"/>
  <c r="K689" i="34"/>
  <c r="M689" i="34" s="1"/>
  <c r="K688" i="34"/>
  <c r="M688" i="34" s="1"/>
  <c r="K687" i="34"/>
  <c r="M687" i="34" s="1"/>
  <c r="K686" i="34"/>
  <c r="M686" i="34" s="1"/>
  <c r="K685" i="34"/>
  <c r="M685" i="34" s="1"/>
  <c r="K684" i="34"/>
  <c r="M684" i="34" s="1"/>
  <c r="K683" i="34"/>
  <c r="M683" i="34" s="1"/>
  <c r="K682" i="34"/>
  <c r="M682" i="34" s="1"/>
  <c r="K681" i="34"/>
  <c r="M681" i="34" s="1"/>
  <c r="K680" i="34"/>
  <c r="M680" i="34" s="1"/>
  <c r="K679" i="34"/>
  <c r="M679" i="34" s="1"/>
  <c r="K678" i="34"/>
  <c r="M678" i="34" s="1"/>
  <c r="K677" i="34"/>
  <c r="M677" i="34" s="1"/>
  <c r="K676" i="34"/>
  <c r="M676" i="34" s="1"/>
  <c r="K675" i="34"/>
  <c r="M675" i="34" s="1"/>
  <c r="K674" i="34"/>
  <c r="M674" i="34" s="1"/>
  <c r="K673" i="34"/>
  <c r="M673" i="34" s="1"/>
  <c r="K672" i="34"/>
  <c r="M672" i="34" s="1"/>
  <c r="K671" i="34"/>
  <c r="M671" i="34" s="1"/>
  <c r="K670" i="34"/>
  <c r="M670" i="34" s="1"/>
  <c r="K669" i="34"/>
  <c r="M669" i="34" s="1"/>
  <c r="K668" i="34"/>
  <c r="I715" i="24" l="1"/>
  <c r="J630" i="24"/>
  <c r="K715" i="34"/>
  <c r="M668" i="34"/>
  <c r="M715" i="34" s="1"/>
  <c r="J716" i="24" l="1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47" i="24"/>
  <c r="J646" i="24"/>
  <c r="J645" i="24"/>
  <c r="L647" i="24" s="1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715" i="24" l="1"/>
  <c r="K644" i="24"/>
  <c r="L716" i="24"/>
  <c r="L713" i="24"/>
  <c r="L712" i="24"/>
  <c r="L711" i="24"/>
  <c r="L710" i="24"/>
  <c r="L709" i="24"/>
  <c r="L708" i="24"/>
  <c r="L707" i="24"/>
  <c r="L706" i="24"/>
  <c r="L705" i="24"/>
  <c r="L704" i="24"/>
  <c r="L703" i="24"/>
  <c r="L702" i="24"/>
  <c r="L701" i="24"/>
  <c r="L700" i="24"/>
  <c r="L699" i="24"/>
  <c r="L698" i="24"/>
  <c r="L697" i="24"/>
  <c r="L696" i="24"/>
  <c r="L695" i="24"/>
  <c r="L694" i="24"/>
  <c r="L693" i="24"/>
  <c r="L692" i="24"/>
  <c r="L691" i="24"/>
  <c r="L690" i="24"/>
  <c r="L689" i="24"/>
  <c r="L688" i="24"/>
  <c r="L687" i="24"/>
  <c r="L686" i="24"/>
  <c r="L685" i="24"/>
  <c r="L684" i="24"/>
  <c r="L683" i="24"/>
  <c r="L682" i="24"/>
  <c r="L681" i="24"/>
  <c r="L680" i="24"/>
  <c r="L679" i="24"/>
  <c r="L678" i="24"/>
  <c r="L677" i="24"/>
  <c r="L676" i="24"/>
  <c r="L675" i="24"/>
  <c r="L674" i="24"/>
  <c r="L673" i="24"/>
  <c r="L672" i="24"/>
  <c r="L671" i="24"/>
  <c r="L670" i="24"/>
  <c r="L669" i="24"/>
  <c r="L668" i="24"/>
  <c r="L715" i="24" s="1"/>
  <c r="K716" i="24" l="1"/>
  <c r="K713" i="24"/>
  <c r="M713" i="24" s="1"/>
  <c r="F215" i="32" s="1"/>
  <c r="K712" i="24"/>
  <c r="M712" i="24" s="1"/>
  <c r="E215" i="32" s="1"/>
  <c r="K711" i="24"/>
  <c r="M711" i="24" s="1"/>
  <c r="D215" i="32" s="1"/>
  <c r="K710" i="24"/>
  <c r="M710" i="24" s="1"/>
  <c r="C215" i="32" s="1"/>
  <c r="K709" i="24"/>
  <c r="M709" i="24" s="1"/>
  <c r="I183" i="32" s="1"/>
  <c r="K708" i="24"/>
  <c r="M708" i="24" s="1"/>
  <c r="H183" i="32" s="1"/>
  <c r="K707" i="24"/>
  <c r="M707" i="24" s="1"/>
  <c r="G183" i="32" s="1"/>
  <c r="K706" i="24"/>
  <c r="M706" i="24" s="1"/>
  <c r="F183" i="32" s="1"/>
  <c r="K705" i="24"/>
  <c r="M705" i="24" s="1"/>
  <c r="E183" i="32" s="1"/>
  <c r="K704" i="24"/>
  <c r="M704" i="24" s="1"/>
  <c r="D183" i="32" s="1"/>
  <c r="K703" i="24"/>
  <c r="M703" i="24" s="1"/>
  <c r="C183" i="32" s="1"/>
  <c r="K702" i="24"/>
  <c r="M702" i="24" s="1"/>
  <c r="I151" i="32" s="1"/>
  <c r="K701" i="24"/>
  <c r="M701" i="24" s="1"/>
  <c r="H151" i="32" s="1"/>
  <c r="K700" i="24"/>
  <c r="M700" i="24" s="1"/>
  <c r="G151" i="32" s="1"/>
  <c r="K699" i="24"/>
  <c r="M699" i="24" s="1"/>
  <c r="F151" i="32" s="1"/>
  <c r="K698" i="24"/>
  <c r="M698" i="24" s="1"/>
  <c r="E151" i="32" s="1"/>
  <c r="K697" i="24"/>
  <c r="M697" i="24" s="1"/>
  <c r="D151" i="32" s="1"/>
  <c r="K696" i="24"/>
  <c r="M696" i="24" s="1"/>
  <c r="C151" i="32" s="1"/>
  <c r="K695" i="24"/>
  <c r="M695" i="24" s="1"/>
  <c r="I119" i="32" s="1"/>
  <c r="K694" i="24"/>
  <c r="M694" i="24" s="1"/>
  <c r="H119" i="32" s="1"/>
  <c r="K693" i="24"/>
  <c r="M693" i="24" s="1"/>
  <c r="K692" i="24"/>
  <c r="M692" i="24" s="1"/>
  <c r="K691" i="24"/>
  <c r="M691" i="24" s="1"/>
  <c r="K690" i="24"/>
  <c r="M690" i="24" s="1"/>
  <c r="D119" i="32" s="1"/>
  <c r="K689" i="24"/>
  <c r="M689" i="24" s="1"/>
  <c r="C119" i="32" s="1"/>
  <c r="K688" i="24"/>
  <c r="M688" i="24" s="1"/>
  <c r="I87" i="32" s="1"/>
  <c r="K687" i="24"/>
  <c r="M687" i="24" s="1"/>
  <c r="H87" i="32" s="1"/>
  <c r="K686" i="24"/>
  <c r="M686" i="24" s="1"/>
  <c r="G87" i="32" s="1"/>
  <c r="K685" i="24"/>
  <c r="M685" i="24" s="1"/>
  <c r="F87" i="32" s="1"/>
  <c r="K684" i="24"/>
  <c r="M684" i="24" s="1"/>
  <c r="E87" i="32" s="1"/>
  <c r="K683" i="24"/>
  <c r="M683" i="24" s="1"/>
  <c r="D87" i="32" s="1"/>
  <c r="K682" i="24"/>
  <c r="M682" i="24" s="1"/>
  <c r="C87" i="32" s="1"/>
  <c r="K681" i="24"/>
  <c r="M681" i="24" s="1"/>
  <c r="I55" i="32" s="1"/>
  <c r="K680" i="24"/>
  <c r="M680" i="24" s="1"/>
  <c r="H55" i="32" s="1"/>
  <c r="K679" i="24"/>
  <c r="M679" i="24" s="1"/>
  <c r="K678" i="24"/>
  <c r="M678" i="24" s="1"/>
  <c r="K677" i="24"/>
  <c r="M677" i="24" s="1"/>
  <c r="K676" i="24"/>
  <c r="M676" i="24" s="1"/>
  <c r="K675" i="24"/>
  <c r="M675" i="24" s="1"/>
  <c r="C55" i="32" s="1"/>
  <c r="K674" i="24"/>
  <c r="M674" i="24" s="1"/>
  <c r="I23" i="32" s="1"/>
  <c r="K673" i="24"/>
  <c r="M673" i="24" s="1"/>
  <c r="H23" i="32" s="1"/>
  <c r="K672" i="24"/>
  <c r="M672" i="24" s="1"/>
  <c r="G23" i="32" s="1"/>
  <c r="K671" i="24"/>
  <c r="M671" i="24" s="1"/>
  <c r="F23" i="32" s="1"/>
  <c r="K670" i="24"/>
  <c r="M670" i="24" s="1"/>
  <c r="E23" i="32" s="1"/>
  <c r="K669" i="24"/>
  <c r="M669" i="24" s="1"/>
  <c r="D23" i="32" s="1"/>
  <c r="K668" i="24"/>
  <c r="D55" i="32" l="1"/>
  <c r="E55" i="32"/>
  <c r="K715" i="24"/>
  <c r="M668" i="24"/>
  <c r="E119" i="32"/>
  <c r="F119" i="32"/>
  <c r="F55" i="32"/>
  <c r="G119" i="32"/>
  <c r="G55" i="32"/>
  <c r="C23" i="32" l="1"/>
  <c r="M715" i="24"/>
</calcChain>
</file>

<file path=xl/sharedStrings.xml><?xml version="1.0" encoding="utf-8"?>
<sst xmlns="http://schemas.openxmlformats.org/spreadsheetml/2006/main" count="4966" uniqueCount="1403">
  <si>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</si>
  <si>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</si>
  <si>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</si>
  <si>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</si>
  <si>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</si>
  <si>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</si>
  <si>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</si>
  <si>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</si>
  <si>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</si>
  <si>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</si>
  <si>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</si>
  <si>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</si>
  <si>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</si>
  <si>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</si>
  <si>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</si>
  <si>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</si>
  <si>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</si>
  <si>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</si>
  <si>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</si>
  <si>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</si>
  <si>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</si>
  <si>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</si>
  <si>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</si>
  <si>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</si>
  <si>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</si>
  <si>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</si>
  <si>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</si>
  <si>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</si>
  <si>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</si>
  <si>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</si>
  <si>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</si>
  <si>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</si>
  <si>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</si>
  <si>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</si>
  <si>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</si>
  <si>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</si>
  <si>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</si>
  <si>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</si>
  <si>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</si>
  <si>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</si>
  <si>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</si>
  <si>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</si>
  <si>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</si>
  <si>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</si>
  <si>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</si>
  <si>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</si>
  <si>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</si>
  <si>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</si>
  <si>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</si>
  <si>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</si>
  <si>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</si>
  <si>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</si>
  <si>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</si>
  <si>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</si>
  <si>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</si>
  <si>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</si>
  <si>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</si>
  <si>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</si>
  <si>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</si>
  <si>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</si>
  <si>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</si>
  <si>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</si>
  <si>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</si>
  <si>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</si>
  <si>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</si>
  <si>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</si>
  <si>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</si>
  <si>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</si>
  <si>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</si>
  <si>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</si>
  <si>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</si>
  <si>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</si>
  <si>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</si>
  <si>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</si>
  <si>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</si>
  <si>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</si>
  <si>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</si>
  <si>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</si>
  <si>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</si>
  <si>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</si>
  <si>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</si>
  <si>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</si>
  <si>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</si>
  <si>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</si>
  <si>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</si>
  <si>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</si>
  <si>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</si>
  <si>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</si>
  <si>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</si>
  <si>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</si>
  <si>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</si>
  <si>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</si>
  <si>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</si>
  <si>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</si>
  <si>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</si>
  <si>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</si>
  <si>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</si>
  <si>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</si>
  <si>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</si>
  <si>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</si>
  <si>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</si>
  <si>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</si>
  <si>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</si>
  <si>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</si>
  <si>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</si>
  <si>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</si>
  <si>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</si>
  <si>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</si>
  <si>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</si>
  <si>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</si>
  <si>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</si>
  <si>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</si>
  <si>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</si>
  <si>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</si>
  <si>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</si>
  <si>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</si>
  <si>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</si>
  <si>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</si>
  <si>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</si>
  <si>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</si>
  <si>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</si>
  <si>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</si>
  <si>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</si>
  <si>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</si>
  <si>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</si>
  <si>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</si>
  <si>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</si>
  <si>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</si>
  <si>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</si>
  <si>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</si>
  <si>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</si>
  <si>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</si>
  <si>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</si>
  <si>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</si>
  <si>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</si>
  <si>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</si>
  <si>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</si>
  <si>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</si>
  <si>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</si>
  <si>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</si>
  <si>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</si>
  <si>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</si>
  <si>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</si>
  <si>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</si>
  <si>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</si>
  <si>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</si>
  <si>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</si>
  <si>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</si>
  <si>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</si>
  <si>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</si>
  <si>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</si>
  <si>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</si>
  <si>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</si>
  <si>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</si>
  <si>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</si>
  <si>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</si>
  <si>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</si>
  <si>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</si>
  <si>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</si>
  <si>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</si>
  <si>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</si>
  <si>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</si>
  <si>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</si>
  <si>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</si>
  <si>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</si>
  <si>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</si>
  <si>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</si>
  <si>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</si>
  <si>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</si>
  <si>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</si>
  <si>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</si>
  <si>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</si>
  <si>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</si>
  <si>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</si>
  <si>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</si>
  <si>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</si>
  <si>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</si>
  <si>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</si>
  <si>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</si>
  <si>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</si>
  <si>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</si>
  <si>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</si>
  <si>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</si>
  <si>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</si>
  <si>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</si>
  <si>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</si>
  <si>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</si>
  <si>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</si>
  <si>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</si>
  <si>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</si>
  <si>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</si>
  <si>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</si>
  <si>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</si>
  <si>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</si>
  <si>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</si>
  <si>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</si>
  <si>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</si>
  <si>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</si>
  <si>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</si>
  <si>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</si>
  <si>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</si>
  <si>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</si>
  <si>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</si>
  <si>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</si>
  <si>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</si>
  <si>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</si>
  <si>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</si>
  <si>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</si>
  <si>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</si>
  <si>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</si>
  <si>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</si>
  <si>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</si>
  <si>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</si>
  <si>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</si>
  <si>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</si>
  <si>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</si>
  <si>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</si>
  <si>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</si>
  <si>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</si>
  <si>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</si>
  <si>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</si>
  <si>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</si>
  <si>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</si>
  <si>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</si>
  <si>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</si>
  <si>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</si>
  <si>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</si>
  <si>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</si>
  <si>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</si>
  <si>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</si>
  <si>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</si>
  <si>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</si>
  <si>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</si>
  <si>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</si>
  <si>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</si>
  <si>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</si>
  <si>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</si>
  <si>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</si>
  <si>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</si>
  <si>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</si>
  <si>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</si>
  <si>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</si>
  <si>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</si>
  <si>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</si>
  <si>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</si>
  <si>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</si>
  <si>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</si>
  <si>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</si>
  <si>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</si>
  <si>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</si>
  <si>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</si>
  <si>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</si>
  <si>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</si>
  <si>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</si>
  <si>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</si>
  <si>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</si>
  <si>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</si>
  <si>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</si>
  <si>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</si>
  <si>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</si>
  <si>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</si>
  <si>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</si>
  <si>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</si>
  <si>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</si>
  <si>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</si>
  <si>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</si>
  <si>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</si>
  <si>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</si>
  <si>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</si>
  <si>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</si>
  <si>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</si>
  <si>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</si>
  <si>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</si>
  <si>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</si>
  <si>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</si>
  <si>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</si>
  <si>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</si>
  <si>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</si>
  <si>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</si>
  <si>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</si>
  <si>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</si>
  <si>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</si>
  <si>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</si>
  <si>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</si>
  <si>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</si>
  <si>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</si>
  <si>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</si>
  <si>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</si>
  <si>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</si>
  <si>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</si>
  <si>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</si>
  <si>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</si>
  <si>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</si>
  <si>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</si>
  <si>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</si>
  <si>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</si>
  <si>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</si>
  <si>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</si>
  <si>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</si>
  <si>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</si>
  <si>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045</t>
  </si>
  <si>
    <t>Hospital Name</t>
  </si>
  <si>
    <t>Columbia Basin Hospital</t>
  </si>
  <si>
    <t>Mailing Address</t>
  </si>
  <si>
    <t>200 Nat Washington Way</t>
  </si>
  <si>
    <t>City</t>
  </si>
  <si>
    <t>Ephrata</t>
  </si>
  <si>
    <t>State</t>
  </si>
  <si>
    <t>Ephrata, WA 98823</t>
  </si>
  <si>
    <t>Zip</t>
  </si>
  <si>
    <t xml:space="preserve"> 98823</t>
  </si>
  <si>
    <t>County</t>
  </si>
  <si>
    <t>Grant</t>
  </si>
  <si>
    <t>Chief Executive Officer</t>
  </si>
  <si>
    <t>Chief Financial Officer</t>
  </si>
  <si>
    <t>Chair of Governing Board</t>
  </si>
  <si>
    <t>Telephone Number</t>
  </si>
  <si>
    <t>509-754-4631</t>
  </si>
  <si>
    <t>Facsimile Number</t>
  </si>
  <si>
    <t>509-754-4809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</si>
  <si>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</si>
  <si>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</si>
  <si>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</si>
  <si>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</si>
  <si>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</si>
  <si>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</si>
  <si>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</si>
  <si>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</si>
  <si>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</si>
  <si>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</si>
  <si>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</si>
  <si>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</si>
  <si>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</si>
  <si>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</si>
  <si>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</si>
  <si>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</si>
  <si>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</si>
  <si>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</si>
  <si>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</si>
  <si>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</si>
  <si>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</si>
  <si>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</si>
  <si>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</si>
  <si>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</si>
  <si>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</si>
  <si>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</si>
  <si>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</si>
  <si>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</si>
  <si>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</si>
  <si>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</si>
  <si>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</si>
  <si>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</si>
  <si>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</si>
  <si>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</si>
  <si>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</si>
  <si>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</si>
  <si>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</si>
  <si>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</si>
  <si>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</si>
  <si>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</si>
  <si>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</si>
  <si>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</si>
  <si>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</si>
  <si>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</si>
  <si>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</si>
  <si>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</si>
  <si>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</si>
  <si>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</si>
  <si>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</si>
  <si>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</si>
  <si>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</si>
  <si>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</si>
  <si>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</si>
  <si>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</si>
  <si>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</si>
  <si>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</si>
  <si>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</si>
  <si>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</si>
  <si>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</si>
  <si>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</si>
  <si>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</si>
  <si>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</si>
  <si>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</si>
  <si>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</si>
  <si>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</si>
  <si>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</si>
  <si>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</si>
  <si>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</si>
  <si>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</si>
  <si>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</si>
  <si>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</si>
  <si>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</si>
  <si>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</si>
  <si>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</si>
  <si>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</si>
  <si>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</si>
  <si>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</si>
  <si>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</si>
  <si>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</si>
  <si>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</si>
  <si>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</si>
  <si>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</si>
  <si>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</si>
  <si>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</si>
  <si>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</si>
  <si>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</si>
  <si>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</si>
  <si>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</si>
  <si>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</si>
  <si>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</si>
  <si>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</si>
  <si>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</si>
  <si>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</si>
  <si>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</si>
  <si>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</si>
  <si>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</si>
  <si>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</si>
  <si>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</si>
  <si>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</si>
  <si>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</si>
  <si>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</si>
  <si>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</si>
  <si>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</si>
  <si>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</si>
  <si>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</si>
  <si>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</si>
  <si>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</si>
  <si>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</si>
  <si>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</si>
  <si>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</si>
  <si>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</si>
  <si>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</si>
  <si>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</si>
  <si>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</si>
  <si>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</si>
  <si>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</si>
  <si>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</si>
  <si>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</si>
  <si>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</si>
  <si>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</si>
  <si>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</si>
  <si>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</si>
  <si>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</si>
  <si>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</si>
  <si>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</si>
  <si>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</si>
  <si>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</si>
  <si>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</si>
  <si>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</si>
  <si>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</si>
  <si>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</si>
  <si>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</si>
  <si>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</si>
  <si>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</si>
  <si>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</si>
  <si>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</si>
  <si>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</si>
  <si>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</si>
  <si>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</si>
  <si>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</si>
  <si>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</si>
  <si>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</si>
  <si>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</si>
  <si>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</si>
  <si>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</si>
  <si>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</si>
  <si>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</si>
  <si>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</si>
  <si>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</si>
  <si>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</si>
  <si>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</si>
  <si>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</si>
  <si>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</si>
  <si>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</si>
  <si>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</si>
  <si>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</si>
  <si>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</si>
  <si>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</si>
  <si>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</si>
  <si>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</si>
  <si>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</si>
  <si>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</si>
  <si>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</si>
  <si>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</si>
  <si>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</si>
  <si>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</si>
  <si>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</si>
  <si>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</si>
  <si>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</si>
  <si>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</si>
  <si>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</si>
  <si>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</si>
  <si>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</si>
  <si>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</si>
  <si>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</si>
  <si>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</si>
  <si>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</si>
  <si>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</si>
  <si>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</si>
  <si>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</si>
  <si>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</si>
  <si>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</si>
  <si>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</si>
  <si>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</si>
  <si>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</si>
  <si>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</si>
  <si>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</si>
  <si>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</si>
  <si>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</si>
  <si>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</si>
  <si>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</si>
  <si>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</si>
  <si>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</si>
  <si>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</si>
  <si>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</si>
  <si>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</si>
  <si>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</si>
  <si>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</si>
  <si>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</si>
  <si>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</si>
  <si>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</si>
  <si>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</si>
  <si>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</si>
  <si>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</si>
  <si>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</si>
  <si>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</si>
  <si>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</si>
  <si>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</si>
  <si>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</si>
  <si>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</si>
  <si>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</si>
  <si>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</si>
  <si>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</si>
  <si>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</si>
  <si>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</si>
  <si>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</si>
  <si>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</si>
  <si>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</si>
  <si>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</si>
  <si>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</si>
  <si>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</si>
  <si>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</si>
  <si>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</si>
  <si>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</si>
  <si>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</si>
  <si>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</si>
  <si>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</si>
  <si>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</si>
  <si>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</si>
  <si>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</si>
  <si>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</si>
  <si>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</si>
  <si>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</si>
  <si>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</si>
  <si>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</si>
  <si>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</si>
  <si>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</si>
  <si>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</si>
  <si>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</si>
  <si>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</si>
  <si>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</si>
  <si>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</si>
  <si>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</si>
  <si>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</si>
  <si>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</si>
  <si>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</si>
  <si>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</si>
  <si>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</si>
  <si>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</si>
  <si>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</si>
  <si>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</si>
  <si>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</si>
  <si>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</si>
  <si>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</si>
  <si>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</si>
  <si>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</si>
  <si>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</si>
  <si>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</si>
  <si>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</si>
  <si>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</si>
  <si>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</si>
  <si>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</si>
  <si>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</si>
  <si>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</si>
  <si>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</si>
  <si>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</si>
  <si>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</si>
  <si>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</si>
  <si>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</si>
  <si>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</si>
  <si>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</si>
  <si>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</si>
  <si>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</si>
  <si>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</si>
  <si>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</si>
  <si>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</si>
  <si>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</si>
  <si>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</si>
  <si>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</si>
  <si>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</si>
  <si>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</si>
  <si>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</si>
  <si>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</si>
  <si>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</si>
  <si>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</si>
  <si>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</si>
  <si>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</si>
  <si>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</si>
  <si>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</si>
  <si>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</si>
  <si>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</si>
  <si>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</si>
  <si>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</si>
  <si>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</si>
  <si>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</si>
  <si>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</si>
  <si>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</si>
  <si>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</si>
  <si>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</si>
  <si>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</si>
  <si>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</si>
  <si>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</si>
  <si>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</si>
  <si>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</si>
  <si>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</si>
  <si>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</si>
  <si>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</si>
  <si>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</si>
  <si>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</si>
  <si>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</si>
  <si>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</si>
  <si>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</si>
  <si>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</si>
  <si>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</si>
  <si>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</si>
  <si>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</si>
  <si>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</si>
  <si>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</si>
  <si>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</si>
  <si>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</si>
  <si>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</si>
  <si>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</si>
  <si>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</si>
  <si>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</si>
  <si>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</si>
  <si>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</si>
  <si>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</si>
  <si>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</si>
  <si>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</si>
  <si>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</si>
  <si>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</si>
  <si>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</si>
  <si>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</si>
  <si>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</si>
  <si>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</si>
  <si>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</si>
  <si>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</si>
  <si>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</si>
  <si>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</si>
  <si>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</si>
  <si>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</si>
  <si>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</si>
  <si>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</si>
  <si>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</si>
  <si>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</si>
  <si>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</si>
  <si>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</si>
  <si>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</si>
  <si>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</si>
  <si>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</si>
  <si>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</si>
  <si>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</si>
  <si>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</si>
  <si>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</si>
  <si>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</si>
  <si>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</si>
  <si>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</si>
  <si>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</si>
  <si>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</si>
  <si>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</si>
  <si>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</si>
  <si>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</si>
  <si>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</si>
  <si>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</si>
  <si>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</si>
  <si>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</si>
  <si>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</si>
  <si>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</si>
  <si>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</si>
  <si>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</si>
  <si>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</si>
  <si>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</si>
  <si>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</si>
  <si>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</si>
  <si>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</si>
  <si>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</si>
  <si>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</si>
  <si>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</si>
  <si>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</si>
  <si>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</si>
  <si>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</si>
  <si>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</si>
  <si>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</si>
  <si>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</si>
  <si>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</si>
  <si>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</si>
  <si>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</si>
  <si>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</si>
  <si>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</si>
  <si>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</si>
  <si>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</si>
  <si>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</si>
  <si>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</si>
  <si>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</si>
  <si>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</si>
  <si>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</si>
  <si>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</si>
  <si>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</si>
  <si>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</si>
  <si>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</si>
  <si>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</si>
  <si>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</si>
  <si>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</si>
  <si>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</si>
  <si>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</si>
  <si>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</si>
  <si>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</si>
  <si>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</si>
  <si>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</si>
  <si>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</si>
  <si>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</si>
  <si>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</si>
  <si>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</si>
  <si>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</si>
  <si>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</si>
  <si>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</si>
  <si>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</si>
  <si>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</si>
  <si>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</si>
  <si>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</si>
  <si>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</si>
  <si>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</si>
  <si>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</si>
  <si>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</si>
  <si>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</si>
  <si>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</si>
  <si>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</si>
  <si>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</si>
  <si>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</si>
  <si>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</si>
  <si>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</si>
  <si>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</si>
  <si>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</si>
  <si>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</si>
  <si>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</si>
  <si>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</si>
  <si>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</si>
  <si>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</si>
  <si>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</si>
  <si>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</si>
  <si>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</si>
  <si>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</si>
  <si>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</si>
  <si>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</si>
  <si>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</si>
  <si>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</si>
  <si>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</si>
  <si>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</si>
  <si>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</si>
  <si>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</si>
  <si>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</si>
  <si>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</si>
  <si>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</si>
  <si>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</si>
  <si>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</si>
  <si>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</si>
  <si>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</si>
  <si>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</si>
  <si>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</si>
  <si>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</si>
  <si>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</si>
  <si>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</si>
  <si>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</si>
  <si>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</si>
  <si>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</si>
  <si>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</si>
  <si>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</si>
  <si>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</si>
  <si>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</si>
  <si>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</si>
  <si>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</si>
  <si>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</si>
  <si>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</si>
  <si>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</si>
  <si>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</si>
  <si>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</si>
  <si>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</si>
  <si>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</si>
  <si>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</si>
  <si>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</si>
  <si>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</si>
  <si>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</si>
  <si>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</si>
  <si>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</si>
  <si>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</si>
  <si>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</si>
  <si>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</si>
  <si>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</si>
  <si>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</si>
  <si>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</si>
  <si>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</si>
  <si>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</si>
  <si>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</si>
  <si>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</si>
  <si>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</si>
  <si>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</si>
  <si>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</si>
  <si>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</si>
  <si>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</si>
  <si>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</si>
  <si>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</si>
  <si>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</si>
  <si>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</si>
  <si>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</si>
  <si>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</si>
  <si>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</si>
  <si>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</si>
  <si>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</si>
  <si>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</si>
  <si>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</si>
  <si>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</si>
  <si>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</si>
  <si>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</si>
  <si>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</si>
  <si>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</si>
  <si>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</si>
  <si>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</si>
  <si>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</si>
  <si>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</si>
  <si>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</si>
  <si>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</si>
  <si>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</si>
  <si>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</si>
  <si>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</si>
  <si>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</si>
  <si>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</si>
  <si>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</si>
  <si>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</si>
  <si>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</si>
  <si>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</si>
  <si>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</si>
  <si>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</si>
  <si>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</si>
  <si>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</si>
  <si>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</si>
  <si>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</si>
  <si>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</si>
  <si>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</si>
  <si>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</si>
  <si>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</si>
  <si>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</si>
  <si>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</si>
  <si>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</si>
  <si>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</si>
  <si>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</si>
  <si>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</si>
  <si>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</si>
  <si>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</si>
  <si>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</si>
  <si>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</si>
  <si>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</si>
  <si>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</si>
  <si>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</si>
  <si>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</si>
  <si>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</si>
  <si>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</si>
  <si>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</si>
  <si>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</si>
  <si>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</si>
  <si>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</si>
  <si>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</si>
  <si>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</si>
  <si>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</si>
  <si>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</si>
  <si>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</si>
  <si>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</si>
  <si>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</si>
  <si>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</si>
  <si>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</si>
  <si>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</si>
  <si>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</si>
  <si>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</si>
  <si>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</si>
  <si>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</si>
  <si>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</si>
  <si>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</si>
  <si>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</si>
  <si>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</si>
  <si>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</si>
  <si>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</si>
  <si>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</si>
  <si>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</si>
  <si>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</si>
  <si>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</si>
  <si>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</si>
  <si>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</si>
  <si>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</si>
  <si>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</si>
  <si>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</si>
  <si>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</si>
  <si>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</si>
  <si>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</si>
  <si>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</si>
  <si>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</si>
  <si>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</si>
  <si>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</si>
  <si>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</si>
  <si>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</si>
  <si>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</si>
  <si>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</si>
  <si>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</si>
  <si>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</si>
  <si>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</si>
  <si>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</si>
  <si>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</si>
  <si>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</si>
  <si>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</si>
  <si>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</si>
  <si>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</si>
  <si>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</si>
  <si>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</si>
  <si>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</si>
  <si>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</si>
  <si>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</si>
  <si>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</si>
  <si>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</si>
  <si>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</si>
  <si>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</si>
  <si>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</si>
  <si>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</si>
  <si>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</si>
  <si>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</si>
  <si>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</si>
  <si>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</si>
  <si>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</si>
  <si>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</si>
  <si>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</si>
  <si>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</si>
  <si>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</si>
  <si>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</si>
  <si>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</si>
  <si>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</si>
  <si>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</si>
  <si>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</si>
  <si>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</si>
  <si>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</si>
  <si>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</si>
  <si>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</si>
  <si>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</si>
  <si>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</si>
  <si>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</si>
  <si>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</si>
  <si>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</si>
  <si>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</si>
  <si>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</si>
  <si>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</si>
  <si>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</si>
  <si>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</si>
  <si>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</si>
  <si>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</si>
  <si>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</si>
  <si>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</si>
  <si>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</si>
  <si>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</si>
  <si>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</si>
  <si>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</si>
  <si>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</si>
  <si>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</si>
  <si>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</si>
  <si>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</si>
  <si>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</si>
  <si>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</si>
  <si>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</si>
  <si>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</si>
  <si>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</si>
  <si>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</si>
  <si>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</si>
  <si>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</si>
  <si>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</si>
  <si>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</si>
  <si>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</si>
  <si>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</si>
  <si>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</si>
  <si>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</si>
  <si>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</si>
  <si>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</si>
  <si>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</si>
  <si>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</si>
  <si>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</si>
  <si>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</si>
  <si>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</si>
  <si>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</si>
  <si>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</si>
  <si>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</si>
  <si>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</si>
  <si>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</si>
  <si>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</si>
  <si>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</si>
  <si>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</si>
  <si>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</si>
  <si>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</si>
  <si>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</si>
  <si>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</si>
  <si>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</si>
  <si>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</si>
  <si>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</si>
  <si>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</si>
  <si>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</si>
  <si>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</si>
  <si>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</si>
  <si>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</si>
  <si>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</si>
  <si>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</si>
  <si>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</si>
  <si>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</si>
  <si>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</si>
  <si>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</si>
  <si>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</si>
  <si>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</si>
  <si>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</si>
  <si>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</si>
  <si>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</si>
  <si>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</si>
  <si>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</si>
  <si>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</si>
  <si>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</si>
  <si>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</si>
  <si>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</si>
  <si>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</si>
  <si>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</si>
  <si>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</si>
  <si>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</si>
  <si>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</si>
  <si>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</si>
  <si>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</si>
  <si>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</si>
  <si>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</si>
  <si>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</si>
  <si>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</si>
  <si>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</si>
  <si>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</si>
  <si>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</si>
  <si>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</si>
  <si>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</si>
  <si>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</si>
  <si>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</si>
  <si>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</si>
  <si>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</si>
  <si>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</si>
  <si>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</si>
  <si>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Rosalinda Kibby, CEO</t>
  </si>
  <si>
    <t>Anthonie Zimmerman</t>
  </si>
  <si>
    <t>Amy Paynter</t>
  </si>
  <si>
    <t>Jeannette Ring</t>
  </si>
  <si>
    <t>jring@dza.cpa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</si>
  <si>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</si>
  <si>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</si>
  <si>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</si>
  <si>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</si>
  <si>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</si>
  <si>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</si>
  <si>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</si>
  <si>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</si>
  <si>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</si>
  <si>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</si>
  <si>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</si>
  <si>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</si>
  <si>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</si>
  <si>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</si>
  <si>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</si>
  <si>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</si>
  <si>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</si>
  <si>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</si>
  <si>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</si>
  <si>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</si>
  <si>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</si>
  <si>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</si>
  <si>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</si>
  <si>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</si>
  <si>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</si>
  <si>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</si>
  <si>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</si>
  <si>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</si>
  <si>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</si>
  <si>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</si>
  <si>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</si>
  <si>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</si>
  <si>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</si>
  <si>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</si>
  <si>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</si>
  <si>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</si>
  <si>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</si>
  <si>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</si>
  <si>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</si>
  <si>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</si>
  <si>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</si>
  <si>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</si>
  <si>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</si>
  <si>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</si>
  <si>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</si>
  <si>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</si>
  <si>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</si>
  <si>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</si>
  <si>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</si>
  <si>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</si>
  <si>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</si>
  <si>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</si>
  <si>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</si>
  <si>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</si>
  <si>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</si>
  <si>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</si>
  <si>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</si>
  <si>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</si>
  <si>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</si>
  <si>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</si>
  <si>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</si>
  <si>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</si>
  <si>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</si>
  <si>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</si>
  <si>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</si>
  <si>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</si>
  <si>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</si>
  <si>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</si>
  <si>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</si>
  <si>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</si>
  <si>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</si>
  <si>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</si>
  <si>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</si>
  <si>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</si>
  <si>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</si>
  <si>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</si>
  <si>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</si>
  <si>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</si>
  <si>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</si>
  <si>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</si>
  <si>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</si>
  <si>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</si>
  <si>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</si>
  <si>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</si>
  <si>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</si>
  <si>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</si>
  <si>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</si>
  <si>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</si>
  <si>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</si>
  <si>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</si>
  <si>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</si>
  <si>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</si>
  <si>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</si>
  <si>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</si>
  <si>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</si>
  <si>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</si>
  <si>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</si>
  <si>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</si>
  <si>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</si>
  <si>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</si>
  <si>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</si>
  <si>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</si>
  <si>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</si>
  <si>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</si>
  <si>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</si>
  <si>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</si>
  <si>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</si>
  <si>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</si>
  <si>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</si>
  <si>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</si>
  <si>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</si>
  <si>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</si>
  <si>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</si>
  <si>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</si>
  <si>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</si>
  <si>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</si>
  <si>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</si>
  <si>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</si>
  <si>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</si>
  <si>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</si>
  <si>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</si>
  <si>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</si>
  <si>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</si>
  <si>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</si>
  <si>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</si>
  <si>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</si>
  <si>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</si>
  <si>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</si>
  <si>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</si>
  <si>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</si>
  <si>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</si>
  <si>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</si>
  <si>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</si>
  <si>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</si>
  <si>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</si>
  <si>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</si>
  <si>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</si>
  <si>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</si>
  <si>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</si>
  <si>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</si>
  <si>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</si>
  <si>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</si>
  <si>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</si>
  <si>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</si>
  <si>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</si>
  <si>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</si>
  <si>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</si>
  <si>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</si>
  <si>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</si>
  <si>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</si>
  <si>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</si>
  <si>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</si>
  <si>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</si>
  <si>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</si>
  <si>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</si>
  <si>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</si>
  <si>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</si>
  <si>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</si>
  <si>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</si>
  <si>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</si>
  <si>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</si>
  <si>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</si>
  <si>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</si>
  <si>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</si>
  <si>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</si>
  <si>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</si>
  <si>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</si>
  <si>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</si>
  <si>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</si>
  <si>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</si>
  <si>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</si>
  <si>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</si>
  <si>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</si>
  <si>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</si>
  <si>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</si>
  <si>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</si>
  <si>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</si>
  <si>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</si>
  <si>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</si>
  <si>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</si>
  <si>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</si>
  <si>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</si>
  <si>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</si>
  <si>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</si>
  <si>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</si>
  <si>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</si>
  <si>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</si>
  <si>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</si>
  <si>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</si>
  <si>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</si>
  <si>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</si>
  <si>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</si>
  <si>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</si>
  <si>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</si>
  <si>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</si>
  <si>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</si>
  <si>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</si>
  <si>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</si>
  <si>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</si>
  <si>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</si>
  <si>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</si>
  <si>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</si>
  <si>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</si>
  <si>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</si>
  <si>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</si>
  <si>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</si>
  <si>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</si>
  <si>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</si>
  <si>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</si>
  <si>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</si>
  <si>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</si>
  <si>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</si>
  <si>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</si>
  <si>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</si>
  <si>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</si>
  <si>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</si>
  <si>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</si>
  <si>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</si>
  <si>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</si>
  <si>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</si>
  <si>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</si>
  <si>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</si>
  <si>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</si>
  <si>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</si>
  <si>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</si>
  <si>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</si>
  <si>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</si>
  <si>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</si>
  <si>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</si>
  <si>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</si>
  <si>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</si>
  <si>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</si>
  <si>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</si>
  <si>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</si>
  <si>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</si>
  <si>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</si>
  <si>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</si>
  <si>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</si>
  <si>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</si>
  <si>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</si>
  <si>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</si>
  <si>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</si>
  <si>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</si>
  <si>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</si>
  <si>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</si>
  <si>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</si>
  <si>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</si>
  <si>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</si>
  <si>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</si>
  <si>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</si>
  <si>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</si>
  <si>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</si>
  <si>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</si>
  <si>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</si>
  <si>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</si>
  <si>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</si>
  <si>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</si>
  <si>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</si>
  <si>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</si>
  <si>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</si>
  <si>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</si>
  <si>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</si>
  <si>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</si>
  <si>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</si>
  <si>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</si>
  <si>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</si>
  <si>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</si>
  <si>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</si>
  <si>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</si>
  <si>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</si>
  <si>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</si>
  <si>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</si>
  <si>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</si>
  <si>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</si>
  <si>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</si>
  <si>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</si>
  <si>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</si>
  <si>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</si>
  <si>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</si>
  <si>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</si>
  <si>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</si>
  <si>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</si>
  <si>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</si>
  <si>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</si>
  <si>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</si>
  <si>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</si>
  <si>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</si>
  <si>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</si>
  <si>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</si>
  <si>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</si>
  <si>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</si>
  <si>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</si>
  <si>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</si>
  <si>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</si>
  <si>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</si>
  <si>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</si>
  <si>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</si>
  <si>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</si>
  <si>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</si>
  <si>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</si>
  <si>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</si>
  <si>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</si>
  <si>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</si>
  <si>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</si>
  <si>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</si>
  <si>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H1ZPPAX40ZC2ZRFGYD7T45ZX6A0K6SB5AN1P4JCFDNPKP9NE46D0</t>
  </si>
  <si>
    <t>Madeline Moore</t>
  </si>
  <si>
    <t>Create</t>
  </si>
  <si>
    <t>e7d4f7c6-756b-4440-a9f7-350317b851d4</t>
  </si>
  <si>
    <t>{"id":"e7d4f7c6-756b-4440-a9f7-350317b851d4","type":1,"name":"workbookId","value":"49b2d901-7c36-4065-8aed-a1209798ba1f"}</t>
  </si>
  <si>
    <t>d796d6e1-150a-454b-9d31-9b36a446cc79</t>
  </si>
  <si>
    <t>{"id":"d796d6e1-150a-454b-9d31-9b36a446cc79","type":0,"name":"dataSnipperSheetDeleted","value":"false"}</t>
  </si>
  <si>
    <t>5ecc3889-5377-4696-8611-83d48e869649</t>
  </si>
  <si>
    <t>{"id":"5ecc3889-5377-4696-8611-83d48e869649","type":1,"name":"migratedFssProjectId","value":""}</t>
  </si>
  <si>
    <t>1c199811-56c7-4f0d-85a0-3527a615a7dd</t>
  </si>
  <si>
    <t>{"id":"1c199811-56c7-4f0d-85a0-3527a615a7dd","type":0,"name":"embed-documents","value":"false"}</t>
  </si>
  <si>
    <t>Update</t>
  </si>
  <si>
    <t>{"id":"1c199811-56c7-4f0d-85a0-3527a615a7dd","type":0,"name":"embed-documents","value":"true"}</t>
  </si>
  <si>
    <t>XDXXFPDHED5DFXHHY76STDQA3A9GECZER89J0KV9X79ZYXCK8PWG</t>
  </si>
  <si>
    <t xml:space="preserve">The Radiology departments relied on contracted staffing much more than in the past, which increased expenses , specifically the Licenses which increased by approximately $75k. </t>
  </si>
  <si>
    <t>Speech therapy visits increased significantly, however some costs were fixed and had to remain the same.</t>
  </si>
  <si>
    <t>Repairs and Maintance expenses increased by over $283,000 as compared to the PY.</t>
  </si>
  <si>
    <t>Radiology-Diagnostic</t>
  </si>
  <si>
    <t>PT</t>
  </si>
  <si>
    <t>ER</t>
  </si>
  <si>
    <t>Hospital Admin</t>
  </si>
  <si>
    <t>Nursing Admin</t>
  </si>
  <si>
    <t>43GN2HRX3Z7ZEB0RSV08HY9QW89P9XX51GZ16AGA4WD0VTR8AG3G</t>
  </si>
  <si>
    <t>Bailey Flagg</t>
  </si>
  <si>
    <t>YCZX70RBAEBT78J1TZZ1BKCK5ZABYY7S8PKGSETJBA2QN6A0MCD0</t>
  </si>
  <si>
    <t>2AQAJ7CB0EB7ZETD8RCBCDVP1Q4JS7G7REKMWRTNMJZX4AGPKGEG</t>
  </si>
  <si>
    <t>JBY4XX4GCMKH2N2CVC0SM4DWB9KHRJGKBK1Q7SAJ79J95Z7JDST0</t>
  </si>
  <si>
    <t>HW1ZQ0WJX79M1N70512R62JZZDN3YXCC6VG13Y2MJM49J9HMVZAG</t>
  </si>
  <si>
    <t xml:space="preserve">Washington </t>
  </si>
  <si>
    <t>Rosalinda Kibby</t>
  </si>
  <si>
    <t>Anthonie Zimmermann</t>
  </si>
  <si>
    <t>7CCY8GWJA3DJ7207SVJQEXPH3FEG6YNSFEHECM62NY8J8MRY8YV0</t>
  </si>
  <si>
    <t>jring@dzacpa.com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</si>
</sst>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  <numFmt numFmtId="170" formatCode="_(* #,##0_);_(* \(#,##0\);_(* &quot;-&quot;??_);_(@_)"/>
    <numFmt numFmtId="171" formatCode="_(* #,##0.00_);_(* \(#,##0.00\);_(* 0.00_);_(@_)"/>
  </numFmts>
  <fonts count="5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38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35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 applyAlignment="1">
      <alignment vertical="center"/>
    </xf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30" borderId="0" xfId="0" applyNumberFormat="1" applyFont="1" applyFill="1"/>
    <xf numFmtId="170" fontId="10" fillId="30" borderId="0" xfId="546" quotePrefix="1" applyNumberFormat="1" applyFont="1" applyFill="1"/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8" fontId="26" fillId="29" borderId="14" xfId="0" applyNumberFormat="1" applyFont="1" applyFill="1" applyBorder="1" applyProtection="1">
      <protection locked="0"/>
    </xf>
    <xf numFmtId="166" fontId="26" fillId="29" borderId="14" xfId="0" applyNumberFormat="1" applyFont="1" applyFill="1" applyBorder="1" applyAlignment="1" applyProtection="1">
      <alignment horizontal="left"/>
      <protection locked="0"/>
    </xf>
    <xf numFmtId="49" fontId="26" fillId="29" borderId="1" xfId="0" quotePrefix="1" applyNumberFormat="1" applyFont="1" applyFill="1" applyBorder="1" applyProtection="1">
      <protection locked="0"/>
    </xf>
    <xf numFmtId="168" fontId="26" fillId="29" borderId="1" xfId="0" quotePrefix="1" applyNumberFormat="1" applyFont="1" applyFill="1" applyBorder="1" applyAlignment="1" applyProtection="1">
      <alignment horizontal="left"/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37" fontId="16" fillId="0" borderId="0" xfId="0" applyFont="1" applyProtection="1">
      <protection locked="0"/>
    </xf>
    <xf numFmtId="37" fontId="55" fillId="0" borderId="0" xfId="0" applyFont="1" applyAlignment="1">
      <alignment vertical="center" wrapText="1"/>
    </xf>
    <xf numFmtId="171" fontId="34" fillId="0" borderId="0" xfId="980" applyNumberFormat="1" applyAlignment="1">
      <alignment wrapText="1"/>
    </xf>
    <xf numFmtId="49" fontId="34" fillId="0" borderId="0" xfId="980" applyNumberFormat="1" applyAlignment="1">
      <alignment wrapText="1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1038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2 2" xfId="991" xr:uid="{73F603E7-A78F-4476-ABF6-3B851880D324}"/>
    <cellStyle name="Comma [0] 3" xfId="549" xr:uid="{6011A93F-E0CF-4824-B0C5-A7A128BE1E7D}"/>
    <cellStyle name="Comma [0] 3 2" xfId="985" xr:uid="{7DEC4E62-B9C8-4246-B9E0-07A4DF9A091F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16" xfId="977" xr:uid="{D15BD3B4-50C9-493D-8FE7-8573CDA74B32}"/>
    <cellStyle name="Comma 17" xfId="995" xr:uid="{2A5489ED-A2D6-4D6A-829E-85D02AD947EC}"/>
    <cellStyle name="Comma 18" xfId="996" xr:uid="{401A1FF1-85C8-47E7-BA9F-F5EC9F55C565}"/>
    <cellStyle name="Comma 19" xfId="997" xr:uid="{EB9A03CE-BB15-443F-9398-05894AC341F4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2 3" xfId="993" xr:uid="{C027BF60-482A-45BB-B669-262CBE45925D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2 6" xfId="978" xr:uid="{51149689-9820-4D8D-B1FB-64655CAB3DA1}"/>
    <cellStyle name="Comma 20" xfId="998" xr:uid="{96452046-F4E7-43E7-9D10-4EF61767BB95}"/>
    <cellStyle name="Comma 21" xfId="999" xr:uid="{352DF135-D1E7-44D0-A735-27947ED02CDA}"/>
    <cellStyle name="Comma 22" xfId="1000" xr:uid="{CD247F39-33B3-45B8-BB6E-50DE4DC076B8}"/>
    <cellStyle name="Comma 23" xfId="1001" xr:uid="{68778FD4-3AE4-4F7D-BADC-AEE49177C68A}"/>
    <cellStyle name="Comma 24" xfId="1002" xr:uid="{9A4CFA9A-22A1-403A-BCB9-8CD6FCDB6BF5}"/>
    <cellStyle name="Comma 25" xfId="1003" xr:uid="{C59BC790-8F1B-4B44-86FD-7DA2E5297C00}"/>
    <cellStyle name="Comma 26" xfId="1004" xr:uid="{BB46B027-5515-4908-97DA-0DED93F9E590}"/>
    <cellStyle name="Comma 27" xfId="1005" xr:uid="{6C3E8FB3-6ABA-4275-B70F-726583712458}"/>
    <cellStyle name="Comma 28" xfId="1006" xr:uid="{E896DC11-4A30-4C9F-955A-E20136EC3BF6}"/>
    <cellStyle name="Comma 29" xfId="1007" xr:uid="{0408678C-B475-447C-AAF2-E7847D6428F8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3 6" xfId="990" xr:uid="{9C1B3765-4320-41FE-9878-74193BD90D74}"/>
    <cellStyle name="Comma 30" xfId="1008" xr:uid="{B02FBF1E-8C47-4BE0-974A-E5BBBF9EA6A5}"/>
    <cellStyle name="Comma 31" xfId="1009" xr:uid="{DC5CF886-7C56-4F1B-A89E-ADEF460C6080}"/>
    <cellStyle name="Comma 32" xfId="1010" xr:uid="{741CC48B-3949-46D3-9C5A-3169C78ECF7D}"/>
    <cellStyle name="Comma 33" xfId="1011" xr:uid="{C5524812-E757-477A-9349-CFD12DD1F918}"/>
    <cellStyle name="Comma 34" xfId="1012" xr:uid="{837F613C-2B05-4500-862A-366DDCF400DD}"/>
    <cellStyle name="Comma 35" xfId="1013" xr:uid="{AAD10B8D-AEE4-4012-943A-C953F3D4D441}"/>
    <cellStyle name="Comma 36" xfId="1014" xr:uid="{D535E0F7-4E6D-43E9-9B2D-ABAB0733D302}"/>
    <cellStyle name="Comma 37" xfId="1015" xr:uid="{9405BF10-2BDF-42F3-A9CF-2E6189D8B90A}"/>
    <cellStyle name="Comma 38" xfId="1016" xr:uid="{FA763151-ABBF-4FDA-A61B-A1A0FFBE01B8}"/>
    <cellStyle name="Comma 39" xfId="1017" xr:uid="{8F4E116B-0592-4E67-8FD0-A71322C6C21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4 3" xfId="984" xr:uid="{1330DF95-3BAE-46E6-B0DE-FEDEE5A081C4}"/>
    <cellStyle name="Comma 40" xfId="1018" xr:uid="{EDEA2F2D-093F-4620-A179-EB2D622AA0AE}"/>
    <cellStyle name="Comma 41" xfId="1019" xr:uid="{2957420C-9BC5-4918-9881-8A99C82832ED}"/>
    <cellStyle name="Comma 42" xfId="1020" xr:uid="{F57E4712-465E-4776-9BA8-43412A4BE913}"/>
    <cellStyle name="Comma 43" xfId="1021" xr:uid="{36E380D4-4E77-48A2-BBCF-D3575A9885C1}"/>
    <cellStyle name="Comma 44" xfId="1022" xr:uid="{3A5CF0D8-A556-428B-8FB5-AE3A52F45AFC}"/>
    <cellStyle name="Comma 45" xfId="1023" xr:uid="{C70F4B23-2B72-464D-BF71-B147F9BC43A2}"/>
    <cellStyle name="Comma 46" xfId="1024" xr:uid="{84C1175E-EA98-4BB3-9AD0-7DD591E8C3A9}"/>
    <cellStyle name="Comma 47" xfId="1025" xr:uid="{AE5EF1F0-E374-443E-AD3F-7626ECF0752E}"/>
    <cellStyle name="Comma 48" xfId="1026" xr:uid="{E48A2D51-A472-47F5-8C74-F6469EE5CDC6}"/>
    <cellStyle name="Comma 49" xfId="1027" xr:uid="{E3962477-101B-40B6-9B1D-CCCD7630FFFA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5 5" xfId="981" xr:uid="{9B5CB6EC-63C5-4B4F-8798-508ECFBB6187}"/>
    <cellStyle name="Comma 50" xfId="1028" xr:uid="{693F9719-3F29-4D7E-A0FB-4A278F859FC3}"/>
    <cellStyle name="Comma 51" xfId="1029" xr:uid="{BB7C0DE6-296D-4FE1-8696-FD50434F1A35}"/>
    <cellStyle name="Comma 52" xfId="1030" xr:uid="{6501C136-B23B-49DB-BB4B-BDE90ADC5ED5}"/>
    <cellStyle name="Comma 53" xfId="1031" xr:uid="{0ECD7BD8-2D6F-41FE-901A-429768F1ED7E}"/>
    <cellStyle name="Comma 54" xfId="1032" xr:uid="{EC185B2D-866D-471A-A64A-08925EA53720}"/>
    <cellStyle name="Comma 55" xfId="1033" xr:uid="{25DCDB1A-607E-4A66-9105-315A30763F0C}"/>
    <cellStyle name="Comma 56" xfId="1034" xr:uid="{65D2168F-6AE4-4556-85FC-57477E3A41E9}"/>
    <cellStyle name="Comma 57" xfId="1035" xr:uid="{76F4EF83-D5B2-48F9-BBF8-A063AF58A882}"/>
    <cellStyle name="Comma 58" xfId="1036" xr:uid="{797837B0-450E-4219-ABDC-5E98AD467F1C}"/>
    <cellStyle name="Comma 59" xfId="1037" xr:uid="{25DF62C0-E6CF-4C8E-BE5C-FD75D22098EC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6 4" xfId="994" xr:uid="{ED0A2FBA-887B-43B3-A2C7-69BDDE82750B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2 2" xfId="989" xr:uid="{3707E052-0BD9-4887-B105-311089E84E3D}"/>
    <cellStyle name="Currency [0] 3" xfId="616" xr:uid="{5989D65A-D4F8-43D5-AADC-F598729F73D9}"/>
    <cellStyle name="Currency [0] 3 2" xfId="983" xr:uid="{DF4CD224-AABC-4581-B309-37A829621FEB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2 6" xfId="988" xr:uid="{CCCC8445-0E5B-4B1B-9241-A76BADECCFD8}"/>
    <cellStyle name="Currency 3" xfId="625" xr:uid="{EC9EE869-9115-4813-8A2C-4126BDB8AE5B}"/>
    <cellStyle name="Currency 3 2" xfId="982" xr:uid="{F5171CD7-EC35-4BE0-B1FD-F51F23D036E6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2 2" xfId="992" xr:uid="{E84CDCD7-1265-45B0-B9BF-9744C9527742}"/>
    <cellStyle name="Hyperlink 3" xfId="633" xr:uid="{325A48BC-2671-48BA-B978-3356B3928895}"/>
    <cellStyle name="Hyperlink 4" xfId="634" xr:uid="{4E246F5C-2532-4DE9-AEDB-229C548EC72F}"/>
    <cellStyle name="Hyperlink 5" xfId="986" xr:uid="{C2F6E845-7FB0-4CB5-97A8-B70DC192C6EB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16" xfId="980" xr:uid="{783982FB-64F3-4741-9A32-E09F3A9C981E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2 6" xfId="987" xr:uid="{45F94FD9-B3BB-4AC1-9356-11A92293E5D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3 4" xfId="979" xr:uid="{82EC4925-A5A8-48D3-A8A1-184C0CFA99CE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739140</xdr:colOff>
      <xdr:row>1</xdr:row>
      <xdr:rowOff>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jring@dzacpa.com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/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/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0</v>
      </c>
    </row>
    <row r="48" spans="1:83" x14ac:dyDescent="0.25">
      <c r="A48" s="25" t="s">
        <v>231</v>
      </c>
      <c r="B48" s="272">
        <v>2762765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40263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194360</v>
      </c>
      <c r="L48" s="25">
        <f t="shared" si="0"/>
        <v>342575</v>
      </c>
      <c r="M48" s="25">
        <f t="shared" si="0"/>
        <v>0</v>
      </c>
      <c r="N48" s="25">
        <f t="shared" si="0"/>
        <v>150558</v>
      </c>
      <c r="O48" s="25">
        <f t="shared" si="0"/>
        <v>0</v>
      </c>
      <c r="P48" s="25">
        <f t="shared" si="0"/>
        <v>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154607</v>
      </c>
      <c r="V48" s="25">
        <f t="shared" si="0"/>
        <v>2408</v>
      </c>
      <c r="W48" s="25">
        <f t="shared" si="0"/>
        <v>24932</v>
      </c>
      <c r="X48" s="25">
        <f t="shared" si="0"/>
        <v>78448</v>
      </c>
      <c r="Y48" s="25">
        <f t="shared" si="0"/>
        <v>69976</v>
      </c>
      <c r="Z48" s="25">
        <f t="shared" si="0"/>
        <v>0</v>
      </c>
      <c r="AA48" s="25">
        <f t="shared" si="0"/>
        <v>0</v>
      </c>
      <c r="AB48" s="25">
        <f t="shared" si="0"/>
        <v>7725</v>
      </c>
      <c r="AC48" s="25">
        <f t="shared" si="0"/>
        <v>0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208776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448633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8872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125115</v>
      </c>
      <c r="AZ48" s="25">
        <f t="shared" si="1"/>
        <v>0</v>
      </c>
      <c r="BA48" s="25">
        <f t="shared" si="1"/>
        <v>48727</v>
      </c>
      <c r="BB48" s="25">
        <f t="shared" si="1"/>
        <v>54218</v>
      </c>
      <c r="BC48" s="25">
        <f t="shared" si="1"/>
        <v>0</v>
      </c>
      <c r="BD48" s="25">
        <f t="shared" si="1"/>
        <v>28885</v>
      </c>
      <c r="BE48" s="25">
        <f t="shared" si="1"/>
        <v>86463</v>
      </c>
      <c r="BF48" s="25">
        <f t="shared" si="1"/>
        <v>92627</v>
      </c>
      <c r="BG48" s="25">
        <f t="shared" si="1"/>
        <v>0</v>
      </c>
      <c r="BH48" s="25">
        <f t="shared" si="1"/>
        <v>67677</v>
      </c>
      <c r="BI48" s="25">
        <f t="shared" si="1"/>
        <v>0</v>
      </c>
      <c r="BJ48" s="25">
        <f t="shared" si="1"/>
        <v>42618</v>
      </c>
      <c r="BK48" s="25">
        <f t="shared" si="1"/>
        <v>94671</v>
      </c>
      <c r="BL48" s="25">
        <f t="shared" si="1"/>
        <v>52439</v>
      </c>
      <c r="BM48" s="25">
        <f t="shared" si="1"/>
        <v>0</v>
      </c>
      <c r="BN48" s="25">
        <f t="shared" si="1"/>
        <v>99624</v>
      </c>
      <c r="BO48" s="25">
        <f t="shared" ref="BO48:CD48" si="2">IF($B$48,(ROUND((($B$48/$CE$61)*BO61),0)))</f>
        <v>0</v>
      </c>
      <c r="BP48" s="25">
        <f t="shared" si="2"/>
        <v>23069</v>
      </c>
      <c r="BQ48" s="25">
        <f>IF($B$48,(ROUND((($B$48/$CE$61)*BQ61),0)))</f>
        <v>0</v>
      </c>
      <c r="BR48" s="25">
        <f t="shared" si="2"/>
        <v>44791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37392</v>
      </c>
      <c r="BW48" s="25">
        <f t="shared" si="2"/>
        <v>0</v>
      </c>
      <c r="BX48" s="25">
        <f t="shared" si="2"/>
        <v>0</v>
      </c>
      <c r="BY48" s="25">
        <f t="shared" si="2"/>
        <v>132317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2762766</v>
      </c>
    </row>
    <row r="49" spans="1:83" x14ac:dyDescent="0.25">
      <c r="A49" s="16" t="s">
        <v>232</v>
      </c>
      <c r="B49" s="25">
        <f>B47+B48</f>
        <v>2762765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</row>
    <row r="52" spans="1:83" x14ac:dyDescent="0.25">
      <c r="A52" s="31" t="s">
        <v>234</v>
      </c>
      <c r="B52" s="272">
        <v>1710204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31579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102484</v>
      </c>
      <c r="L52" s="25">
        <f t="shared" si="3"/>
        <v>268742</v>
      </c>
      <c r="M52" s="25">
        <f t="shared" si="3"/>
        <v>0</v>
      </c>
      <c r="N52" s="25">
        <f t="shared" si="3"/>
        <v>270480</v>
      </c>
      <c r="O52" s="25">
        <f t="shared" si="3"/>
        <v>0</v>
      </c>
      <c r="P52" s="25">
        <f t="shared" si="3"/>
        <v>0</v>
      </c>
      <c r="Q52" s="25">
        <f t="shared" si="3"/>
        <v>0</v>
      </c>
      <c r="R52" s="25">
        <f t="shared" si="3"/>
        <v>0</v>
      </c>
      <c r="S52" s="25">
        <f t="shared" si="3"/>
        <v>70178</v>
      </c>
      <c r="T52" s="25">
        <f t="shared" si="3"/>
        <v>0</v>
      </c>
      <c r="U52" s="25">
        <f t="shared" si="3"/>
        <v>26034</v>
      </c>
      <c r="V52" s="25">
        <f t="shared" si="3"/>
        <v>572</v>
      </c>
      <c r="W52" s="25">
        <f t="shared" si="3"/>
        <v>5942</v>
      </c>
      <c r="X52" s="25">
        <f t="shared" si="3"/>
        <v>18661</v>
      </c>
      <c r="Y52" s="25">
        <f t="shared" si="3"/>
        <v>16637</v>
      </c>
      <c r="Z52" s="25">
        <f t="shared" si="3"/>
        <v>0</v>
      </c>
      <c r="AA52" s="25">
        <f t="shared" si="3"/>
        <v>0</v>
      </c>
      <c r="AB52" s="25">
        <f t="shared" si="3"/>
        <v>8164</v>
      </c>
      <c r="AC52" s="25">
        <f t="shared" si="3"/>
        <v>0</v>
      </c>
      <c r="AD52" s="25">
        <f t="shared" si="3"/>
        <v>0</v>
      </c>
      <c r="AE52" s="25">
        <f t="shared" si="3"/>
        <v>63356</v>
      </c>
      <c r="AF52" s="25">
        <f t="shared" si="3"/>
        <v>0</v>
      </c>
      <c r="AG52" s="25">
        <f t="shared" si="3"/>
        <v>63907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121981</v>
      </c>
      <c r="AK52" s="25">
        <f t="shared" si="4"/>
        <v>14524</v>
      </c>
      <c r="AL52" s="25">
        <f t="shared" si="4"/>
        <v>1981</v>
      </c>
      <c r="AM52" s="25">
        <f t="shared" si="4"/>
        <v>0</v>
      </c>
      <c r="AN52" s="25">
        <f t="shared" si="4"/>
        <v>0</v>
      </c>
      <c r="AO52" s="25">
        <f t="shared" si="4"/>
        <v>6954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27728</v>
      </c>
      <c r="AZ52" s="25">
        <f t="shared" si="4"/>
        <v>65249</v>
      </c>
      <c r="BA52" s="25">
        <f t="shared" si="4"/>
        <v>30809</v>
      </c>
      <c r="BB52" s="25">
        <f t="shared" si="4"/>
        <v>40910</v>
      </c>
      <c r="BC52" s="25">
        <f t="shared" si="4"/>
        <v>0</v>
      </c>
      <c r="BD52" s="25">
        <f t="shared" si="4"/>
        <v>0</v>
      </c>
      <c r="BE52" s="25">
        <f t="shared" si="4"/>
        <v>79311</v>
      </c>
      <c r="BF52" s="25">
        <f t="shared" si="4"/>
        <v>33670</v>
      </c>
      <c r="BG52" s="25">
        <f t="shared" si="4"/>
        <v>0</v>
      </c>
      <c r="BH52" s="25">
        <f t="shared" si="4"/>
        <v>16549</v>
      </c>
      <c r="BI52" s="25">
        <f t="shared" si="4"/>
        <v>0</v>
      </c>
      <c r="BJ52" s="25">
        <f t="shared" si="4"/>
        <v>0</v>
      </c>
      <c r="BK52" s="25">
        <f t="shared" si="4"/>
        <v>30831</v>
      </c>
      <c r="BL52" s="25">
        <f t="shared" si="4"/>
        <v>86397</v>
      </c>
      <c r="BM52" s="25">
        <f t="shared" si="4"/>
        <v>0</v>
      </c>
      <c r="BN52" s="25">
        <f t="shared" si="4"/>
        <v>132544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26782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31007</v>
      </c>
      <c r="BW52" s="25">
        <f t="shared" si="5"/>
        <v>0</v>
      </c>
      <c r="BX52" s="25">
        <f t="shared" si="5"/>
        <v>0</v>
      </c>
      <c r="BY52" s="25">
        <f t="shared" si="5"/>
        <v>16241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1710204</v>
      </c>
    </row>
    <row r="53" spans="1:83" x14ac:dyDescent="0.25">
      <c r="A53" s="16" t="s">
        <v>232</v>
      </c>
      <c r="B53" s="25">
        <f>B51+B52</f>
        <v>1710204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0</v>
      </c>
      <c r="D59" s="273">
        <v>0</v>
      </c>
      <c r="E59" s="273">
        <v>531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3936</v>
      </c>
      <c r="L59" s="273">
        <v>4737</v>
      </c>
      <c r="M59" s="273">
        <v>0</v>
      </c>
      <c r="N59" s="273">
        <v>9228</v>
      </c>
      <c r="O59" s="273">
        <v>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123885</v>
      </c>
      <c r="V59" s="275">
        <v>0</v>
      </c>
      <c r="W59" s="275">
        <v>406</v>
      </c>
      <c r="X59" s="275">
        <v>2119</v>
      </c>
      <c r="Y59" s="275">
        <v>3874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24321</v>
      </c>
      <c r="AF59" s="275">
        <v>0</v>
      </c>
      <c r="AG59" s="275">
        <v>4882</v>
      </c>
      <c r="AH59" s="275">
        <v>0</v>
      </c>
      <c r="AI59" s="275">
        <v>0</v>
      </c>
      <c r="AJ59" s="275">
        <v>11638</v>
      </c>
      <c r="AK59" s="275">
        <v>3707</v>
      </c>
      <c r="AL59" s="275">
        <v>1083</v>
      </c>
      <c r="AM59" s="275">
        <v>0</v>
      </c>
      <c r="AN59" s="275">
        <v>0</v>
      </c>
      <c r="AO59" s="275">
        <v>2808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64072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77714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0</v>
      </c>
      <c r="D60" s="277">
        <v>0</v>
      </c>
      <c r="E60" s="277">
        <v>1.92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10.89</v>
      </c>
      <c r="L60" s="277">
        <v>16.3</v>
      </c>
      <c r="M60" s="277">
        <v>0</v>
      </c>
      <c r="N60" s="277">
        <v>8.6999999999999993</v>
      </c>
      <c r="O60" s="277">
        <v>0</v>
      </c>
      <c r="P60" s="274">
        <v>0</v>
      </c>
      <c r="Q60" s="274">
        <v>0</v>
      </c>
      <c r="R60" s="274">
        <v>0</v>
      </c>
      <c r="S60" s="278">
        <v>0</v>
      </c>
      <c r="T60" s="278">
        <v>0</v>
      </c>
      <c r="U60" s="279">
        <v>6.94</v>
      </c>
      <c r="V60" s="274">
        <v>0.1</v>
      </c>
      <c r="W60" s="274">
        <v>0.97</v>
      </c>
      <c r="X60" s="274">
        <v>3.06</v>
      </c>
      <c r="Y60" s="274">
        <v>2.73</v>
      </c>
      <c r="Z60" s="274">
        <v>0</v>
      </c>
      <c r="AA60" s="274">
        <v>0</v>
      </c>
      <c r="AB60" s="278">
        <v>0.49</v>
      </c>
      <c r="AC60" s="274">
        <v>0</v>
      </c>
      <c r="AD60" s="274">
        <v>0</v>
      </c>
      <c r="AE60" s="274">
        <v>0</v>
      </c>
      <c r="AF60" s="274">
        <v>0</v>
      </c>
      <c r="AG60" s="274">
        <v>8.9600000000000009</v>
      </c>
      <c r="AH60" s="274">
        <v>0</v>
      </c>
      <c r="AI60" s="274">
        <v>0</v>
      </c>
      <c r="AJ60" s="274">
        <v>15.88</v>
      </c>
      <c r="AK60" s="274">
        <v>0</v>
      </c>
      <c r="AL60" s="274">
        <v>0</v>
      </c>
      <c r="AM60" s="274">
        <v>0</v>
      </c>
      <c r="AN60" s="274">
        <v>0</v>
      </c>
      <c r="AO60" s="274">
        <v>0.42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0</v>
      </c>
      <c r="AX60" s="278">
        <v>0</v>
      </c>
      <c r="AY60" s="274">
        <v>10.3</v>
      </c>
      <c r="AZ60" s="274">
        <v>0</v>
      </c>
      <c r="BA60" s="278">
        <v>0.86</v>
      </c>
      <c r="BB60" s="278">
        <v>3.7</v>
      </c>
      <c r="BC60" s="278">
        <v>0</v>
      </c>
      <c r="BD60" s="278">
        <v>1.81</v>
      </c>
      <c r="BE60" s="274">
        <v>4.1399999999999997</v>
      </c>
      <c r="BF60" s="278">
        <v>10.85</v>
      </c>
      <c r="BG60" s="278">
        <v>0</v>
      </c>
      <c r="BH60" s="278">
        <v>2.86</v>
      </c>
      <c r="BI60" s="278">
        <v>0</v>
      </c>
      <c r="BJ60" s="278">
        <v>1.72</v>
      </c>
      <c r="BK60" s="278">
        <v>5.49</v>
      </c>
      <c r="BL60" s="278">
        <v>3.98</v>
      </c>
      <c r="BM60" s="278">
        <v>0</v>
      </c>
      <c r="BN60" s="278">
        <v>1.65</v>
      </c>
      <c r="BO60" s="278">
        <v>0</v>
      </c>
      <c r="BP60" s="278">
        <v>0.92</v>
      </c>
      <c r="BQ60" s="278">
        <v>0</v>
      </c>
      <c r="BR60" s="278">
        <v>1.87</v>
      </c>
      <c r="BS60" s="278">
        <v>0</v>
      </c>
      <c r="BT60" s="278">
        <v>0</v>
      </c>
      <c r="BU60" s="278">
        <v>0</v>
      </c>
      <c r="BV60" s="278">
        <v>3.31</v>
      </c>
      <c r="BW60" s="278">
        <v>0</v>
      </c>
      <c r="BX60" s="278">
        <v>0</v>
      </c>
      <c r="BY60" s="278">
        <v>4.25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f t="shared" ref="CE60:CE68" si="6">SUM(C60:CD60)</f>
        <v>135.07</v>
      </c>
    </row>
    <row r="61" spans="1:83" x14ac:dyDescent="0.25">
      <c r="A61" s="31" t="s">
        <v>262</v>
      </c>
      <c r="B61" s="16"/>
      <c r="C61" s="273">
        <v>0</v>
      </c>
      <c r="D61" s="273">
        <v>0</v>
      </c>
      <c r="E61" s="273">
        <v>178138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859924</v>
      </c>
      <c r="L61" s="273">
        <v>1515686</v>
      </c>
      <c r="M61" s="273">
        <v>0</v>
      </c>
      <c r="N61" s="273">
        <v>666128</v>
      </c>
      <c r="O61" s="273">
        <v>0</v>
      </c>
      <c r="P61" s="275">
        <v>0</v>
      </c>
      <c r="Q61" s="275">
        <v>0</v>
      </c>
      <c r="R61" s="275">
        <v>0</v>
      </c>
      <c r="S61" s="280">
        <v>0</v>
      </c>
      <c r="T61" s="280">
        <v>0</v>
      </c>
      <c r="U61" s="276">
        <v>684041</v>
      </c>
      <c r="V61" s="275">
        <v>10655</v>
      </c>
      <c r="W61" s="275">
        <v>110307</v>
      </c>
      <c r="X61" s="275">
        <v>347084</v>
      </c>
      <c r="Y61" s="275">
        <v>309601</v>
      </c>
      <c r="Z61" s="275">
        <v>0</v>
      </c>
      <c r="AA61" s="275">
        <v>0</v>
      </c>
      <c r="AB61" s="281">
        <v>34177</v>
      </c>
      <c r="AC61" s="275">
        <v>0</v>
      </c>
      <c r="AD61" s="275">
        <v>0</v>
      </c>
      <c r="AE61" s="275">
        <v>0</v>
      </c>
      <c r="AF61" s="275">
        <v>0</v>
      </c>
      <c r="AG61" s="275">
        <v>923708</v>
      </c>
      <c r="AH61" s="275">
        <v>0</v>
      </c>
      <c r="AI61" s="275">
        <v>0</v>
      </c>
      <c r="AJ61" s="275">
        <v>1984926</v>
      </c>
      <c r="AK61" s="275">
        <v>0</v>
      </c>
      <c r="AL61" s="275">
        <v>0</v>
      </c>
      <c r="AM61" s="275">
        <v>0</v>
      </c>
      <c r="AN61" s="275">
        <v>0</v>
      </c>
      <c r="AO61" s="275">
        <v>39251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553559</v>
      </c>
      <c r="AZ61" s="275">
        <v>0</v>
      </c>
      <c r="BA61" s="280">
        <v>215589</v>
      </c>
      <c r="BB61" s="280">
        <v>239882</v>
      </c>
      <c r="BC61" s="280">
        <v>0</v>
      </c>
      <c r="BD61" s="280">
        <v>127799</v>
      </c>
      <c r="BE61" s="275">
        <v>382544</v>
      </c>
      <c r="BF61" s="280">
        <v>409816</v>
      </c>
      <c r="BG61" s="280">
        <v>0</v>
      </c>
      <c r="BH61" s="280">
        <v>299430</v>
      </c>
      <c r="BI61" s="280">
        <v>0</v>
      </c>
      <c r="BJ61" s="280">
        <v>188557</v>
      </c>
      <c r="BK61" s="280">
        <v>418860</v>
      </c>
      <c r="BL61" s="280">
        <v>232010</v>
      </c>
      <c r="BM61" s="280">
        <v>0</v>
      </c>
      <c r="BN61" s="280">
        <v>440776</v>
      </c>
      <c r="BO61" s="280">
        <v>0</v>
      </c>
      <c r="BP61" s="280">
        <v>102066</v>
      </c>
      <c r="BQ61" s="280">
        <v>0</v>
      </c>
      <c r="BR61" s="280">
        <v>198172</v>
      </c>
      <c r="BS61" s="280">
        <v>0</v>
      </c>
      <c r="BT61" s="280">
        <v>0</v>
      </c>
      <c r="BU61" s="280">
        <v>0</v>
      </c>
      <c r="BV61" s="280">
        <v>165435</v>
      </c>
      <c r="BW61" s="280">
        <v>0</v>
      </c>
      <c r="BX61" s="280">
        <v>0</v>
      </c>
      <c r="BY61" s="280">
        <v>585422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f t="shared" si="6"/>
        <v>12223543</v>
      </c>
    </row>
    <row r="62" spans="1:83" x14ac:dyDescent="0.25">
      <c r="A62" s="31" t="s">
        <v>10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40263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194360</v>
      </c>
      <c r="L62" s="25">
        <f t="shared" si="7"/>
        <v>342575</v>
      </c>
      <c r="M62" s="25">
        <f t="shared" si="7"/>
        <v>0</v>
      </c>
      <c r="N62" s="25">
        <f t="shared" si="7"/>
        <v>150558</v>
      </c>
      <c r="O62" s="25">
        <f t="shared" si="7"/>
        <v>0</v>
      </c>
      <c r="P62" s="25">
        <f t="shared" si="7"/>
        <v>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154607</v>
      </c>
      <c r="V62" s="25">
        <f t="shared" si="7"/>
        <v>2408</v>
      </c>
      <c r="W62" s="25">
        <f t="shared" si="7"/>
        <v>24932</v>
      </c>
      <c r="X62" s="25">
        <f t="shared" si="7"/>
        <v>78448</v>
      </c>
      <c r="Y62" s="25">
        <f t="shared" si="7"/>
        <v>69976</v>
      </c>
      <c r="Z62" s="25">
        <f t="shared" si="7"/>
        <v>0</v>
      </c>
      <c r="AA62" s="25">
        <f t="shared" si="7"/>
        <v>0</v>
      </c>
      <c r="AB62" s="25">
        <f t="shared" si="7"/>
        <v>7725</v>
      </c>
      <c r="AC62" s="25">
        <f t="shared" si="7"/>
        <v>0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208776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448633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8872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125115</v>
      </c>
      <c r="AZ62" s="25">
        <f t="shared" si="8"/>
        <v>0</v>
      </c>
      <c r="BA62" s="25">
        <f t="shared" si="8"/>
        <v>48727</v>
      </c>
      <c r="BB62" s="25">
        <f t="shared" si="8"/>
        <v>54218</v>
      </c>
      <c r="BC62" s="25">
        <f t="shared" si="8"/>
        <v>0</v>
      </c>
      <c r="BD62" s="25">
        <f t="shared" si="8"/>
        <v>28885</v>
      </c>
      <c r="BE62" s="25">
        <f t="shared" si="8"/>
        <v>86463</v>
      </c>
      <c r="BF62" s="25">
        <f t="shared" si="8"/>
        <v>92627</v>
      </c>
      <c r="BG62" s="25">
        <f t="shared" si="8"/>
        <v>0</v>
      </c>
      <c r="BH62" s="25">
        <f t="shared" si="8"/>
        <v>67677</v>
      </c>
      <c r="BI62" s="25">
        <f t="shared" si="8"/>
        <v>0</v>
      </c>
      <c r="BJ62" s="25">
        <f t="shared" si="8"/>
        <v>42618</v>
      </c>
      <c r="BK62" s="25">
        <f t="shared" si="8"/>
        <v>94671</v>
      </c>
      <c r="BL62" s="25">
        <f t="shared" si="8"/>
        <v>52439</v>
      </c>
      <c r="BM62" s="25">
        <f t="shared" si="8"/>
        <v>0</v>
      </c>
      <c r="BN62" s="25">
        <f t="shared" si="8"/>
        <v>99624</v>
      </c>
      <c r="BO62" s="25">
        <f t="shared" ref="BO62:CC62" si="9">ROUND(BO47+BO48,0)</f>
        <v>0</v>
      </c>
      <c r="BP62" s="25">
        <f t="shared" si="9"/>
        <v>23069</v>
      </c>
      <c r="BQ62" s="25">
        <f t="shared" si="9"/>
        <v>0</v>
      </c>
      <c r="BR62" s="25">
        <f t="shared" si="9"/>
        <v>44791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37392</v>
      </c>
      <c r="BW62" s="25">
        <f t="shared" si="9"/>
        <v>0</v>
      </c>
      <c r="BX62" s="25">
        <f t="shared" si="9"/>
        <v>0</v>
      </c>
      <c r="BY62" s="25">
        <f t="shared" si="9"/>
        <v>132317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247</v>
      </c>
      <c r="CE62" s="25">
        <f t="shared" si="6"/>
        <v>2762766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79416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12298</v>
      </c>
      <c r="L63" s="273">
        <v>675713</v>
      </c>
      <c r="M63" s="273">
        <v>0</v>
      </c>
      <c r="N63" s="273">
        <v>702</v>
      </c>
      <c r="O63" s="273">
        <v>0</v>
      </c>
      <c r="P63" s="275">
        <v>0</v>
      </c>
      <c r="Q63" s="275">
        <v>0</v>
      </c>
      <c r="R63" s="275">
        <v>0</v>
      </c>
      <c r="S63" s="280">
        <v>0</v>
      </c>
      <c r="T63" s="280">
        <v>0</v>
      </c>
      <c r="U63" s="276">
        <v>218257</v>
      </c>
      <c r="V63" s="275">
        <v>7687</v>
      </c>
      <c r="W63" s="275">
        <v>79584</v>
      </c>
      <c r="X63" s="275">
        <v>250415</v>
      </c>
      <c r="Y63" s="275">
        <v>223373</v>
      </c>
      <c r="Z63" s="275">
        <v>0</v>
      </c>
      <c r="AA63" s="275">
        <v>0</v>
      </c>
      <c r="AB63" s="281">
        <v>58309</v>
      </c>
      <c r="AC63" s="275">
        <v>0</v>
      </c>
      <c r="AD63" s="275">
        <v>0</v>
      </c>
      <c r="AE63" s="275">
        <v>1015358</v>
      </c>
      <c r="AF63" s="275">
        <v>0</v>
      </c>
      <c r="AG63" s="275">
        <v>1506114</v>
      </c>
      <c r="AH63" s="275">
        <v>0</v>
      </c>
      <c r="AI63" s="275">
        <v>0</v>
      </c>
      <c r="AJ63" s="275">
        <v>93934</v>
      </c>
      <c r="AK63" s="275">
        <v>141614</v>
      </c>
      <c r="AL63" s="275">
        <v>52907</v>
      </c>
      <c r="AM63" s="275">
        <v>0</v>
      </c>
      <c r="AN63" s="275">
        <v>0</v>
      </c>
      <c r="AO63" s="275">
        <v>17499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58647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345832</v>
      </c>
      <c r="BK63" s="280">
        <v>31231</v>
      </c>
      <c r="BL63" s="280">
        <v>0</v>
      </c>
      <c r="BM63" s="280">
        <v>0</v>
      </c>
      <c r="BN63" s="280">
        <v>3872</v>
      </c>
      <c r="BO63" s="280">
        <v>0</v>
      </c>
      <c r="BP63" s="280">
        <v>0</v>
      </c>
      <c r="BQ63" s="280">
        <v>0</v>
      </c>
      <c r="BR63" s="280">
        <v>2125</v>
      </c>
      <c r="BS63" s="280">
        <v>0</v>
      </c>
      <c r="BT63" s="280">
        <v>0</v>
      </c>
      <c r="BU63" s="280">
        <v>0</v>
      </c>
      <c r="BV63" s="280">
        <v>0</v>
      </c>
      <c r="BW63" s="280">
        <v>856</v>
      </c>
      <c r="BX63" s="346">
        <v>0</v>
      </c>
      <c r="BY63" s="280">
        <v>3371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4879114</v>
      </c>
    </row>
    <row r="64" spans="1:83" x14ac:dyDescent="0.25">
      <c r="A64" s="31" t="s">
        <v>264</v>
      </c>
      <c r="B64" s="16"/>
      <c r="C64" s="273">
        <v>0</v>
      </c>
      <c r="D64" s="273">
        <v>0</v>
      </c>
      <c r="E64" s="273">
        <v>10918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24321</v>
      </c>
      <c r="L64" s="273">
        <v>92902</v>
      </c>
      <c r="M64" s="273">
        <v>0</v>
      </c>
      <c r="N64" s="273">
        <v>15541</v>
      </c>
      <c r="O64" s="273">
        <v>0</v>
      </c>
      <c r="P64" s="275">
        <v>0</v>
      </c>
      <c r="Q64" s="275">
        <v>0</v>
      </c>
      <c r="R64" s="275">
        <v>0</v>
      </c>
      <c r="S64" s="280">
        <v>1012</v>
      </c>
      <c r="T64" s="280">
        <v>0</v>
      </c>
      <c r="U64" s="276">
        <v>665273</v>
      </c>
      <c r="V64" s="275">
        <v>479</v>
      </c>
      <c r="W64" s="275">
        <v>4954</v>
      </c>
      <c r="X64" s="275">
        <v>15589</v>
      </c>
      <c r="Y64" s="275">
        <v>13905</v>
      </c>
      <c r="Z64" s="275">
        <v>0</v>
      </c>
      <c r="AA64" s="275">
        <v>0</v>
      </c>
      <c r="AB64" s="281">
        <v>288147</v>
      </c>
      <c r="AC64" s="275">
        <v>0</v>
      </c>
      <c r="AD64" s="275">
        <v>0</v>
      </c>
      <c r="AE64" s="275">
        <v>8086</v>
      </c>
      <c r="AF64" s="275">
        <v>0</v>
      </c>
      <c r="AG64" s="275">
        <v>95804</v>
      </c>
      <c r="AH64" s="275">
        <v>0</v>
      </c>
      <c r="AI64" s="275">
        <v>0</v>
      </c>
      <c r="AJ64" s="275">
        <v>193616</v>
      </c>
      <c r="AK64" s="275">
        <v>869</v>
      </c>
      <c r="AL64" s="275">
        <v>1677</v>
      </c>
      <c r="AM64" s="275">
        <v>0</v>
      </c>
      <c r="AN64" s="275">
        <v>0</v>
      </c>
      <c r="AO64" s="275">
        <v>2407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311712</v>
      </c>
      <c r="AZ64" s="275">
        <v>0</v>
      </c>
      <c r="BA64" s="280">
        <v>9309</v>
      </c>
      <c r="BB64" s="280">
        <v>2389</v>
      </c>
      <c r="BC64" s="280">
        <v>0</v>
      </c>
      <c r="BD64" s="280">
        <v>6498</v>
      </c>
      <c r="BE64" s="275">
        <v>46835</v>
      </c>
      <c r="BF64" s="280">
        <v>9638</v>
      </c>
      <c r="BG64" s="280">
        <v>0</v>
      </c>
      <c r="BH64" s="280">
        <v>18954</v>
      </c>
      <c r="BI64" s="280">
        <v>0</v>
      </c>
      <c r="BJ64" s="280">
        <v>1112</v>
      </c>
      <c r="BK64" s="280">
        <v>3238</v>
      </c>
      <c r="BL64" s="280">
        <v>4549</v>
      </c>
      <c r="BM64" s="280">
        <v>0</v>
      </c>
      <c r="BN64" s="280">
        <v>-6383</v>
      </c>
      <c r="BO64" s="280">
        <v>0</v>
      </c>
      <c r="BP64" s="280">
        <v>3362</v>
      </c>
      <c r="BQ64" s="280">
        <v>0</v>
      </c>
      <c r="BR64" s="280">
        <v>4014</v>
      </c>
      <c r="BS64" s="280">
        <v>0</v>
      </c>
      <c r="BT64" s="280">
        <v>0</v>
      </c>
      <c r="BU64" s="280">
        <v>0</v>
      </c>
      <c r="BV64" s="280">
        <v>851</v>
      </c>
      <c r="BW64" s="280">
        <v>320</v>
      </c>
      <c r="BX64" s="280">
        <v>0</v>
      </c>
      <c r="BY64" s="280">
        <v>19845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f t="shared" si="6"/>
        <v>1871743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174216</v>
      </c>
      <c r="BF65" s="280">
        <v>0</v>
      </c>
      <c r="BG65" s="280">
        <v>0</v>
      </c>
      <c r="BH65" s="280">
        <v>36618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210834</v>
      </c>
    </row>
    <row r="66" spans="1:83" x14ac:dyDescent="0.25">
      <c r="A66" s="31" t="s">
        <v>266</v>
      </c>
      <c r="B66" s="16"/>
      <c r="C66" s="273">
        <v>0</v>
      </c>
      <c r="D66" s="273">
        <v>0</v>
      </c>
      <c r="E66" s="273">
        <v>1317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128</v>
      </c>
      <c r="L66" s="273">
        <v>11202</v>
      </c>
      <c r="M66" s="273">
        <v>0</v>
      </c>
      <c r="N66" s="273">
        <v>869</v>
      </c>
      <c r="O66" s="273">
        <v>0</v>
      </c>
      <c r="P66" s="275">
        <v>0</v>
      </c>
      <c r="Q66" s="275">
        <v>0</v>
      </c>
      <c r="R66" s="275">
        <v>0</v>
      </c>
      <c r="S66" s="280">
        <v>0</v>
      </c>
      <c r="T66" s="280">
        <v>0</v>
      </c>
      <c r="U66" s="276">
        <v>76810</v>
      </c>
      <c r="V66" s="275">
        <v>0</v>
      </c>
      <c r="W66" s="275">
        <v>233090</v>
      </c>
      <c r="X66" s="275">
        <v>77236</v>
      </c>
      <c r="Y66" s="275">
        <v>270555</v>
      </c>
      <c r="Z66" s="275">
        <v>0</v>
      </c>
      <c r="AA66" s="275">
        <v>0</v>
      </c>
      <c r="AB66" s="281">
        <v>196428</v>
      </c>
      <c r="AC66" s="275">
        <v>0</v>
      </c>
      <c r="AD66" s="275">
        <v>0</v>
      </c>
      <c r="AE66" s="275">
        <v>2024</v>
      </c>
      <c r="AF66" s="275">
        <v>0</v>
      </c>
      <c r="AG66" s="275">
        <v>15192</v>
      </c>
      <c r="AH66" s="275">
        <v>0</v>
      </c>
      <c r="AI66" s="275">
        <v>0</v>
      </c>
      <c r="AJ66" s="275">
        <v>13867</v>
      </c>
      <c r="AK66" s="275">
        <v>0</v>
      </c>
      <c r="AL66" s="275">
        <v>0</v>
      </c>
      <c r="AM66" s="275">
        <v>0</v>
      </c>
      <c r="AN66" s="275">
        <v>0</v>
      </c>
      <c r="AO66" s="275">
        <v>290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8829</v>
      </c>
      <c r="AZ66" s="275">
        <v>0</v>
      </c>
      <c r="BA66" s="280">
        <v>710</v>
      </c>
      <c r="BB66" s="280">
        <v>0</v>
      </c>
      <c r="BC66" s="280">
        <v>0</v>
      </c>
      <c r="BD66" s="280">
        <v>4488</v>
      </c>
      <c r="BE66" s="275">
        <v>414012</v>
      </c>
      <c r="BF66" s="280">
        <v>0</v>
      </c>
      <c r="BG66" s="280">
        <v>0</v>
      </c>
      <c r="BH66" s="280">
        <v>956689</v>
      </c>
      <c r="BI66" s="280">
        <v>0</v>
      </c>
      <c r="BJ66" s="280">
        <v>134296</v>
      </c>
      <c r="BK66" s="280">
        <v>36648</v>
      </c>
      <c r="BL66" s="280">
        <v>0</v>
      </c>
      <c r="BM66" s="280">
        <v>0</v>
      </c>
      <c r="BN66" s="280">
        <v>72687</v>
      </c>
      <c r="BO66" s="280">
        <v>0</v>
      </c>
      <c r="BP66" s="280">
        <v>58819</v>
      </c>
      <c r="BQ66" s="280">
        <v>0</v>
      </c>
      <c r="BR66" s="280">
        <v>22751</v>
      </c>
      <c r="BS66" s="280">
        <v>0</v>
      </c>
      <c r="BT66" s="280">
        <v>0</v>
      </c>
      <c r="BU66" s="280">
        <v>0</v>
      </c>
      <c r="BV66" s="280">
        <v>1974</v>
      </c>
      <c r="BW66" s="280">
        <v>0</v>
      </c>
      <c r="BX66" s="280">
        <v>0</v>
      </c>
      <c r="BY66" s="280">
        <v>9850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f t="shared" si="6"/>
        <v>2620761</v>
      </c>
    </row>
    <row r="67" spans="1:83" x14ac:dyDescent="0.25">
      <c r="A67" s="31" t="s">
        <v>15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31579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102484</v>
      </c>
      <c r="L67" s="25">
        <f t="shared" si="10"/>
        <v>268742</v>
      </c>
      <c r="M67" s="25">
        <f t="shared" si="10"/>
        <v>0</v>
      </c>
      <c r="N67" s="25">
        <f t="shared" si="10"/>
        <v>270480</v>
      </c>
      <c r="O67" s="25">
        <f t="shared" si="10"/>
        <v>0</v>
      </c>
      <c r="P67" s="25">
        <f t="shared" si="10"/>
        <v>0</v>
      </c>
      <c r="Q67" s="25">
        <f t="shared" si="10"/>
        <v>0</v>
      </c>
      <c r="R67" s="25">
        <f t="shared" si="10"/>
        <v>0</v>
      </c>
      <c r="S67" s="25">
        <f t="shared" si="10"/>
        <v>70178</v>
      </c>
      <c r="T67" s="25">
        <f t="shared" si="10"/>
        <v>0</v>
      </c>
      <c r="U67" s="25">
        <f t="shared" si="10"/>
        <v>26034</v>
      </c>
      <c r="V67" s="25">
        <f t="shared" si="10"/>
        <v>572</v>
      </c>
      <c r="W67" s="25">
        <f t="shared" si="10"/>
        <v>5942</v>
      </c>
      <c r="X67" s="25">
        <f t="shared" si="10"/>
        <v>18661</v>
      </c>
      <c r="Y67" s="25">
        <f t="shared" si="10"/>
        <v>16637</v>
      </c>
      <c r="Z67" s="25">
        <f t="shared" si="10"/>
        <v>0</v>
      </c>
      <c r="AA67" s="25">
        <f t="shared" si="10"/>
        <v>0</v>
      </c>
      <c r="AB67" s="25">
        <f t="shared" si="10"/>
        <v>8164</v>
      </c>
      <c r="AC67" s="25">
        <f t="shared" si="10"/>
        <v>0</v>
      </c>
      <c r="AD67" s="25">
        <f t="shared" si="10"/>
        <v>0</v>
      </c>
      <c r="AE67" s="25">
        <f t="shared" si="10"/>
        <v>63356</v>
      </c>
      <c r="AF67" s="25">
        <f t="shared" si="10"/>
        <v>0</v>
      </c>
      <c r="AG67" s="25">
        <f t="shared" si="10"/>
        <v>63907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121981</v>
      </c>
      <c r="AK67" s="25">
        <f t="shared" si="11"/>
        <v>14524</v>
      </c>
      <c r="AL67" s="25">
        <f t="shared" si="11"/>
        <v>1981</v>
      </c>
      <c r="AM67" s="25">
        <f t="shared" si="11"/>
        <v>0</v>
      </c>
      <c r="AN67" s="25">
        <f t="shared" si="11"/>
        <v>0</v>
      </c>
      <c r="AO67" s="25">
        <f t="shared" si="11"/>
        <v>6954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27728</v>
      </c>
      <c r="AZ67" s="25">
        <f t="shared" si="11"/>
        <v>65249</v>
      </c>
      <c r="BA67" s="25">
        <f t="shared" si="11"/>
        <v>30809</v>
      </c>
      <c r="BB67" s="25">
        <f t="shared" si="11"/>
        <v>40910</v>
      </c>
      <c r="BC67" s="25">
        <f t="shared" si="11"/>
        <v>0</v>
      </c>
      <c r="BD67" s="25">
        <f t="shared" si="11"/>
        <v>0</v>
      </c>
      <c r="BE67" s="25">
        <f t="shared" si="11"/>
        <v>79311</v>
      </c>
      <c r="BF67" s="25">
        <f t="shared" si="11"/>
        <v>33670</v>
      </c>
      <c r="BG67" s="25">
        <f t="shared" si="11"/>
        <v>0</v>
      </c>
      <c r="BH67" s="25">
        <f t="shared" si="11"/>
        <v>16549</v>
      </c>
      <c r="BI67" s="25">
        <f t="shared" si="11"/>
        <v>0</v>
      </c>
      <c r="BJ67" s="25">
        <f t="shared" si="11"/>
        <v>0</v>
      </c>
      <c r="BK67" s="25">
        <f t="shared" si="11"/>
        <v>30831</v>
      </c>
      <c r="BL67" s="25">
        <f t="shared" si="11"/>
        <v>86397</v>
      </c>
      <c r="BM67" s="25">
        <f t="shared" si="11"/>
        <v>0</v>
      </c>
      <c r="BN67" s="25">
        <f t="shared" si="11"/>
        <v>132544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26782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31007</v>
      </c>
      <c r="BW67" s="25">
        <f t="shared" si="12"/>
        <v>0</v>
      </c>
      <c r="BX67" s="25">
        <f t="shared" si="12"/>
        <v>0</v>
      </c>
      <c r="BY67" s="25">
        <f t="shared" si="12"/>
        <v>16241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1710204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0</v>
      </c>
      <c r="AC68" s="275">
        <v>0</v>
      </c>
      <c r="AD68" s="275">
        <v>0</v>
      </c>
      <c r="AE68" s="275">
        <v>0</v>
      </c>
      <c r="AF68" s="275">
        <v>0</v>
      </c>
      <c r="AG68" s="275">
        <v>0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2021</v>
      </c>
      <c r="BF68" s="280">
        <v>0</v>
      </c>
      <c r="BG68" s="280">
        <v>0</v>
      </c>
      <c r="BH68" s="280">
        <v>19590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21611</v>
      </c>
    </row>
    <row r="69" spans="1:83" x14ac:dyDescent="0.25">
      <c r="A69" s="31" t="s">
        <v>268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949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7449</v>
      </c>
      <c r="L69" s="25">
        <f t="shared" si="13"/>
        <v>8076</v>
      </c>
      <c r="M69" s="25">
        <f t="shared" si="13"/>
        <v>0</v>
      </c>
      <c r="N69" s="25">
        <f t="shared" si="13"/>
        <v>4765</v>
      </c>
      <c r="O69" s="25">
        <f t="shared" si="13"/>
        <v>0</v>
      </c>
      <c r="P69" s="25">
        <f t="shared" si="13"/>
        <v>0</v>
      </c>
      <c r="Q69" s="25">
        <f t="shared" si="13"/>
        <v>0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39516</v>
      </c>
      <c r="V69" s="25">
        <f t="shared" si="13"/>
        <v>20</v>
      </c>
      <c r="W69" s="25">
        <f t="shared" si="13"/>
        <v>203</v>
      </c>
      <c r="X69" s="25">
        <f t="shared" si="13"/>
        <v>638</v>
      </c>
      <c r="Y69" s="25">
        <f t="shared" si="13"/>
        <v>63159</v>
      </c>
      <c r="Z69" s="25">
        <f t="shared" si="13"/>
        <v>0</v>
      </c>
      <c r="AA69" s="25">
        <f t="shared" si="13"/>
        <v>0</v>
      </c>
      <c r="AB69" s="25">
        <f t="shared" si="13"/>
        <v>1484</v>
      </c>
      <c r="AC69" s="25">
        <f t="shared" si="13"/>
        <v>0</v>
      </c>
      <c r="AD69" s="25">
        <f t="shared" si="13"/>
        <v>0</v>
      </c>
      <c r="AE69" s="25">
        <f t="shared" si="13"/>
        <v>217</v>
      </c>
      <c r="AF69" s="25">
        <f t="shared" si="13"/>
        <v>0</v>
      </c>
      <c r="AG69" s="25">
        <f t="shared" si="13"/>
        <v>5207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60292</v>
      </c>
      <c r="AK69" s="25">
        <f t="shared" si="14"/>
        <v>0</v>
      </c>
      <c r="AL69" s="25">
        <f t="shared" si="14"/>
        <v>96</v>
      </c>
      <c r="AM69" s="25">
        <f t="shared" si="14"/>
        <v>0</v>
      </c>
      <c r="AN69" s="25">
        <f t="shared" si="14"/>
        <v>0</v>
      </c>
      <c r="AO69" s="25">
        <f t="shared" si="14"/>
        <v>209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19408</v>
      </c>
      <c r="AZ69" s="25">
        <f t="shared" si="14"/>
        <v>0</v>
      </c>
      <c r="BA69" s="25">
        <f t="shared" si="14"/>
        <v>452</v>
      </c>
      <c r="BB69" s="25">
        <f t="shared" si="14"/>
        <v>1418</v>
      </c>
      <c r="BC69" s="25">
        <f t="shared" si="14"/>
        <v>0</v>
      </c>
      <c r="BD69" s="25">
        <f t="shared" si="14"/>
        <v>5231</v>
      </c>
      <c r="BE69" s="25">
        <f t="shared" si="14"/>
        <v>12977</v>
      </c>
      <c r="BF69" s="25">
        <f t="shared" si="14"/>
        <v>2287</v>
      </c>
      <c r="BG69" s="25">
        <f t="shared" si="14"/>
        <v>0</v>
      </c>
      <c r="BH69" s="25">
        <f t="shared" si="14"/>
        <v>18986</v>
      </c>
      <c r="BI69" s="25">
        <f t="shared" si="14"/>
        <v>0</v>
      </c>
      <c r="BJ69" s="25">
        <f t="shared" si="14"/>
        <v>91960</v>
      </c>
      <c r="BK69" s="25">
        <f t="shared" si="14"/>
        <v>62089</v>
      </c>
      <c r="BL69" s="25">
        <f t="shared" si="14"/>
        <v>141</v>
      </c>
      <c r="BM69" s="25">
        <f t="shared" si="14"/>
        <v>0</v>
      </c>
      <c r="BN69" s="25">
        <f t="shared" si="14"/>
        <v>288193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4453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1288</v>
      </c>
      <c r="BW69" s="25">
        <f t="shared" si="15"/>
        <v>1975</v>
      </c>
      <c r="BX69" s="25">
        <f t="shared" si="15"/>
        <v>0</v>
      </c>
      <c r="BY69" s="25">
        <f t="shared" si="15"/>
        <v>27257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869392</v>
      </c>
      <c r="CE69" s="25">
        <f t="shared" si="15"/>
        <v>1599787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0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3712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4045</v>
      </c>
      <c r="V72" s="282">
        <v>0</v>
      </c>
      <c r="W72" s="282">
        <v>0</v>
      </c>
      <c r="X72" s="282">
        <v>0</v>
      </c>
      <c r="Y72" s="282">
        <v>62590</v>
      </c>
      <c r="Z72" s="282">
        <v>0</v>
      </c>
      <c r="AA72" s="282">
        <v>0</v>
      </c>
      <c r="AB72" s="282">
        <v>1335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888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261</v>
      </c>
      <c r="BE72" s="282">
        <v>3602</v>
      </c>
      <c r="BF72" s="282">
        <v>0</v>
      </c>
      <c r="BG72" s="282">
        <v>0</v>
      </c>
      <c r="BH72" s="282">
        <v>0</v>
      </c>
      <c r="BI72" s="282">
        <v>0</v>
      </c>
      <c r="BJ72" s="282">
        <v>39</v>
      </c>
      <c r="BK72" s="282">
        <v>87</v>
      </c>
      <c r="BL72" s="282">
        <v>0</v>
      </c>
      <c r="BM72" s="282">
        <v>0</v>
      </c>
      <c r="BN72" s="282">
        <v>152964</v>
      </c>
      <c r="BO72" s="282">
        <v>0</v>
      </c>
      <c r="BP72" s="282">
        <v>0</v>
      </c>
      <c r="BQ72" s="282">
        <v>0</v>
      </c>
      <c r="BR72" s="282">
        <v>862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230385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220837</v>
      </c>
      <c r="CE73" s="25">
        <f t="shared" si="16"/>
        <v>220837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0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0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0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6"/>
        <v>0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f t="shared" si="16"/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217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85000</v>
      </c>
      <c r="BK81" s="282">
        <v>0</v>
      </c>
      <c r="BL81" s="282">
        <v>0</v>
      </c>
      <c r="BM81" s="282">
        <v>0</v>
      </c>
      <c r="BN81" s="282">
        <v>1292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6"/>
        <v>86509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275">
        <v>949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7449</v>
      </c>
      <c r="L83" s="275">
        <v>8076</v>
      </c>
      <c r="M83" s="273">
        <v>0</v>
      </c>
      <c r="N83" s="273">
        <f>4765-3712</f>
        <v>1053</v>
      </c>
      <c r="O83" s="273">
        <v>0</v>
      </c>
      <c r="P83" s="275">
        <v>0</v>
      </c>
      <c r="Q83" s="275">
        <v>0</v>
      </c>
      <c r="R83" s="276">
        <v>0</v>
      </c>
      <c r="S83" s="275">
        <v>0</v>
      </c>
      <c r="T83" s="273">
        <v>0</v>
      </c>
      <c r="U83" s="275">
        <v>35254</v>
      </c>
      <c r="V83" s="275">
        <v>20</v>
      </c>
      <c r="W83" s="273">
        <v>203</v>
      </c>
      <c r="X83" s="275">
        <v>638</v>
      </c>
      <c r="Y83" s="275">
        <v>569</v>
      </c>
      <c r="Z83" s="275">
        <v>0</v>
      </c>
      <c r="AA83" s="275">
        <v>0</v>
      </c>
      <c r="AB83" s="275">
        <f>1484-1335</f>
        <v>149</v>
      </c>
      <c r="AC83" s="275">
        <v>0</v>
      </c>
      <c r="AD83" s="275">
        <v>0</v>
      </c>
      <c r="AE83" s="275">
        <v>217</v>
      </c>
      <c r="AF83" s="275">
        <v>0</v>
      </c>
      <c r="AG83" s="275">
        <v>5207</v>
      </c>
      <c r="AH83" s="275">
        <v>0</v>
      </c>
      <c r="AI83" s="275">
        <v>0</v>
      </c>
      <c r="AJ83" s="275">
        <f>60292-888</f>
        <v>59404</v>
      </c>
      <c r="AK83" s="275">
        <v>0</v>
      </c>
      <c r="AL83" s="275">
        <v>96</v>
      </c>
      <c r="AM83" s="275">
        <v>0</v>
      </c>
      <c r="AN83" s="275">
        <v>0</v>
      </c>
      <c r="AO83" s="273">
        <v>209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19408</v>
      </c>
      <c r="AZ83" s="275">
        <v>0</v>
      </c>
      <c r="BA83" s="275">
        <v>452</v>
      </c>
      <c r="BB83" s="275">
        <v>1418</v>
      </c>
      <c r="BC83" s="275">
        <v>0</v>
      </c>
      <c r="BD83" s="275">
        <f>5231-261</f>
        <v>4970</v>
      </c>
      <c r="BE83" s="275">
        <f>12977-3602</f>
        <v>9375</v>
      </c>
      <c r="BF83" s="275">
        <v>2287</v>
      </c>
      <c r="BG83" s="275">
        <v>0</v>
      </c>
      <c r="BH83" s="276">
        <v>18986</v>
      </c>
      <c r="BI83" s="275">
        <v>0</v>
      </c>
      <c r="BJ83" s="275">
        <f>91960-85000-39</f>
        <v>6921</v>
      </c>
      <c r="BK83" s="275">
        <f>62089-87</f>
        <v>62002</v>
      </c>
      <c r="BL83" s="275">
        <v>141</v>
      </c>
      <c r="BM83" s="275">
        <v>0</v>
      </c>
      <c r="BN83" s="275">
        <f>288193-152964-1292</f>
        <v>133937</v>
      </c>
      <c r="BO83" s="275">
        <v>0</v>
      </c>
      <c r="BP83" s="275">
        <v>0</v>
      </c>
      <c r="BQ83" s="275">
        <v>0</v>
      </c>
      <c r="BR83" s="275">
        <f>4453-862</f>
        <v>3591</v>
      </c>
      <c r="BS83" s="275">
        <v>0</v>
      </c>
      <c r="BT83" s="275">
        <v>0</v>
      </c>
      <c r="BU83" s="275">
        <v>0</v>
      </c>
      <c r="BV83" s="275">
        <v>1288</v>
      </c>
      <c r="BW83" s="275">
        <v>1975</v>
      </c>
      <c r="BX83" s="275">
        <v>0</v>
      </c>
      <c r="BY83" s="275">
        <v>27257</v>
      </c>
      <c r="BZ83" s="275">
        <v>0</v>
      </c>
      <c r="CA83" s="275">
        <v>0</v>
      </c>
      <c r="CB83" s="275">
        <v>0</v>
      </c>
      <c r="CC83" s="275">
        <v>0</v>
      </c>
      <c r="CD83" s="282">
        <v>648555</v>
      </c>
      <c r="CE83" s="25">
        <f t="shared" si="16"/>
        <v>1062056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96</v>
      </c>
      <c r="T84" s="273">
        <v>0</v>
      </c>
      <c r="U84" s="273">
        <v>26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129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84180</v>
      </c>
      <c r="AZ84" s="273">
        <v>0</v>
      </c>
      <c r="BA84" s="273">
        <v>0</v>
      </c>
      <c r="BB84" s="273">
        <v>0</v>
      </c>
      <c r="BC84" s="273">
        <v>0</v>
      </c>
      <c r="BD84" s="273">
        <v>19430</v>
      </c>
      <c r="BE84" s="273">
        <v>17898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2065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6065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149496</v>
      </c>
      <c r="CE84" s="25">
        <f t="shared" si="16"/>
        <v>279385</v>
      </c>
    </row>
    <row r="85" spans="1:84" x14ac:dyDescent="0.25">
      <c r="A85" s="31" t="s">
        <v>284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342580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1200964</v>
      </c>
      <c r="L85" s="25">
        <f t="shared" si="17"/>
        <v>2914896</v>
      </c>
      <c r="M85" s="25">
        <f t="shared" si="17"/>
        <v>0</v>
      </c>
      <c r="N85" s="25">
        <f t="shared" si="17"/>
        <v>1109043</v>
      </c>
      <c r="O85" s="25">
        <f t="shared" si="17"/>
        <v>0</v>
      </c>
      <c r="P85" s="25">
        <f t="shared" si="17"/>
        <v>0</v>
      </c>
      <c r="Q85" s="25">
        <f t="shared" si="17"/>
        <v>0</v>
      </c>
      <c r="R85" s="25">
        <f t="shared" si="17"/>
        <v>0</v>
      </c>
      <c r="S85" s="25">
        <f t="shared" si="17"/>
        <v>71094</v>
      </c>
      <c r="T85" s="25">
        <f t="shared" si="17"/>
        <v>0</v>
      </c>
      <c r="U85" s="25">
        <f t="shared" si="17"/>
        <v>1864512</v>
      </c>
      <c r="V85" s="25">
        <f t="shared" si="17"/>
        <v>21821</v>
      </c>
      <c r="W85" s="25">
        <f t="shared" si="17"/>
        <v>459012</v>
      </c>
      <c r="X85" s="25">
        <f t="shared" si="17"/>
        <v>788071</v>
      </c>
      <c r="Y85" s="25">
        <f t="shared" si="17"/>
        <v>967206</v>
      </c>
      <c r="Z85" s="25">
        <f t="shared" si="17"/>
        <v>0</v>
      </c>
      <c r="AA85" s="25">
        <f t="shared" si="17"/>
        <v>0</v>
      </c>
      <c r="AB85" s="25">
        <f t="shared" si="17"/>
        <v>594305</v>
      </c>
      <c r="AC85" s="25">
        <f t="shared" si="17"/>
        <v>0</v>
      </c>
      <c r="AD85" s="25">
        <f t="shared" si="17"/>
        <v>0</v>
      </c>
      <c r="AE85" s="25">
        <f t="shared" si="17"/>
        <v>1089041</v>
      </c>
      <c r="AF85" s="25">
        <f t="shared" si="17"/>
        <v>0</v>
      </c>
      <c r="AG85" s="25">
        <f t="shared" si="17"/>
        <v>2818708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2917249</v>
      </c>
      <c r="AK85" s="25">
        <f t="shared" si="18"/>
        <v>157007</v>
      </c>
      <c r="AL85" s="25">
        <f t="shared" si="18"/>
        <v>56661</v>
      </c>
      <c r="AM85" s="25">
        <f t="shared" si="18"/>
        <v>0</v>
      </c>
      <c r="AN85" s="25">
        <f t="shared" si="18"/>
        <v>0</v>
      </c>
      <c r="AO85" s="25">
        <f t="shared" si="18"/>
        <v>75482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1020818</v>
      </c>
      <c r="AZ85" s="25">
        <f t="shared" si="18"/>
        <v>65249</v>
      </c>
      <c r="BA85" s="25">
        <f t="shared" si="18"/>
        <v>305596</v>
      </c>
      <c r="BB85" s="25">
        <f t="shared" si="18"/>
        <v>338817</v>
      </c>
      <c r="BC85" s="25">
        <f t="shared" si="18"/>
        <v>0</v>
      </c>
      <c r="BD85" s="25">
        <f t="shared" si="18"/>
        <v>153471</v>
      </c>
      <c r="BE85" s="25">
        <f t="shared" si="18"/>
        <v>1180481</v>
      </c>
      <c r="BF85" s="25">
        <f t="shared" si="18"/>
        <v>548038</v>
      </c>
      <c r="BG85" s="25">
        <f t="shared" si="18"/>
        <v>0</v>
      </c>
      <c r="BH85" s="25">
        <f t="shared" si="18"/>
        <v>1434493</v>
      </c>
      <c r="BI85" s="25">
        <f t="shared" si="18"/>
        <v>0</v>
      </c>
      <c r="BJ85" s="25">
        <f t="shared" si="18"/>
        <v>804375</v>
      </c>
      <c r="BK85" s="25">
        <f t="shared" si="18"/>
        <v>677568</v>
      </c>
      <c r="BL85" s="25">
        <f t="shared" si="18"/>
        <v>375536</v>
      </c>
      <c r="BM85" s="25">
        <f t="shared" si="18"/>
        <v>0</v>
      </c>
      <c r="BN85" s="25">
        <f t="shared" si="18"/>
        <v>1029248</v>
      </c>
      <c r="BO85" s="25">
        <f t="shared" ref="BO85:CD85" si="19">SUM(BO61:BO69)-BO84</f>
        <v>0</v>
      </c>
      <c r="BP85" s="25">
        <f t="shared" si="19"/>
        <v>187316</v>
      </c>
      <c r="BQ85" s="25">
        <f>SUM(BQ61:BQ69)-BQ84</f>
        <v>0</v>
      </c>
      <c r="BR85" s="25">
        <f t="shared" si="19"/>
        <v>303088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231882</v>
      </c>
      <c r="BW85" s="25">
        <f t="shared" si="19"/>
        <v>3151</v>
      </c>
      <c r="BX85" s="25">
        <f t="shared" si="19"/>
        <v>0</v>
      </c>
      <c r="BY85" s="25">
        <f t="shared" si="19"/>
        <v>794303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0</v>
      </c>
      <c r="CD85" s="25">
        <f t="shared" si="19"/>
        <v>719896</v>
      </c>
      <c r="CE85" s="25">
        <f t="shared" si="16"/>
        <v>27620978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1790110</v>
      </c>
    </row>
    <row r="87" spans="1:84" x14ac:dyDescent="0.25">
      <c r="A87" s="31" t="s">
        <v>286</v>
      </c>
      <c r="B87" s="16"/>
      <c r="C87" s="273">
        <v>0</v>
      </c>
      <c r="D87" s="273">
        <v>0</v>
      </c>
      <c r="E87" s="273">
        <v>429594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1871160</v>
      </c>
      <c r="L87" s="273">
        <v>1740672</v>
      </c>
      <c r="M87" s="273">
        <v>0</v>
      </c>
      <c r="N87" s="273">
        <v>1098480</v>
      </c>
      <c r="O87" s="273">
        <v>0</v>
      </c>
      <c r="P87" s="273">
        <v>0</v>
      </c>
      <c r="Q87" s="273">
        <v>0</v>
      </c>
      <c r="R87" s="273">
        <v>0</v>
      </c>
      <c r="S87" s="273">
        <v>35859</v>
      </c>
      <c r="T87" s="273">
        <v>0</v>
      </c>
      <c r="U87" s="273">
        <v>558169</v>
      </c>
      <c r="V87" s="273">
        <v>4504</v>
      </c>
      <c r="W87" s="273">
        <v>31704</v>
      </c>
      <c r="X87" s="273">
        <v>202836</v>
      </c>
      <c r="Y87" s="273">
        <v>172595</v>
      </c>
      <c r="Z87" s="273">
        <v>0</v>
      </c>
      <c r="AA87" s="273">
        <v>0</v>
      </c>
      <c r="AB87" s="273">
        <v>696044</v>
      </c>
      <c r="AC87" s="273">
        <v>0</v>
      </c>
      <c r="AD87" s="273">
        <v>0</v>
      </c>
      <c r="AE87" s="273">
        <v>414858</v>
      </c>
      <c r="AF87" s="273">
        <v>0</v>
      </c>
      <c r="AG87" s="273">
        <v>212970</v>
      </c>
      <c r="AH87" s="273">
        <v>0</v>
      </c>
      <c r="AI87" s="273">
        <v>0</v>
      </c>
      <c r="AJ87" s="273">
        <v>2437</v>
      </c>
      <c r="AK87" s="273">
        <v>170152</v>
      </c>
      <c r="AL87" s="273">
        <v>51855</v>
      </c>
      <c r="AM87" s="273">
        <v>0</v>
      </c>
      <c r="AN87" s="273">
        <v>0</v>
      </c>
      <c r="AO87" s="273">
        <v>6240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7700129</v>
      </c>
    </row>
    <row r="88" spans="1:84" x14ac:dyDescent="0.25">
      <c r="A88" s="3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129605</v>
      </c>
      <c r="T88" s="273">
        <v>0</v>
      </c>
      <c r="U88" s="273">
        <v>4527845</v>
      </c>
      <c r="V88" s="273">
        <v>115125</v>
      </c>
      <c r="W88" s="273">
        <v>1206810</v>
      </c>
      <c r="X88" s="273">
        <v>3694188</v>
      </c>
      <c r="Y88" s="273">
        <v>3303591</v>
      </c>
      <c r="Z88" s="273">
        <v>0</v>
      </c>
      <c r="AA88" s="273">
        <v>0</v>
      </c>
      <c r="AB88" s="273">
        <v>605131</v>
      </c>
      <c r="AC88" s="273">
        <v>0</v>
      </c>
      <c r="AD88" s="273">
        <v>0</v>
      </c>
      <c r="AE88" s="273">
        <v>1632889</v>
      </c>
      <c r="AF88" s="273">
        <v>0</v>
      </c>
      <c r="AG88" s="273">
        <v>9986911</v>
      </c>
      <c r="AH88" s="273">
        <v>0</v>
      </c>
      <c r="AI88" s="273">
        <v>0</v>
      </c>
      <c r="AJ88" s="273">
        <v>4262816</v>
      </c>
      <c r="AK88" s="273">
        <v>151689</v>
      </c>
      <c r="AL88" s="273">
        <v>108049</v>
      </c>
      <c r="AM88" s="273">
        <v>0</v>
      </c>
      <c r="AN88" s="273">
        <v>0</v>
      </c>
      <c r="AO88" s="273">
        <v>260416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29985065</v>
      </c>
    </row>
    <row r="89" spans="1:84" x14ac:dyDescent="0.25">
      <c r="A89" s="21" t="s">
        <v>288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429594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1871160</v>
      </c>
      <c r="L89" s="25">
        <f t="shared" si="21"/>
        <v>1740672</v>
      </c>
      <c r="M89" s="25">
        <f t="shared" si="21"/>
        <v>0</v>
      </c>
      <c r="N89" s="25">
        <f t="shared" si="21"/>
        <v>1098480</v>
      </c>
      <c r="O89" s="25">
        <f t="shared" si="21"/>
        <v>0</v>
      </c>
      <c r="P89" s="25">
        <f t="shared" si="21"/>
        <v>0</v>
      </c>
      <c r="Q89" s="25">
        <f t="shared" si="21"/>
        <v>0</v>
      </c>
      <c r="R89" s="25">
        <f t="shared" si="21"/>
        <v>0</v>
      </c>
      <c r="S89" s="25">
        <f t="shared" si="21"/>
        <v>165464</v>
      </c>
      <c r="T89" s="25">
        <f t="shared" si="21"/>
        <v>0</v>
      </c>
      <c r="U89" s="25">
        <f t="shared" si="21"/>
        <v>5086014</v>
      </c>
      <c r="V89" s="25">
        <f t="shared" si="21"/>
        <v>119629</v>
      </c>
      <c r="W89" s="25">
        <f t="shared" si="21"/>
        <v>1238514</v>
      </c>
      <c r="X89" s="25">
        <f t="shared" si="21"/>
        <v>3897024</v>
      </c>
      <c r="Y89" s="25">
        <f t="shared" si="21"/>
        <v>3476186</v>
      </c>
      <c r="Z89" s="25">
        <f t="shared" si="21"/>
        <v>0</v>
      </c>
      <c r="AA89" s="25">
        <f t="shared" si="21"/>
        <v>0</v>
      </c>
      <c r="AB89" s="25">
        <f t="shared" si="21"/>
        <v>1301175</v>
      </c>
      <c r="AC89" s="25">
        <f t="shared" si="21"/>
        <v>0</v>
      </c>
      <c r="AD89" s="25">
        <f t="shared" si="21"/>
        <v>0</v>
      </c>
      <c r="AE89" s="25">
        <f t="shared" si="21"/>
        <v>2047747</v>
      </c>
      <c r="AF89" s="25">
        <f t="shared" si="21"/>
        <v>0</v>
      </c>
      <c r="AG89" s="25">
        <f t="shared" si="21"/>
        <v>10199881</v>
      </c>
      <c r="AH89" s="25">
        <f t="shared" si="21"/>
        <v>0</v>
      </c>
      <c r="AI89" s="25">
        <f t="shared" si="21"/>
        <v>0</v>
      </c>
      <c r="AJ89" s="25">
        <f t="shared" si="21"/>
        <v>4265253</v>
      </c>
      <c r="AK89" s="25">
        <f t="shared" si="21"/>
        <v>321841</v>
      </c>
      <c r="AL89" s="25">
        <f t="shared" si="21"/>
        <v>159904</v>
      </c>
      <c r="AM89" s="25">
        <f t="shared" si="21"/>
        <v>0</v>
      </c>
      <c r="AN89" s="25">
        <f t="shared" si="21"/>
        <v>0</v>
      </c>
      <c r="AO89" s="25">
        <f t="shared" si="21"/>
        <v>266656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37685194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1435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4657</v>
      </c>
      <c r="L90" s="273">
        <v>12212</v>
      </c>
      <c r="M90" s="273">
        <v>0</v>
      </c>
      <c r="N90" s="273">
        <v>12291</v>
      </c>
      <c r="O90" s="273">
        <v>0</v>
      </c>
      <c r="P90" s="273">
        <v>0</v>
      </c>
      <c r="Q90" s="273">
        <v>0</v>
      </c>
      <c r="R90" s="273">
        <v>0</v>
      </c>
      <c r="S90" s="273">
        <v>3189</v>
      </c>
      <c r="T90" s="273">
        <v>0</v>
      </c>
      <c r="U90" s="273">
        <v>1183</v>
      </c>
      <c r="V90" s="273">
        <v>26</v>
      </c>
      <c r="W90" s="273">
        <v>270</v>
      </c>
      <c r="X90" s="273">
        <v>848</v>
      </c>
      <c r="Y90" s="273">
        <v>756</v>
      </c>
      <c r="Z90" s="273">
        <v>0</v>
      </c>
      <c r="AA90" s="273">
        <v>0</v>
      </c>
      <c r="AB90" s="273">
        <v>371</v>
      </c>
      <c r="AC90" s="273">
        <v>0</v>
      </c>
      <c r="AD90" s="273">
        <v>0</v>
      </c>
      <c r="AE90" s="273">
        <v>2879</v>
      </c>
      <c r="AF90" s="273">
        <v>0</v>
      </c>
      <c r="AG90" s="273">
        <v>2904</v>
      </c>
      <c r="AH90" s="273">
        <v>0</v>
      </c>
      <c r="AI90" s="273">
        <v>0</v>
      </c>
      <c r="AJ90" s="273">
        <v>5543</v>
      </c>
      <c r="AK90" s="273">
        <v>660</v>
      </c>
      <c r="AL90" s="273">
        <v>90</v>
      </c>
      <c r="AM90" s="273">
        <v>0</v>
      </c>
      <c r="AN90" s="273">
        <v>0</v>
      </c>
      <c r="AO90" s="273">
        <v>316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1260</v>
      </c>
      <c r="AZ90" s="273">
        <v>2965</v>
      </c>
      <c r="BA90" s="273">
        <v>1400</v>
      </c>
      <c r="BB90" s="273">
        <v>1859</v>
      </c>
      <c r="BC90" s="273">
        <v>0</v>
      </c>
      <c r="BD90" s="273">
        <v>0</v>
      </c>
      <c r="BE90" s="273">
        <v>3604</v>
      </c>
      <c r="BF90" s="273">
        <v>1530</v>
      </c>
      <c r="BG90" s="273">
        <v>0</v>
      </c>
      <c r="BH90" s="273">
        <v>752</v>
      </c>
      <c r="BI90" s="273">
        <v>0</v>
      </c>
      <c r="BJ90" s="273">
        <v>0</v>
      </c>
      <c r="BK90" s="273">
        <v>1401</v>
      </c>
      <c r="BL90" s="273">
        <v>3926</v>
      </c>
      <c r="BM90" s="273">
        <v>0</v>
      </c>
      <c r="BN90" s="273">
        <v>6023</v>
      </c>
      <c r="BO90" s="273">
        <v>0</v>
      </c>
      <c r="BP90" s="273">
        <v>0</v>
      </c>
      <c r="BQ90" s="273">
        <v>0</v>
      </c>
      <c r="BR90" s="273">
        <v>1217</v>
      </c>
      <c r="BS90" s="273">
        <v>0</v>
      </c>
      <c r="BT90" s="273">
        <v>0</v>
      </c>
      <c r="BU90" s="273">
        <v>0</v>
      </c>
      <c r="BV90" s="273">
        <v>1409</v>
      </c>
      <c r="BW90" s="273">
        <v>0</v>
      </c>
      <c r="BX90" s="273">
        <v>0</v>
      </c>
      <c r="BY90" s="273">
        <v>738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f t="shared" si="20"/>
        <v>77714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1626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11620</v>
      </c>
      <c r="L91" s="273">
        <v>13837</v>
      </c>
      <c r="M91" s="273">
        <v>0</v>
      </c>
      <c r="N91" s="273">
        <v>24569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48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359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12013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64072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407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1291</v>
      </c>
      <c r="L92" s="273">
        <v>3464</v>
      </c>
      <c r="M92" s="273">
        <v>0</v>
      </c>
      <c r="N92" s="273">
        <v>3486</v>
      </c>
      <c r="O92" s="273">
        <v>0</v>
      </c>
      <c r="P92" s="273">
        <v>0</v>
      </c>
      <c r="Q92" s="273">
        <v>0</v>
      </c>
      <c r="R92" s="273">
        <v>0</v>
      </c>
      <c r="S92" s="273">
        <v>905</v>
      </c>
      <c r="T92" s="273">
        <v>0</v>
      </c>
      <c r="U92" s="273">
        <v>336</v>
      </c>
      <c r="V92" s="273">
        <v>7</v>
      </c>
      <c r="W92" s="273">
        <v>76</v>
      </c>
      <c r="X92" s="273">
        <v>241</v>
      </c>
      <c r="Y92" s="273">
        <v>215</v>
      </c>
      <c r="Z92" s="273">
        <v>0</v>
      </c>
      <c r="AA92" s="273">
        <v>0</v>
      </c>
      <c r="AB92" s="273">
        <v>105</v>
      </c>
      <c r="AC92" s="273">
        <v>0</v>
      </c>
      <c r="AD92" s="273">
        <v>0</v>
      </c>
      <c r="AE92" s="273">
        <v>817</v>
      </c>
      <c r="AF92" s="273">
        <v>0</v>
      </c>
      <c r="AG92" s="273">
        <v>824</v>
      </c>
      <c r="AH92" s="273">
        <v>0</v>
      </c>
      <c r="AI92" s="273">
        <v>0</v>
      </c>
      <c r="AJ92" s="273">
        <v>1572</v>
      </c>
      <c r="AK92" s="273">
        <v>187</v>
      </c>
      <c r="AL92" s="273">
        <v>26</v>
      </c>
      <c r="AM92" s="273">
        <v>0</v>
      </c>
      <c r="AN92" s="273">
        <v>0</v>
      </c>
      <c r="AO92" s="273">
        <v>90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397</v>
      </c>
      <c r="BB92" s="273">
        <v>527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213</v>
      </c>
      <c r="BI92" s="273">
        <v>0</v>
      </c>
      <c r="BJ92" s="24" t="s">
        <v>247</v>
      </c>
      <c r="BK92" s="273">
        <v>397</v>
      </c>
      <c r="BL92" s="273">
        <v>1114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400</v>
      </c>
      <c r="BW92" s="273">
        <v>0</v>
      </c>
      <c r="BX92" s="273">
        <v>0</v>
      </c>
      <c r="BY92" s="273">
        <v>238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f t="shared" si="20"/>
        <v>17335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3160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8809</v>
      </c>
      <c r="L93" s="273">
        <v>26883</v>
      </c>
      <c r="M93" s="273">
        <v>0</v>
      </c>
      <c r="N93" s="273">
        <v>6421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75</v>
      </c>
      <c r="W93" s="273">
        <v>780</v>
      </c>
      <c r="X93" s="273">
        <v>2453</v>
      </c>
      <c r="Y93" s="273">
        <v>2188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3114</v>
      </c>
      <c r="AF93" s="273">
        <v>0</v>
      </c>
      <c r="AG93" s="273">
        <v>15211</v>
      </c>
      <c r="AH93" s="273">
        <v>0</v>
      </c>
      <c r="AI93" s="273">
        <v>0</v>
      </c>
      <c r="AJ93" s="273">
        <v>774</v>
      </c>
      <c r="AK93" s="273">
        <v>0</v>
      </c>
      <c r="AL93" s="273">
        <v>0</v>
      </c>
      <c r="AM93" s="273">
        <v>0</v>
      </c>
      <c r="AN93" s="273">
        <v>0</v>
      </c>
      <c r="AO93" s="273">
        <v>696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/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70564</v>
      </c>
      <c r="CF93" s="25">
        <f>BA59</f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1.92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10.89</v>
      </c>
      <c r="L94" s="277">
        <v>16.3</v>
      </c>
      <c r="M94" s="277">
        <v>0</v>
      </c>
      <c r="N94" s="277">
        <v>8.69</v>
      </c>
      <c r="O94" s="277">
        <v>0</v>
      </c>
      <c r="P94" s="274">
        <v>0</v>
      </c>
      <c r="Q94" s="274">
        <v>0</v>
      </c>
      <c r="R94" s="274">
        <v>0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4.9000000000000004</v>
      </c>
      <c r="AH94" s="274">
        <v>0</v>
      </c>
      <c r="AI94" s="274">
        <v>0</v>
      </c>
      <c r="AJ94" s="274">
        <v>2.81</v>
      </c>
      <c r="AK94" s="274">
        <v>0</v>
      </c>
      <c r="AL94" s="274">
        <v>0</v>
      </c>
      <c r="AM94" s="274">
        <v>0</v>
      </c>
      <c r="AN94" s="274">
        <v>0</v>
      </c>
      <c r="AO94" s="274">
        <v>0.42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45.93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1398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 t="s">
        <v>310</v>
      </c>
      <c r="D102" s="284" t="s">
        <v>297</v>
      </c>
      <c r="E102" s="285" t="s">
        <v>297</v>
      </c>
      <c r="F102" s="12"/>
    </row>
    <row r="103" spans="1:6" x14ac:dyDescent="0.25">
      <c r="A103" s="25" t="s">
        <v>311</v>
      </c>
      <c r="B103" s="32" t="s">
        <v>299</v>
      </c>
      <c r="C103" s="287" t="s">
        <v>312</v>
      </c>
      <c r="D103" s="284" t="s">
        <v>297</v>
      </c>
      <c r="E103" s="285" t="s">
        <v>297</v>
      </c>
      <c r="F103" s="12"/>
    </row>
    <row r="104" spans="1:6" x14ac:dyDescent="0.25">
      <c r="A104" s="25" t="s">
        <v>313</v>
      </c>
      <c r="B104" s="32" t="s">
        <v>299</v>
      </c>
      <c r="C104" s="290" t="s">
        <v>1399</v>
      </c>
      <c r="D104" s="284" t="s">
        <v>297</v>
      </c>
      <c r="E104" s="285" t="s">
        <v>297</v>
      </c>
      <c r="F104" s="12"/>
    </row>
    <row r="105" spans="1:6" x14ac:dyDescent="0.25">
      <c r="A105" s="25" t="s">
        <v>314</v>
      </c>
      <c r="B105" s="32" t="s">
        <v>299</v>
      </c>
      <c r="C105" s="290" t="s">
        <v>1400</v>
      </c>
      <c r="D105" s="284" t="s">
        <v>297</v>
      </c>
      <c r="E105" s="285" t="s">
        <v>297</v>
      </c>
      <c r="F105" s="12"/>
    </row>
    <row r="106" spans="1:6" x14ac:dyDescent="0.25">
      <c r="A106" s="25" t="s">
        <v>315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316</v>
      </c>
      <c r="B107" s="32" t="s">
        <v>299</v>
      </c>
      <c r="C107" s="291" t="s">
        <v>317</v>
      </c>
      <c r="D107" s="284" t="s">
        <v>297</v>
      </c>
      <c r="E107" s="285" t="s">
        <v>297</v>
      </c>
      <c r="F107" s="12"/>
    </row>
    <row r="108" spans="1:6" x14ac:dyDescent="0.25">
      <c r="A108" s="25" t="s">
        <v>318</v>
      </c>
      <c r="B108" s="32" t="s">
        <v>299</v>
      </c>
      <c r="C108" s="291" t="s">
        <v>319</v>
      </c>
      <c r="D108" s="284" t="s">
        <v>297</v>
      </c>
      <c r="E108" s="285" t="s">
        <v>297</v>
      </c>
      <c r="F108" s="12"/>
    </row>
    <row r="109" spans="1:6" x14ac:dyDescent="0.25">
      <c r="A109" s="33" t="s">
        <v>320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321</v>
      </c>
      <c r="B110" s="32" t="s">
        <v>299</v>
      </c>
      <c r="C110" s="287" t="s">
        <v>1402</v>
      </c>
      <c r="D110" s="284" t="s">
        <v>297</v>
      </c>
      <c r="E110" s="285" t="s">
        <v>297</v>
      </c>
      <c r="F110" s="12"/>
    </row>
    <row r="111" spans="1:6" x14ac:dyDescent="0.25">
      <c r="A111" s="30" t="s">
        <v>322</v>
      </c>
      <c r="B111" s="30"/>
      <c r="C111" s="30"/>
      <c r="D111" s="30"/>
      <c r="E111" s="30"/>
    </row>
    <row r="112" spans="1:6" x14ac:dyDescent="0.25">
      <c r="A112" s="34" t="s">
        <v>323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324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325</v>
      </c>
      <c r="B116" s="34"/>
      <c r="C116" s="34"/>
      <c r="D116" s="34"/>
      <c r="E116" s="34"/>
    </row>
    <row r="117" spans="1:5" x14ac:dyDescent="0.25">
      <c r="A117" s="16" t="s">
        <v>326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327</v>
      </c>
      <c r="B119" s="34"/>
      <c r="C119" s="34"/>
      <c r="D119" s="34"/>
      <c r="E119" s="34"/>
    </row>
    <row r="120" spans="1:5" x14ac:dyDescent="0.25">
      <c r="A120" s="16" t="s">
        <v>328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329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330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331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332</v>
      </c>
      <c r="B126" s="16"/>
      <c r="C126" s="17" t="s">
        <v>333</v>
      </c>
      <c r="D126" s="18" t="s">
        <v>241</v>
      </c>
      <c r="E126" s="16"/>
    </row>
    <row r="127" spans="1:5" x14ac:dyDescent="0.25">
      <c r="A127" s="16" t="s">
        <v>334</v>
      </c>
      <c r="B127" s="35" t="s">
        <v>299</v>
      </c>
      <c r="C127" s="294">
        <v>152</v>
      </c>
      <c r="D127" s="295">
        <v>531</v>
      </c>
      <c r="E127" s="16"/>
    </row>
    <row r="128" spans="1:5" x14ac:dyDescent="0.25">
      <c r="A128" s="16" t="s">
        <v>335</v>
      </c>
      <c r="B128" s="35" t="s">
        <v>299</v>
      </c>
      <c r="C128" s="294">
        <v>172</v>
      </c>
      <c r="D128" s="295">
        <v>8673</v>
      </c>
      <c r="E128" s="16"/>
    </row>
    <row r="129" spans="1:5" x14ac:dyDescent="0.25">
      <c r="A129" s="16" t="s">
        <v>336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337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338</v>
      </c>
      <c r="B131" s="16"/>
      <c r="C131" s="17" t="s">
        <v>193</v>
      </c>
      <c r="D131" s="16"/>
      <c r="E131" s="16"/>
    </row>
    <row r="132" spans="1:5" x14ac:dyDescent="0.25">
      <c r="A132" s="16" t="s">
        <v>339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340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341</v>
      </c>
      <c r="B134" s="35" t="s">
        <v>299</v>
      </c>
      <c r="C134" s="296">
        <v>25</v>
      </c>
      <c r="D134" s="16"/>
      <c r="E134" s="16"/>
    </row>
    <row r="135" spans="1:5" x14ac:dyDescent="0.25">
      <c r="A135" s="16" t="s">
        <v>342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343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344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345</v>
      </c>
      <c r="B139" s="35" t="s">
        <v>299</v>
      </c>
      <c r="C139" s="294">
        <v>12</v>
      </c>
      <c r="D139" s="16"/>
      <c r="E139" s="16"/>
    </row>
    <row r="140" spans="1:5" x14ac:dyDescent="0.25">
      <c r="A140" s="16" t="s">
        <v>346</v>
      </c>
      <c r="B140" s="35"/>
      <c r="C140" s="292">
        <v>0</v>
      </c>
      <c r="D140" s="16"/>
      <c r="E140" s="16"/>
    </row>
    <row r="141" spans="1:5" x14ac:dyDescent="0.25">
      <c r="A141" s="16" t="s">
        <v>336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347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348</v>
      </c>
      <c r="B143" s="16"/>
      <c r="C143" s="22"/>
      <c r="D143" s="16"/>
      <c r="E143" s="25">
        <f>SUM(C132:C142)</f>
        <v>37</v>
      </c>
    </row>
    <row r="144" spans="1:5" x14ac:dyDescent="0.25">
      <c r="A144" s="16" t="s">
        <v>349</v>
      </c>
      <c r="B144" s="35" t="s">
        <v>299</v>
      </c>
      <c r="C144" s="294">
        <v>37</v>
      </c>
      <c r="D144" s="16"/>
      <c r="E144" s="16"/>
    </row>
    <row r="145" spans="1:6" x14ac:dyDescent="0.25">
      <c r="A145" s="16" t="s">
        <v>350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351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352</v>
      </c>
      <c r="B152" s="37"/>
      <c r="C152" s="37"/>
      <c r="D152" s="37"/>
      <c r="E152" s="37"/>
    </row>
    <row r="153" spans="1:6" x14ac:dyDescent="0.25">
      <c r="A153" s="38" t="s">
        <v>353</v>
      </c>
      <c r="B153" s="39" t="s">
        <v>354</v>
      </c>
      <c r="C153" s="40" t="s">
        <v>355</v>
      </c>
      <c r="D153" s="39" t="s">
        <v>158</v>
      </c>
      <c r="E153" s="39" t="s">
        <v>229</v>
      </c>
    </row>
    <row r="154" spans="1:6" x14ac:dyDescent="0.25">
      <c r="A154" s="16" t="s">
        <v>333</v>
      </c>
      <c r="B154" s="295">
        <v>103</v>
      </c>
      <c r="C154" s="295">
        <v>23</v>
      </c>
      <c r="D154" s="295">
        <v>26</v>
      </c>
      <c r="E154" s="25">
        <f>SUM(B154:D154)</f>
        <v>152</v>
      </c>
    </row>
    <row r="155" spans="1:6" x14ac:dyDescent="0.25">
      <c r="A155" s="16" t="s">
        <v>241</v>
      </c>
      <c r="B155" s="295">
        <v>394</v>
      </c>
      <c r="C155" s="295">
        <f>21+39</f>
        <v>60</v>
      </c>
      <c r="D155" s="295">
        <v>77</v>
      </c>
      <c r="E155" s="25">
        <f>SUM(B155:D155)</f>
        <v>531</v>
      </c>
    </row>
    <row r="156" spans="1:6" x14ac:dyDescent="0.25">
      <c r="A156" s="16" t="s">
        <v>356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286</v>
      </c>
      <c r="B157" s="295">
        <v>3239431</v>
      </c>
      <c r="C157" s="295">
        <v>54727</v>
      </c>
      <c r="D157" s="295">
        <v>0</v>
      </c>
      <c r="E157" s="25">
        <f>SUM(B157:D157)</f>
        <v>3294158</v>
      </c>
      <c r="F157" s="14"/>
    </row>
    <row r="158" spans="1:6" x14ac:dyDescent="0.25">
      <c r="A158" s="16" t="s">
        <v>287</v>
      </c>
      <c r="B158" s="295">
        <v>13505025</v>
      </c>
      <c r="C158" s="295">
        <v>7544855</v>
      </c>
      <c r="D158" s="295">
        <v>9729322</v>
      </c>
      <c r="E158" s="25">
        <f>SUM(B158:D158)</f>
        <v>30779202</v>
      </c>
      <c r="F158" s="14"/>
    </row>
    <row r="159" spans="1:6" x14ac:dyDescent="0.25">
      <c r="A159" s="38" t="s">
        <v>357</v>
      </c>
      <c r="B159" s="39" t="s">
        <v>354</v>
      </c>
      <c r="C159" s="40" t="s">
        <v>355</v>
      </c>
      <c r="D159" s="39" t="s">
        <v>158</v>
      </c>
      <c r="E159" s="39" t="s">
        <v>229</v>
      </c>
    </row>
    <row r="160" spans="1:6" x14ac:dyDescent="0.25">
      <c r="A160" s="16" t="s">
        <v>333</v>
      </c>
      <c r="B160" s="272">
        <v>110</v>
      </c>
      <c r="C160" s="272">
        <v>36</v>
      </c>
      <c r="D160" s="272">
        <v>26</v>
      </c>
      <c r="E160" s="25">
        <f>SUM(B160:D160)</f>
        <v>172</v>
      </c>
    </row>
    <row r="161" spans="1:5" x14ac:dyDescent="0.25">
      <c r="A161" s="16" t="s">
        <v>241</v>
      </c>
      <c r="B161" s="272">
        <v>2094</v>
      </c>
      <c r="C161" s="272">
        <v>1614</v>
      </c>
      <c r="D161" s="272">
        <f>8673-C161-B161</f>
        <v>4965</v>
      </c>
      <c r="E161" s="25">
        <f>SUM(B161:D161)</f>
        <v>8673</v>
      </c>
    </row>
    <row r="162" spans="1:5" x14ac:dyDescent="0.25">
      <c r="A162" s="16" t="s">
        <v>356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420266</v>
      </c>
      <c r="C163" s="272">
        <v>1898230</v>
      </c>
      <c r="D163" s="272">
        <v>1293336</v>
      </c>
      <c r="E163" s="25">
        <f>SUM(B163:D163)</f>
        <v>3611832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358</v>
      </c>
      <c r="B165" s="39" t="s">
        <v>354</v>
      </c>
      <c r="C165" s="40" t="s">
        <v>355</v>
      </c>
      <c r="D165" s="39" t="s">
        <v>158</v>
      </c>
      <c r="E165" s="39" t="s">
        <v>229</v>
      </c>
    </row>
    <row r="166" spans="1:5" x14ac:dyDescent="0.25">
      <c r="A166" s="16" t="s">
        <v>333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356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359</v>
      </c>
      <c r="B172" s="39" t="s">
        <v>360</v>
      </c>
      <c r="C172" s="40" t="s">
        <v>361</v>
      </c>
      <c r="D172" s="16"/>
      <c r="E172" s="16"/>
    </row>
    <row r="173" spans="1:5" x14ac:dyDescent="0.25">
      <c r="A173" s="20" t="s">
        <v>362</v>
      </c>
      <c r="B173" s="272">
        <v>4863026</v>
      </c>
      <c r="C173" s="272">
        <v>1505895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363</v>
      </c>
      <c r="B179" s="30"/>
      <c r="C179" s="30"/>
      <c r="D179" s="30"/>
      <c r="E179" s="30"/>
    </row>
    <row r="180" spans="1:5" x14ac:dyDescent="0.25">
      <c r="A180" s="34" t="s">
        <v>364</v>
      </c>
      <c r="B180" s="34"/>
      <c r="C180" s="34"/>
      <c r="D180" s="34"/>
      <c r="E180" s="34"/>
    </row>
    <row r="181" spans="1:5" x14ac:dyDescent="0.25">
      <c r="A181" s="16" t="s">
        <v>365</v>
      </c>
      <c r="B181" s="35" t="s">
        <v>299</v>
      </c>
      <c r="C181" s="292">
        <v>892765</v>
      </c>
      <c r="D181" s="16"/>
      <c r="E181" s="16"/>
    </row>
    <row r="182" spans="1:5" x14ac:dyDescent="0.25">
      <c r="A182" s="16" t="s">
        <v>366</v>
      </c>
      <c r="B182" s="35" t="s">
        <v>299</v>
      </c>
      <c r="C182" s="292">
        <v>85557</v>
      </c>
      <c r="D182" s="16"/>
      <c r="E182" s="16"/>
    </row>
    <row r="183" spans="1:5" x14ac:dyDescent="0.25">
      <c r="A183" s="20" t="s">
        <v>367</v>
      </c>
      <c r="B183" s="35" t="s">
        <v>299</v>
      </c>
      <c r="C183" s="292">
        <v>209543</v>
      </c>
      <c r="D183" s="16"/>
      <c r="E183" s="16"/>
    </row>
    <row r="184" spans="1:5" x14ac:dyDescent="0.25">
      <c r="A184" s="16" t="s">
        <v>368</v>
      </c>
      <c r="B184" s="35" t="s">
        <v>299</v>
      </c>
      <c r="C184" s="292">
        <v>1085210</v>
      </c>
      <c r="D184" s="16"/>
      <c r="E184" s="16"/>
    </row>
    <row r="185" spans="1:5" x14ac:dyDescent="0.25">
      <c r="A185" s="16" t="s">
        <v>369</v>
      </c>
      <c r="B185" s="35" t="s">
        <v>299</v>
      </c>
      <c r="C185" s="292">
        <v>8553</v>
      </c>
      <c r="D185" s="16"/>
      <c r="E185" s="16"/>
    </row>
    <row r="186" spans="1:5" x14ac:dyDescent="0.25">
      <c r="A186" s="16" t="s">
        <v>370</v>
      </c>
      <c r="B186" s="35" t="s">
        <v>299</v>
      </c>
      <c r="C186" s="292">
        <v>456499</v>
      </c>
      <c r="D186" s="16"/>
      <c r="E186" s="16"/>
    </row>
    <row r="187" spans="1:5" x14ac:dyDescent="0.25">
      <c r="A187" s="16" t="s">
        <v>371</v>
      </c>
      <c r="B187" s="35" t="s">
        <v>299</v>
      </c>
      <c r="C187" s="292">
        <v>24638</v>
      </c>
      <c r="D187" s="16"/>
      <c r="E187" s="16"/>
    </row>
    <row r="188" spans="1:5" x14ac:dyDescent="0.25">
      <c r="A188" s="16" t="s">
        <v>371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2762765</v>
      </c>
      <c r="E189" s="16"/>
    </row>
    <row r="190" spans="1:5" x14ac:dyDescent="0.25">
      <c r="A190" s="34" t="s">
        <v>372</v>
      </c>
      <c r="B190" s="34"/>
      <c r="C190" s="34"/>
      <c r="D190" s="34"/>
      <c r="E190" s="34"/>
    </row>
    <row r="191" spans="1:5" x14ac:dyDescent="0.25">
      <c r="A191" s="16" t="s">
        <v>373</v>
      </c>
      <c r="B191" s="35" t="s">
        <v>299</v>
      </c>
      <c r="C191" s="292">
        <v>2021</v>
      </c>
      <c r="D191" s="16"/>
      <c r="E191" s="16"/>
    </row>
    <row r="192" spans="1:5" x14ac:dyDescent="0.25">
      <c r="A192" s="16" t="s">
        <v>374</v>
      </c>
      <c r="B192" s="35" t="s">
        <v>299</v>
      </c>
      <c r="C192" s="292">
        <v>19590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21611</v>
      </c>
      <c r="E193" s="16"/>
    </row>
    <row r="194" spans="1:5" x14ac:dyDescent="0.25">
      <c r="A194" s="34" t="s">
        <v>375</v>
      </c>
      <c r="B194" s="34"/>
      <c r="C194" s="34"/>
      <c r="D194" s="34"/>
      <c r="E194" s="34"/>
    </row>
    <row r="195" spans="1:5" x14ac:dyDescent="0.25">
      <c r="A195" s="16" t="s">
        <v>376</v>
      </c>
      <c r="B195" s="35" t="s">
        <v>299</v>
      </c>
      <c r="C195" s="292">
        <v>148081</v>
      </c>
      <c r="D195" s="16"/>
      <c r="E195" s="16"/>
    </row>
    <row r="196" spans="1:5" x14ac:dyDescent="0.25">
      <c r="A196" s="16" t="s">
        <v>377</v>
      </c>
      <c r="B196" s="35" t="s">
        <v>299</v>
      </c>
      <c r="C196" s="292">
        <v>72756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220837</v>
      </c>
      <c r="E197" s="16"/>
    </row>
    <row r="198" spans="1:5" x14ac:dyDescent="0.25">
      <c r="A198" s="34" t="s">
        <v>378</v>
      </c>
      <c r="B198" s="34"/>
      <c r="C198" s="34"/>
      <c r="D198" s="34"/>
      <c r="E198" s="34"/>
    </row>
    <row r="199" spans="1:5" x14ac:dyDescent="0.25">
      <c r="A199" s="16" t="s">
        <v>379</v>
      </c>
      <c r="B199" s="35" t="s">
        <v>299</v>
      </c>
      <c r="C199" s="292">
        <v>230385</v>
      </c>
      <c r="D199" s="16"/>
      <c r="E199" s="16"/>
    </row>
    <row r="200" spans="1:5" x14ac:dyDescent="0.25">
      <c r="A200" s="16" t="s">
        <v>380</v>
      </c>
      <c r="B200" s="35" t="s">
        <v>299</v>
      </c>
      <c r="C200" s="292">
        <v>86509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316894</v>
      </c>
      <c r="E202" s="16"/>
    </row>
    <row r="203" spans="1:5" x14ac:dyDescent="0.25">
      <c r="A203" s="34" t="s">
        <v>381</v>
      </c>
      <c r="B203" s="34"/>
      <c r="C203" s="34"/>
      <c r="D203" s="34"/>
      <c r="E203" s="34"/>
    </row>
    <row r="204" spans="1:5" x14ac:dyDescent="0.25">
      <c r="A204" s="16" t="s">
        <v>382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383</v>
      </c>
      <c r="B205" s="35" t="s">
        <v>299</v>
      </c>
      <c r="C205" s="292">
        <v>648555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648555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384</v>
      </c>
      <c r="B208" s="30"/>
      <c r="C208" s="30"/>
      <c r="D208" s="30"/>
      <c r="E208" s="30"/>
    </row>
    <row r="209" spans="1:5" x14ac:dyDescent="0.25">
      <c r="A209" s="37" t="s">
        <v>385</v>
      </c>
      <c r="B209" s="30"/>
      <c r="C209" s="30"/>
      <c r="D209" s="30"/>
      <c r="E209" s="30"/>
    </row>
    <row r="210" spans="1:5" x14ac:dyDescent="0.25">
      <c r="A210" s="21"/>
      <c r="B210" s="18" t="s">
        <v>386</v>
      </c>
      <c r="C210" s="17" t="s">
        <v>387</v>
      </c>
      <c r="D210" s="18" t="s">
        <v>388</v>
      </c>
      <c r="E210" s="18" t="s">
        <v>389</v>
      </c>
    </row>
    <row r="211" spans="1:5" x14ac:dyDescent="0.25">
      <c r="A211" s="16" t="s">
        <v>390</v>
      </c>
      <c r="B211" s="292">
        <v>99457</v>
      </c>
      <c r="C211" s="292">
        <v>0</v>
      </c>
      <c r="D211" s="295">
        <v>0</v>
      </c>
      <c r="E211" s="25">
        <f t="shared" ref="E211:E219" si="22">SUM(B211:C211)-D211</f>
        <v>99457</v>
      </c>
    </row>
    <row r="212" spans="1:5" x14ac:dyDescent="0.25">
      <c r="A212" s="16" t="s">
        <v>391</v>
      </c>
      <c r="B212" s="292">
        <v>384512</v>
      </c>
      <c r="C212" s="292">
        <v>0</v>
      </c>
      <c r="D212" s="295">
        <v>0</v>
      </c>
      <c r="E212" s="25">
        <f t="shared" si="22"/>
        <v>384512</v>
      </c>
    </row>
    <row r="213" spans="1:5" x14ac:dyDescent="0.25">
      <c r="A213" s="16" t="s">
        <v>392</v>
      </c>
      <c r="B213" s="292">
        <v>24737896</v>
      </c>
      <c r="C213" s="292">
        <v>10244</v>
      </c>
      <c r="D213" s="295">
        <v>0</v>
      </c>
      <c r="E213" s="25">
        <f t="shared" si="22"/>
        <v>24748140</v>
      </c>
    </row>
    <row r="214" spans="1:5" x14ac:dyDescent="0.25">
      <c r="A214" s="16" t="s">
        <v>393</v>
      </c>
      <c r="B214" s="292">
        <v>4900033</v>
      </c>
      <c r="C214" s="292">
        <v>0</v>
      </c>
      <c r="D214" s="295">
        <v>0</v>
      </c>
      <c r="E214" s="25">
        <f t="shared" si="22"/>
        <v>4900033</v>
      </c>
    </row>
    <row r="215" spans="1:5" x14ac:dyDescent="0.25">
      <c r="A215" s="16" t="s">
        <v>394</v>
      </c>
      <c r="B215" s="292">
        <v>253117</v>
      </c>
      <c r="C215" s="292">
        <v>0</v>
      </c>
      <c r="D215" s="295">
        <v>0</v>
      </c>
      <c r="E215" s="25">
        <f t="shared" si="22"/>
        <v>253117</v>
      </c>
    </row>
    <row r="216" spans="1:5" x14ac:dyDescent="0.25">
      <c r="A216" s="16" t="s">
        <v>395</v>
      </c>
      <c r="B216" s="292">
        <f>5262951-253117</f>
        <v>5009834</v>
      </c>
      <c r="C216" s="292">
        <v>150447</v>
      </c>
      <c r="D216" s="295">
        <v>170073</v>
      </c>
      <c r="E216" s="25">
        <f t="shared" si="22"/>
        <v>4990208</v>
      </c>
    </row>
    <row r="217" spans="1:5" x14ac:dyDescent="0.25">
      <c r="A217" s="16" t="s">
        <v>396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397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398</v>
      </c>
      <c r="B219" s="292">
        <v>980978</v>
      </c>
      <c r="C219" s="292">
        <v>3321943</v>
      </c>
      <c r="D219" s="295">
        <v>0</v>
      </c>
      <c r="E219" s="25">
        <f t="shared" si="22"/>
        <v>4302921</v>
      </c>
    </row>
    <row r="220" spans="1:5" x14ac:dyDescent="0.25">
      <c r="A220" s="16" t="s">
        <v>229</v>
      </c>
      <c r="B220" s="25">
        <f>SUM(B211:B219)</f>
        <v>36365827</v>
      </c>
      <c r="C220" s="225">
        <f>SUM(C211:C219)</f>
        <v>3482634</v>
      </c>
      <c r="D220" s="25">
        <f>SUM(D211:D219)</f>
        <v>170073</v>
      </c>
      <c r="E220" s="25">
        <f>SUM(E211:E219)</f>
        <v>39678388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386</v>
      </c>
      <c r="C223" s="17" t="s">
        <v>387</v>
      </c>
      <c r="D223" s="18" t="s">
        <v>388</v>
      </c>
      <c r="E223" s="18" t="s">
        <v>389</v>
      </c>
    </row>
    <row r="224" spans="1:5" x14ac:dyDescent="0.25">
      <c r="A224" s="16" t="s">
        <v>390</v>
      </c>
      <c r="B224" s="42"/>
      <c r="C224" s="41"/>
      <c r="D224" s="42"/>
      <c r="E224" s="16"/>
    </row>
    <row r="225" spans="1:6" x14ac:dyDescent="0.25">
      <c r="A225" s="16" t="s">
        <v>391</v>
      </c>
      <c r="B225" s="292">
        <v>221314</v>
      </c>
      <c r="C225" s="292">
        <v>27181</v>
      </c>
      <c r="D225" s="295">
        <v>0</v>
      </c>
      <c r="E225" s="25">
        <f t="shared" ref="E225:E232" si="23">SUM(B225:C225)-D225</f>
        <v>248495</v>
      </c>
    </row>
    <row r="226" spans="1:6" x14ac:dyDescent="0.25">
      <c r="A226" s="16" t="s">
        <v>392</v>
      </c>
      <c r="B226" s="292">
        <v>14177547</v>
      </c>
      <c r="C226" s="292">
        <v>949343</v>
      </c>
      <c r="D226" s="295">
        <v>0</v>
      </c>
      <c r="E226" s="25">
        <f t="shared" si="23"/>
        <v>15126890</v>
      </c>
    </row>
    <row r="227" spans="1:6" x14ac:dyDescent="0.25">
      <c r="A227" s="16" t="s">
        <v>393</v>
      </c>
      <c r="B227" s="292">
        <v>7016290</v>
      </c>
      <c r="C227" s="292">
        <v>697385</v>
      </c>
      <c r="D227" s="295">
        <v>170073</v>
      </c>
      <c r="E227" s="25">
        <f t="shared" si="23"/>
        <v>7543602</v>
      </c>
    </row>
    <row r="228" spans="1:6" x14ac:dyDescent="0.25">
      <c r="A228" s="16" t="s">
        <v>394</v>
      </c>
      <c r="B228" s="292">
        <v>204494</v>
      </c>
      <c r="C228" s="292">
        <v>36295</v>
      </c>
      <c r="D228" s="295">
        <v>0</v>
      </c>
      <c r="E228" s="25">
        <f t="shared" si="23"/>
        <v>240789</v>
      </c>
    </row>
    <row r="229" spans="1:6" x14ac:dyDescent="0.25">
      <c r="A229" s="16" t="s">
        <v>395</v>
      </c>
      <c r="B229" s="292">
        <v>0</v>
      </c>
      <c r="C229" s="292">
        <v>0</v>
      </c>
      <c r="D229" s="295">
        <v>0</v>
      </c>
      <c r="E229" s="25">
        <f t="shared" si="23"/>
        <v>0</v>
      </c>
    </row>
    <row r="230" spans="1:6" x14ac:dyDescent="0.25">
      <c r="A230" s="16" t="s">
        <v>396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397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398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21619645</v>
      </c>
      <c r="C233" s="225">
        <f>SUM(C224:C232)</f>
        <v>1710204</v>
      </c>
      <c r="D233" s="25">
        <f>SUM(D224:D232)</f>
        <v>170073</v>
      </c>
      <c r="E233" s="25">
        <f>SUM(E224:E232)</f>
        <v>23159776</v>
      </c>
    </row>
    <row r="234" spans="1:6" x14ac:dyDescent="0.25">
      <c r="A234" s="16"/>
      <c r="B234" s="16"/>
      <c r="C234" s="22"/>
      <c r="D234" s="16"/>
      <c r="E234" s="16"/>
      <c r="F234" s="11">
        <f>E220-E233</f>
        <v>16518612</v>
      </c>
    </row>
    <row r="235" spans="1:6" x14ac:dyDescent="0.25">
      <c r="A235" s="30" t="s">
        <v>400</v>
      </c>
      <c r="B235" s="30"/>
      <c r="C235" s="30"/>
      <c r="D235" s="30"/>
      <c r="E235" s="30"/>
    </row>
    <row r="236" spans="1:6" x14ac:dyDescent="0.25">
      <c r="A236" s="30"/>
      <c r="B236" s="350" t="s">
        <v>401</v>
      </c>
      <c r="C236" s="350"/>
      <c r="D236" s="30"/>
      <c r="E236" s="30"/>
    </row>
    <row r="237" spans="1:6" x14ac:dyDescent="0.25">
      <c r="A237" s="43" t="s">
        <v>401</v>
      </c>
      <c r="B237" s="30"/>
      <c r="C237" s="292">
        <v>1404304</v>
      </c>
      <c r="D237" s="32">
        <f>C237</f>
        <v>1404304</v>
      </c>
      <c r="E237" s="30"/>
    </row>
    <row r="238" spans="1:6" x14ac:dyDescent="0.25">
      <c r="A238" s="34" t="s">
        <v>402</v>
      </c>
      <c r="B238" s="34"/>
      <c r="C238" s="34"/>
      <c r="D238" s="34"/>
      <c r="E238" s="34"/>
    </row>
    <row r="239" spans="1:6" x14ac:dyDescent="0.25">
      <c r="A239" s="16" t="s">
        <v>403</v>
      </c>
      <c r="B239" s="35" t="s">
        <v>299</v>
      </c>
      <c r="C239" s="292">
        <v>3967075</v>
      </c>
      <c r="D239" s="16"/>
      <c r="E239" s="16"/>
    </row>
    <row r="240" spans="1:6" x14ac:dyDescent="0.25">
      <c r="A240" s="16" t="s">
        <v>404</v>
      </c>
      <c r="B240" s="35" t="s">
        <v>299</v>
      </c>
      <c r="C240" s="292">
        <v>2149083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3474708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f>SUM(C239:C244)</f>
        <v>9590866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4">
        <v>204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86873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338293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f>SUM(C249:C251)</f>
        <v>425166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f>D237+D245+D252+D256</f>
        <v>11420336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3277091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6609330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2685000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f>547757</f>
        <v>547757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59000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246521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444286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f>SUM(C266:C268)-C269+SUM(C270:C275)</f>
        <v>8498985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3568869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f>SUM(C278:C280)</f>
        <v>3568869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390</v>
      </c>
      <c r="B283" s="35" t="s">
        <v>299</v>
      </c>
      <c r="C283" s="292">
        <v>99457</v>
      </c>
      <c r="D283" s="16"/>
      <c r="E283" s="16"/>
    </row>
    <row r="284" spans="1:5" x14ac:dyDescent="0.25">
      <c r="A284" s="16" t="s">
        <v>391</v>
      </c>
      <c r="B284" s="35" t="s">
        <v>299</v>
      </c>
      <c r="C284" s="292">
        <v>384512</v>
      </c>
      <c r="D284" s="16"/>
      <c r="E284" s="16"/>
    </row>
    <row r="285" spans="1:5" x14ac:dyDescent="0.25">
      <c r="A285" s="16" t="s">
        <v>392</v>
      </c>
      <c r="B285" s="35" t="s">
        <v>299</v>
      </c>
      <c r="C285" s="292">
        <v>24748140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9890241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253117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0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4302921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f>SUM(C283:C290)</f>
        <v>39678388</v>
      </c>
      <c r="E291" s="16"/>
    </row>
    <row r="292" spans="1:5" x14ac:dyDescent="0.25">
      <c r="A292" s="16" t="s">
        <v>440</v>
      </c>
      <c r="B292" s="35" t="s">
        <v>299</v>
      </c>
      <c r="C292" s="292">
        <v>23159776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f>D291-C292</f>
        <v>16518612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452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453</v>
      </c>
      <c r="B308" s="16"/>
      <c r="C308" s="22"/>
      <c r="D308" s="25">
        <f>D276+D281+D293+D299+D306</f>
        <v>28586466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28586466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454</v>
      </c>
      <c r="B312" s="30"/>
      <c r="C312" s="30"/>
      <c r="D312" s="30"/>
      <c r="E312" s="30"/>
    </row>
    <row r="313" spans="1:6" x14ac:dyDescent="0.25">
      <c r="A313" s="34" t="s">
        <v>455</v>
      </c>
      <c r="B313" s="34"/>
      <c r="C313" s="34"/>
      <c r="D313" s="34"/>
      <c r="E313" s="34"/>
    </row>
    <row r="314" spans="1:6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457</v>
      </c>
      <c r="B315" s="35" t="s">
        <v>299</v>
      </c>
      <c r="C315" s="292">
        <v>718478</v>
      </c>
      <c r="D315" s="16"/>
      <c r="E315" s="16"/>
    </row>
    <row r="316" spans="1:6" x14ac:dyDescent="0.25">
      <c r="A316" s="16" t="s">
        <v>458</v>
      </c>
      <c r="B316" s="35" t="s">
        <v>299</v>
      </c>
      <c r="C316" s="292">
        <v>903055</v>
      </c>
      <c r="D316" s="16"/>
      <c r="E316" s="16"/>
    </row>
    <row r="317" spans="1:6" x14ac:dyDescent="0.25">
      <c r="A317" s="16" t="s">
        <v>459</v>
      </c>
      <c r="B317" s="35" t="s">
        <v>299</v>
      </c>
      <c r="C317" s="292">
        <v>54905</v>
      </c>
      <c r="D317" s="16"/>
      <c r="E317" s="16"/>
    </row>
    <row r="318" spans="1:6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461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764869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f>SUM(C314:C323)</f>
        <v>2441307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24190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13031478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13055668</v>
      </c>
      <c r="E339" s="16"/>
    </row>
    <row r="340" spans="1:5" x14ac:dyDescent="0.25">
      <c r="A340" s="16" t="s">
        <v>481</v>
      </c>
      <c r="B340" s="16"/>
      <c r="C340" s="22"/>
      <c r="D340" s="25">
        <f>C323</f>
        <v>764869</v>
      </c>
      <c r="E340" s="16"/>
    </row>
    <row r="341" spans="1:5" x14ac:dyDescent="0.25">
      <c r="A341" s="16" t="s">
        <v>482</v>
      </c>
      <c r="B341" s="16"/>
      <c r="C341" s="22"/>
      <c r="D341" s="25">
        <f>D339-D340</f>
        <v>12290799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13854360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f>D324+D329+D341+C343+C347+C348</f>
        <v>28586466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f>D308</f>
        <v>28586466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2">
        <v>7700127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2">
        <v>29985065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f>SUM(C358:C359)</f>
        <v>37685192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1404304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f>D245</f>
        <v>9590866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425166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f>SUM(C362:C365)</f>
        <v>11420336</v>
      </c>
      <c r="E366" s="16"/>
    </row>
    <row r="367" spans="1:5" x14ac:dyDescent="0.25">
      <c r="A367" s="16" t="s">
        <v>500</v>
      </c>
      <c r="B367" s="16"/>
      <c r="C367" s="22"/>
      <c r="D367" s="25">
        <f>D360-D366</f>
        <v>26264856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49691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254759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84180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f>279385-C379</f>
        <v>195205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514</v>
      </c>
      <c r="B381" s="35"/>
      <c r="C381" s="35"/>
      <c r="D381" s="25">
        <f>SUM(C370:C380)</f>
        <v>583835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f>D381+C382</f>
        <v>583835</v>
      </c>
      <c r="E383" s="16"/>
    </row>
    <row r="384" spans="1:6" x14ac:dyDescent="0.25">
      <c r="A384" s="16" t="s">
        <v>517</v>
      </c>
      <c r="B384" s="16"/>
      <c r="C384" s="22"/>
      <c r="D384" s="25">
        <f>D367+D383</f>
        <v>26848691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12223543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2762765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4879114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1871743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210834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2230991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1710204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21611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4">
        <v>220837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4">
        <v>316894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4">
        <v>648555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389770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413501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f>SUM(C401:C414)</f>
        <v>803271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f>SUM(C389:C399,D415)</f>
        <v>27900362</v>
      </c>
      <c r="E416" s="25"/>
    </row>
    <row r="417" spans="1:13" x14ac:dyDescent="0.25">
      <c r="A417" s="25" t="s">
        <v>531</v>
      </c>
      <c r="B417" s="16"/>
      <c r="C417" s="22"/>
      <c r="D417" s="25">
        <f>D384-D416</f>
        <v>-1051671</v>
      </c>
      <c r="E417" s="25"/>
    </row>
    <row r="418" spans="1:13" x14ac:dyDescent="0.25">
      <c r="A418" s="25" t="s">
        <v>532</v>
      </c>
      <c r="B418" s="16"/>
      <c r="C418" s="294">
        <v>1790110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f>SUM(C418:C419)</f>
        <v>1790110</v>
      </c>
      <c r="E420" s="25"/>
      <c r="F420" s="11">
        <f>D420-C399</f>
        <v>1141555</v>
      </c>
    </row>
    <row r="421" spans="1:13" x14ac:dyDescent="0.25">
      <c r="A421" s="25" t="s">
        <v>535</v>
      </c>
      <c r="B421" s="16"/>
      <c r="C421" s="22"/>
      <c r="D421" s="25">
        <f>D417+D420</f>
        <v>738439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f>D421+C422-C423</f>
        <v>738439</v>
      </c>
      <c r="E424" s="16"/>
    </row>
    <row r="426" spans="1:13" ht="29.1" customHeight="1" x14ac:dyDescent="0.25">
      <c r="A426" s="351" t="s">
        <v>539</v>
      </c>
      <c r="B426" s="351"/>
      <c r="C426" s="351"/>
      <c r="D426" s="351"/>
      <c r="E426" s="35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74110</v>
      </c>
      <c r="E612" s="219">
        <f>SUM(C624:D647)+SUM(C668:D713)</f>
        <v>25445593.302104976</v>
      </c>
      <c r="F612" s="219">
        <f>CE64-(AX64+BD64+BE64+BG64+BJ64+BN64+BP64+BQ64+CB64+CC64+CD64)</f>
        <v>1820319</v>
      </c>
      <c r="G612" s="217">
        <f>CE91-(AX91+AY91+BD91+BE91+BG91+BJ91+BN91+BP91+BQ91+CB91+CC91+CD91)</f>
        <v>64072</v>
      </c>
      <c r="H612" s="222">
        <f>CE60-(AX60+AY60+AZ60+BD60+BE60+BG60+BJ60+BN60+BO60+BP60+BQ60+BR60+CB60+CC60+CD60)</f>
        <v>112.66</v>
      </c>
      <c r="I612" s="217">
        <f>CE92-(AX92+AY92+AZ92+BD92+BE92+BF92+BG92+BJ92+BN92+BO92+BP92+BQ92+BR92+CB92+CC92+CD92)</f>
        <v>17335</v>
      </c>
      <c r="J612" s="217">
        <f>CE93-(AX93+AY93+AZ93+BA93+BD93+BE93+BF93+BG93+BJ93+BN93+BO93+BP93+BQ93+BR93+CB93+CC93+CD93)</f>
        <v>70564</v>
      </c>
      <c r="K612" s="217">
        <f>CE89-(AW89+AX89+AY89+AZ89+BA89+BB89+BC89+BD89+BE89+BF89+BG89+BH89+BI89+BJ89+BK89+BL89+BM89+BN89+BO89+BP89+BQ89+BR89+BS89+BT89+BU89+BV89+BW89+BX89+CB89+CC89+CD89)</f>
        <v>37685194</v>
      </c>
      <c r="L612" s="223">
        <f>CE94-(AW94+AX94+AY94+AZ94+BA94+BB94+BC94+BD94+BE94+BF94+BG94+BH94+BI94+BJ94+BK94+BL94+BM94+BN94+BO94+BP94+BQ94+BR94+BS94+BT94+BU94+BV94+BW94+BX94+BY94+BZ94+CA94+CB94+CC94+CD94)</f>
        <v>45.93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1180481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719896</v>
      </c>
      <c r="D615" s="217">
        <f>SUM(C614:C615)</f>
        <v>1900377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804375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1029248</v>
      </c>
      <c r="D619" s="217">
        <f>(D615/D612)*BN90</f>
        <v>154445.69789502092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187316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2175384.6978950212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153471</v>
      </c>
      <c r="D624" s="217">
        <f>(D615/D612)*BD90</f>
        <v>0</v>
      </c>
      <c r="E624" s="219">
        <f>(E623/E612)*SUM(C624:D624)</f>
        <v>13120.482631585113</v>
      </c>
      <c r="F624" s="219">
        <f>SUM(C624:E624)</f>
        <v>166591.48263158512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1020818</v>
      </c>
      <c r="D625" s="217">
        <f>(D615/D612)*AY90</f>
        <v>32309.742544865738</v>
      </c>
      <c r="E625" s="219">
        <f>(E623/E612)*SUM(C625:D625)</f>
        <v>90033.584552784232</v>
      </c>
      <c r="F625" s="219">
        <f>(F624/F612)*AY64</f>
        <v>28527.178057283731</v>
      </c>
      <c r="G625" s="217">
        <f>SUM(C625:F625)</f>
        <v>1171688.5051549335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303088</v>
      </c>
      <c r="D626" s="217">
        <f>(D615/D612)*BR90</f>
        <v>31207.108473890163</v>
      </c>
      <c r="E626" s="219">
        <f>(E623/E612)*SUM(C626:D626)</f>
        <v>28579.426501134007</v>
      </c>
      <c r="F626" s="219">
        <f>(F624/F612)*BR64</f>
        <v>367.35221204809858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65249</v>
      </c>
      <c r="D628" s="217">
        <f>(D615/D612)*AZ90</f>
        <v>76030.465591688029</v>
      </c>
      <c r="E628" s="219">
        <f>(E623/E612)*SUM(C628:D628)</f>
        <v>12078.208746247627</v>
      </c>
      <c r="F628" s="219">
        <f>(F624/F612)*AZ64</f>
        <v>0</v>
      </c>
      <c r="G628" s="217">
        <f>(G625/G612)*AZ91</f>
        <v>219682.45118657473</v>
      </c>
      <c r="H628" s="219">
        <f>SUM(C626:G628)</f>
        <v>736282.01271158259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548038</v>
      </c>
      <c r="D629" s="217">
        <f>(D615/D612)*BF90</f>
        <v>39233.258804479825</v>
      </c>
      <c r="E629" s="219">
        <f>(E623/E612)*SUM(C629:D629)</f>
        <v>50206.764477805606</v>
      </c>
      <c r="F629" s="219">
        <f>(F624/F612)*BF64</f>
        <v>882.04798697547926</v>
      </c>
      <c r="G629" s="217">
        <f>(G625/G612)*BF91</f>
        <v>0</v>
      </c>
      <c r="H629" s="219">
        <f>(H628/H612)*BF60</f>
        <v>70909.460659689954</v>
      </c>
      <c r="I629" s="217">
        <f>SUM(C629:H629)</f>
        <v>709269.53192895092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305596</v>
      </c>
      <c r="D630" s="217">
        <f>(D615/D612)*BA90</f>
        <v>35899.713938739711</v>
      </c>
      <c r="E630" s="219">
        <f>(E623/E612)*SUM(C630:D630)</f>
        <v>29195.017843722871</v>
      </c>
      <c r="F630" s="219">
        <f>(F624/F612)*BA64</f>
        <v>851.93865021319118</v>
      </c>
      <c r="G630" s="217">
        <f>(G625/G612)*BA91</f>
        <v>0</v>
      </c>
      <c r="H630" s="219">
        <f>(H628/H612)*BA60</f>
        <v>5620.4733794777294</v>
      </c>
      <c r="I630" s="217">
        <f>(I629/I612)*BA92</f>
        <v>16243.43837183695</v>
      </c>
      <c r="J630" s="217">
        <f>SUM(C630:I630)</f>
        <v>393406.58218399051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338817</v>
      </c>
      <c r="D632" s="217">
        <f>(D615/D612)*BB90</f>
        <v>47669.691580083658</v>
      </c>
      <c r="E632" s="219">
        <f>(E623/E612)*SUM(C632:D632)</f>
        <v>33041.368885426433</v>
      </c>
      <c r="F632" s="219">
        <f>(F624/F612)*BB64</f>
        <v>218.63588305503424</v>
      </c>
      <c r="G632" s="217">
        <f>(G625/G612)*BB91</f>
        <v>0</v>
      </c>
      <c r="H632" s="219">
        <f>(H628/H612)*BB60</f>
        <v>24181.106400078606</v>
      </c>
      <c r="I632" s="217">
        <f>(I629/I612)*BB92</f>
        <v>21562.44841803041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677568</v>
      </c>
      <c r="D635" s="217">
        <f>(D615/D612)*BK90</f>
        <v>35925.356591553093</v>
      </c>
      <c r="E635" s="219">
        <f>(E623/E612)*SUM(C635:D635)</f>
        <v>60997.694632281251</v>
      </c>
      <c r="F635" s="219">
        <f>(F624/F612)*BK64</f>
        <v>296.33444509510292</v>
      </c>
      <c r="G635" s="217">
        <f>(G625/G612)*BK91</f>
        <v>0</v>
      </c>
      <c r="H635" s="219">
        <f>(H628/H612)*BK60</f>
        <v>35879.533550386899</v>
      </c>
      <c r="I635" s="217">
        <f>(I629/I612)*BK92</f>
        <v>16243.43837183695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1434493</v>
      </c>
      <c r="D636" s="217">
        <f>(D615/D612)*BH90</f>
        <v>19283.274915665901</v>
      </c>
      <c r="E636" s="219">
        <f>(E623/E612)*SUM(C636:D636)</f>
        <v>124285.67198520566</v>
      </c>
      <c r="F636" s="219">
        <f>(F624/F612)*BH64</f>
        <v>1734.6272613751021</v>
      </c>
      <c r="G636" s="217">
        <f>(G625/G612)*BH91</f>
        <v>0</v>
      </c>
      <c r="H636" s="219">
        <f>(H628/H612)*BH60</f>
        <v>18691.34170384454</v>
      </c>
      <c r="I636" s="217">
        <f>(I629/I612)*BH92</f>
        <v>8714.9933833785144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375536</v>
      </c>
      <c r="D637" s="217">
        <f>(D615/D612)*BL90</f>
        <v>100673.0549453515</v>
      </c>
      <c r="E637" s="219">
        <f>(E623/E612)*SUM(C637:D637)</f>
        <v>40711.878038287658</v>
      </c>
      <c r="F637" s="219">
        <f>(F624/F612)*BL64</f>
        <v>416.31420343966124</v>
      </c>
      <c r="G637" s="217">
        <f>(G625/G612)*BL91</f>
        <v>0</v>
      </c>
      <c r="H637" s="219">
        <f>(H628/H612)*BL60</f>
        <v>26011.027965489957</v>
      </c>
      <c r="I637" s="217">
        <f>(I629/I612)*BL92</f>
        <v>45579.824549688572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231882</v>
      </c>
      <c r="D642" s="217">
        <f>(D615/D612)*BV90</f>
        <v>36130.497814060182</v>
      </c>
      <c r="E642" s="219">
        <f>(E623/E612)*SUM(C642:D642)</f>
        <v>22912.819507380023</v>
      </c>
      <c r="F642" s="219">
        <f>(F624/F612)*BV64</f>
        <v>77.881597521906301</v>
      </c>
      <c r="G642" s="217">
        <f>(G625/G612)*BV91</f>
        <v>0</v>
      </c>
      <c r="H642" s="219">
        <f>(H628/H612)*BV60</f>
        <v>21632.287076827077</v>
      </c>
      <c r="I642" s="217">
        <f>(I629/I612)*BV92</f>
        <v>16366.184757518336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3151</v>
      </c>
      <c r="D643" s="217">
        <f>(D615/D612)*BW90</f>
        <v>0</v>
      </c>
      <c r="E643" s="219">
        <f>(E623/E612)*SUM(C643:D643)</f>
        <v>269.38405804435166</v>
      </c>
      <c r="F643" s="219">
        <f>(F624/F612)*BW64</f>
        <v>29.285677094018819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3820982.9581980002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794303</v>
      </c>
      <c r="D645" s="217">
        <f>(D615/D612)*BY90</f>
        <v>18924.277776278504</v>
      </c>
      <c r="E645" s="219">
        <f>(E623/E612)*SUM(C645:D645)</f>
        <v>69524.107965641102</v>
      </c>
      <c r="F645" s="219">
        <f>(F624/F612)*BY64</f>
        <v>1816.1695685337609</v>
      </c>
      <c r="G645" s="217">
        <f>(G625/G612)*BY91</f>
        <v>0</v>
      </c>
      <c r="H645" s="219">
        <f>(H628/H612)*BY60</f>
        <v>27775.595189279476</v>
      </c>
      <c r="I645" s="217">
        <f>(I629/I612)*BY92</f>
        <v>9737.8799307234112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922081.03043045639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10173326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339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24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340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342580</v>
      </c>
      <c r="D670" s="217">
        <f>(D615/D612)*E90</f>
        <v>36797.206787208204</v>
      </c>
      <c r="E670" s="219">
        <f>(E623/E612)*SUM(C670:D670)</f>
        <v>32433.567595642427</v>
      </c>
      <c r="F670" s="219">
        <f>(F624/F612)*E64</f>
        <v>999.19069535155461</v>
      </c>
      <c r="G670" s="217">
        <f>(G625/G612)*E91</f>
        <v>29734.759479677894</v>
      </c>
      <c r="H670" s="219">
        <f>(H628/H612)*E60</f>
        <v>12548.033591392141</v>
      </c>
      <c r="I670" s="217">
        <f>(I629/I612)*E92</f>
        <v>16652.592990774909</v>
      </c>
      <c r="J670" s="217">
        <f>(J630/J612)*E93</f>
        <v>17617.550021277279</v>
      </c>
      <c r="K670" s="217">
        <f>(K644/K612)*E89</f>
        <v>43557.460602275569</v>
      </c>
      <c r="L670" s="217">
        <f>(L647/L612)*E94</f>
        <v>38545.516621521361</v>
      </c>
      <c r="M670" s="202">
        <f t="shared" si="24"/>
        <v>228886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24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345</v>
      </c>
      <c r="C676" s="217">
        <f>K85</f>
        <v>1200964</v>
      </c>
      <c r="D676" s="217">
        <f>(D615/D612)*K90</f>
        <v>119417.8341519363</v>
      </c>
      <c r="E676" s="219">
        <f>(E623/E612)*SUM(C676:D676)</f>
        <v>112881.56669371396</v>
      </c>
      <c r="F676" s="219">
        <f>(F624/F612)*K64</f>
        <v>2225.8029768863489</v>
      </c>
      <c r="G676" s="217">
        <f>(G625/G612)*K91</f>
        <v>212495.63662598838</v>
      </c>
      <c r="H676" s="219">
        <f>(H628/H612)*K60</f>
        <v>71170.878026177306</v>
      </c>
      <c r="I676" s="217">
        <f>(I629/I612)*K92</f>
        <v>52821.861304890437</v>
      </c>
      <c r="J676" s="217">
        <f>(J630/J612)*K93</f>
        <v>49111.708271339099</v>
      </c>
      <c r="K676" s="217">
        <f>(K644/K612)*K89</f>
        <v>189720.94112244109</v>
      </c>
      <c r="L676" s="217">
        <f>(L647/L612)*K94</f>
        <v>218625.35208769151</v>
      </c>
      <c r="M676" s="202">
        <f t="shared" si="24"/>
        <v>1028472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346</v>
      </c>
      <c r="C677" s="217">
        <f>L85</f>
        <v>2914896</v>
      </c>
      <c r="D677" s="217">
        <f>(D615/D612)*L90</f>
        <v>313148.07615706383</v>
      </c>
      <c r="E677" s="219">
        <f>(E623/E612)*SUM(C677:D677)</f>
        <v>275970.68003212311</v>
      </c>
      <c r="F677" s="219">
        <f>(F624/F612)*L64</f>
        <v>8502.1811668391765</v>
      </c>
      <c r="G677" s="217">
        <f>(G625/G612)*L91</f>
        <v>253038.0485364717</v>
      </c>
      <c r="H677" s="219">
        <f>(H628/H612)*L60</f>
        <v>106527.57684358953</v>
      </c>
      <c r="I677" s="217">
        <f>(I629/I612)*L92</f>
        <v>141731.16000010879</v>
      </c>
      <c r="J677" s="217">
        <f>(J630/J612)*L93</f>
        <v>149877.4041841763</v>
      </c>
      <c r="K677" s="217">
        <f>(K644/K612)*L89</f>
        <v>176490.48185376011</v>
      </c>
      <c r="L677" s="217">
        <f>(L647/L612)*L94</f>
        <v>327235.37548479077</v>
      </c>
      <c r="M677" s="202">
        <f t="shared" si="24"/>
        <v>1752521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1109043</v>
      </c>
      <c r="D679" s="217">
        <f>(D615/D612)*N90</f>
        <v>315173.84572932124</v>
      </c>
      <c r="E679" s="219">
        <f>(E623/E612)*SUM(C679:D679)</f>
        <v>121758.58884090475</v>
      </c>
      <c r="F679" s="219">
        <f>(F624/F612)*N64</f>
        <v>1422.2772116192077</v>
      </c>
      <c r="G679" s="217">
        <f>(G625/G612)*N91</f>
        <v>449294.77592632605</v>
      </c>
      <c r="H679" s="219">
        <f>(H628/H612)*N60</f>
        <v>56858.277210995635</v>
      </c>
      <c r="I679" s="217">
        <f>(I629/I612)*N92</f>
        <v>142631.30016177232</v>
      </c>
      <c r="J679" s="217">
        <f>(J630/J612)*N93</f>
        <v>35798.19262234855</v>
      </c>
      <c r="K679" s="217">
        <f>(K644/K612)*N89</f>
        <v>111377.25229492887</v>
      </c>
      <c r="L679" s="217">
        <f>(L647/L612)*N94</f>
        <v>174458.61429219824</v>
      </c>
      <c r="M679" s="202">
        <f t="shared" si="24"/>
        <v>1408773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24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24"/>
        <v>0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24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4"/>
        <v>0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71094</v>
      </c>
      <c r="D684" s="217">
        <f>(D615/D612)*S90</f>
        <v>81774.419821886375</v>
      </c>
      <c r="E684" s="219">
        <f>(E623/E612)*SUM(C684:D684)</f>
        <v>13068.96708297282</v>
      </c>
      <c r="F684" s="219">
        <f>(F624/F612)*S64</f>
        <v>92.615953809834508</v>
      </c>
      <c r="G684" s="217">
        <f>(G625/G612)*S91</f>
        <v>0</v>
      </c>
      <c r="H684" s="219">
        <f>(H628/H612)*S60</f>
        <v>0</v>
      </c>
      <c r="I684" s="217">
        <f>(I629/I612)*S92</f>
        <v>37028.493013885236</v>
      </c>
      <c r="J684" s="217">
        <f>(J630/J612)*S93</f>
        <v>0</v>
      </c>
      <c r="K684" s="217">
        <f>(K644/K612)*S89</f>
        <v>16776.751214157845</v>
      </c>
      <c r="L684" s="217">
        <f>(L647/L612)*S94</f>
        <v>0</v>
      </c>
      <c r="M684" s="202">
        <f t="shared" si="24"/>
        <v>148741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1864512</v>
      </c>
      <c r="D686" s="217">
        <f>(D615/D612)*U90</f>
        <v>30335.258278235055</v>
      </c>
      <c r="E686" s="219">
        <f>(E623/E612)*SUM(C686:D686)</f>
        <v>161993.5397680751</v>
      </c>
      <c r="F686" s="219">
        <f>(F624/F612)*U64</f>
        <v>60884.282054278694</v>
      </c>
      <c r="G686" s="217">
        <f>(G625/G612)*U91</f>
        <v>0</v>
      </c>
      <c r="H686" s="219">
        <f>(H628/H612)*U60</f>
        <v>45355.913085552842</v>
      </c>
      <c r="I686" s="217">
        <f>(I629/I612)*U92</f>
        <v>13747.595196315404</v>
      </c>
      <c r="J686" s="217">
        <f>(J630/J612)*U93</f>
        <v>0</v>
      </c>
      <c r="K686" s="217">
        <f>(K644/K612)*U89</f>
        <v>515681.90996061859</v>
      </c>
      <c r="L686" s="217">
        <f>(L647/L612)*U94</f>
        <v>0</v>
      </c>
      <c r="M686" s="202">
        <f t="shared" si="24"/>
        <v>827998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21821</v>
      </c>
      <c r="D687" s="217">
        <f>(D615/D612)*V90</f>
        <v>666.70897314802312</v>
      </c>
      <c r="E687" s="219">
        <f>(E623/E612)*SUM(C687:D687)</f>
        <v>1922.5104091739113</v>
      </c>
      <c r="F687" s="219">
        <f>(F624/F612)*V64</f>
        <v>43.836997900109417</v>
      </c>
      <c r="G687" s="217">
        <f>(G625/G612)*V91</f>
        <v>0</v>
      </c>
      <c r="H687" s="219">
        <f>(H628/H612)*V60</f>
        <v>653.54341621834067</v>
      </c>
      <c r="I687" s="217">
        <f>(I629/I612)*V92</f>
        <v>286.4082332565709</v>
      </c>
      <c r="J687" s="217">
        <f>(J630/J612)*V93</f>
        <v>418.13805430246708</v>
      </c>
      <c r="K687" s="217">
        <f>(K644/K612)*V89</f>
        <v>12129.441878586815</v>
      </c>
      <c r="L687" s="217">
        <f>(L647/L612)*V94</f>
        <v>0</v>
      </c>
      <c r="M687" s="202">
        <f t="shared" si="24"/>
        <v>16121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459012</v>
      </c>
      <c r="D688" s="217">
        <f>(D615/D612)*W90</f>
        <v>6923.5162596140872</v>
      </c>
      <c r="E688" s="219">
        <f>(E623/E612)*SUM(C688:D688)</f>
        <v>39833.576692162751</v>
      </c>
      <c r="F688" s="219">
        <f>(F624/F612)*W64</f>
        <v>453.37888851177883</v>
      </c>
      <c r="G688" s="217">
        <f>(G625/G612)*W91</f>
        <v>0</v>
      </c>
      <c r="H688" s="219">
        <f>(H628/H612)*W60</f>
        <v>6339.371137317904</v>
      </c>
      <c r="I688" s="217">
        <f>(I629/I612)*W92</f>
        <v>3109.5751039284842</v>
      </c>
      <c r="J688" s="217">
        <f>(J630/J612)*W93</f>
        <v>4348.635764745658</v>
      </c>
      <c r="K688" s="217">
        <f>(K644/K612)*W89</f>
        <v>125575.60105673433</v>
      </c>
      <c r="L688" s="217">
        <f>(L647/L612)*W94</f>
        <v>0</v>
      </c>
      <c r="M688" s="202">
        <f t="shared" si="24"/>
        <v>186584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788071</v>
      </c>
      <c r="D689" s="217">
        <f>(D615/D612)*X90</f>
        <v>21744.96958575091</v>
      </c>
      <c r="E689" s="219">
        <f>(E623/E612)*SUM(C689:D689)</f>
        <v>69232.46974171084</v>
      </c>
      <c r="F689" s="219">
        <f>(F624/F612)*X64</f>
        <v>1426.6700631833105</v>
      </c>
      <c r="G689" s="217">
        <f>(G625/G612)*X91</f>
        <v>0</v>
      </c>
      <c r="H689" s="219">
        <f>(H628/H612)*X60</f>
        <v>19998.428536281222</v>
      </c>
      <c r="I689" s="217">
        <f>(I629/I612)*X92</f>
        <v>9860.6263164047978</v>
      </c>
      <c r="J689" s="217">
        <f>(J630/J612)*X93</f>
        <v>13675.901962719357</v>
      </c>
      <c r="K689" s="217">
        <f>(K644/K612)*X89</f>
        <v>395127.65389209893</v>
      </c>
      <c r="L689" s="217">
        <f>(L647/L612)*X94</f>
        <v>0</v>
      </c>
      <c r="M689" s="202">
        <f t="shared" si="24"/>
        <v>531067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967206</v>
      </c>
      <c r="D690" s="217">
        <f>(D615/D612)*Y90</f>
        <v>19385.845526919442</v>
      </c>
      <c r="E690" s="219">
        <f>(E623/E612)*SUM(C690:D690)</f>
        <v>84345.323700891051</v>
      </c>
      <c r="F690" s="219">
        <f>(F624/F612)*Y64</f>
        <v>1272.5541874760365</v>
      </c>
      <c r="G690" s="217">
        <f>(G625/G612)*Y91</f>
        <v>0</v>
      </c>
      <c r="H690" s="219">
        <f>(H628/H612)*Y60</f>
        <v>17841.7352627607</v>
      </c>
      <c r="I690" s="217">
        <f>(I629/I612)*Y92</f>
        <v>8796.8243071661054</v>
      </c>
      <c r="J690" s="217">
        <f>(J630/J612)*Y93</f>
        <v>12198.480837517307</v>
      </c>
      <c r="K690" s="217">
        <f>(K644/K612)*Y89</f>
        <v>352457.98298202932</v>
      </c>
      <c r="L690" s="217">
        <f>(L647/L612)*Y94</f>
        <v>0</v>
      </c>
      <c r="M690" s="202">
        <f t="shared" si="24"/>
        <v>496299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594305</v>
      </c>
      <c r="D693" s="217">
        <f>(D615/D612)*AB90</f>
        <v>9513.4241937660227</v>
      </c>
      <c r="E693" s="219">
        <f>(E623/E612)*SUM(C693:D693)</f>
        <v>51621.408261270197</v>
      </c>
      <c r="F693" s="219">
        <f>(F624/F612)*AB64</f>
        <v>26370.562492532001</v>
      </c>
      <c r="G693" s="217">
        <f>(G625/G612)*AB91</f>
        <v>0</v>
      </c>
      <c r="H693" s="219">
        <f>(H628/H612)*AB60</f>
        <v>3202.3627394698692</v>
      </c>
      <c r="I693" s="217">
        <f>(I629/I612)*AB92</f>
        <v>4296.1234988485639</v>
      </c>
      <c r="J693" s="217">
        <f>(J630/J612)*AB93</f>
        <v>0</v>
      </c>
      <c r="K693" s="217">
        <f>(K644/K612)*AB89</f>
        <v>131928.93475971711</v>
      </c>
      <c r="L693" s="217">
        <f>(L647/L612)*AB94</f>
        <v>0</v>
      </c>
      <c r="M693" s="202">
        <f t="shared" si="24"/>
        <v>226933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24"/>
        <v>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1089041</v>
      </c>
      <c r="D696" s="217">
        <f>(D615/D612)*AE90</f>
        <v>73825.197449736879</v>
      </c>
      <c r="E696" s="219">
        <f>(E623/E612)*SUM(C696:D696)</f>
        <v>99415.301565095011</v>
      </c>
      <c r="F696" s="219">
        <f>(F624/F612)*AE64</f>
        <v>740.01245306948806</v>
      </c>
      <c r="G696" s="217">
        <f>(G625/G612)*AE91</f>
        <v>0</v>
      </c>
      <c r="H696" s="219">
        <f>(H628/H612)*AE60</f>
        <v>0</v>
      </c>
      <c r="I696" s="217">
        <f>(I629/I612)*AE92</f>
        <v>33427.932367231202</v>
      </c>
      <c r="J696" s="217">
        <f>(J630/J612)*AE93</f>
        <v>17361.092014638434</v>
      </c>
      <c r="K696" s="217">
        <f>(K644/K612)*AE89</f>
        <v>207625.47725510132</v>
      </c>
      <c r="L696" s="217">
        <f>(L647/L612)*AE94</f>
        <v>0</v>
      </c>
      <c r="M696" s="202">
        <f t="shared" si="24"/>
        <v>432395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2818708</v>
      </c>
      <c r="D698" s="217">
        <f>(D615/D612)*AG90</f>
        <v>74466.263770071513</v>
      </c>
      <c r="E698" s="219">
        <f>(E623/E612)*SUM(C698:D698)</f>
        <v>247342.12116910861</v>
      </c>
      <c r="F698" s="219">
        <f>(F624/F612)*AG64</f>
        <v>8767.7656509855588</v>
      </c>
      <c r="G698" s="217">
        <f>(G625/G612)*AG91</f>
        <v>877.77887762886769</v>
      </c>
      <c r="H698" s="219">
        <f>(H628/H612)*AG60</f>
        <v>58557.490093163324</v>
      </c>
      <c r="I698" s="217">
        <f>(I629/I612)*AG92</f>
        <v>33714.340600487776</v>
      </c>
      <c r="J698" s="217">
        <f>(J630/J612)*AG93</f>
        <v>84803.972586597694</v>
      </c>
      <c r="K698" s="217">
        <f>(K644/K612)*AG89</f>
        <v>1034187.8955604575</v>
      </c>
      <c r="L698" s="217">
        <f>(L647/L612)*AG94</f>
        <v>98371.370544507663</v>
      </c>
      <c r="M698" s="202">
        <f t="shared" si="24"/>
        <v>1641089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2917249</v>
      </c>
      <c r="D701" s="217">
        <f>(D615/D612)*AJ90</f>
        <v>142137.22454459587</v>
      </c>
      <c r="E701" s="219">
        <f>(E623/E612)*SUM(C701:D701)</f>
        <v>261551.8490297719</v>
      </c>
      <c r="F701" s="219">
        <f>(F624/F612)*AJ64</f>
        <v>17719.298925736086</v>
      </c>
      <c r="G701" s="217">
        <f>(G625/G612)*AJ91</f>
        <v>0</v>
      </c>
      <c r="H701" s="219">
        <f>(H628/H612)*AJ60</f>
        <v>103782.6944954725</v>
      </c>
      <c r="I701" s="217">
        <f>(I629/I612)*AJ92</f>
        <v>64319.106097047064</v>
      </c>
      <c r="J701" s="217">
        <f>(J630/J612)*AJ93</f>
        <v>4315.1847204014603</v>
      </c>
      <c r="K701" s="217">
        <f>(K644/K612)*AJ89</f>
        <v>432463.18502175936</v>
      </c>
      <c r="L701" s="217">
        <f>(L647/L612)*AJ94</f>
        <v>56412.96963878908</v>
      </c>
      <c r="M701" s="202">
        <f t="shared" si="24"/>
        <v>1082702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157007</v>
      </c>
      <c r="D702" s="217">
        <f>(D615/D612)*AK90</f>
        <v>16924.150856834432</v>
      </c>
      <c r="E702" s="219">
        <f>(E623/E612)*SUM(C702:D702)</f>
        <v>14869.653836286376</v>
      </c>
      <c r="F702" s="219">
        <f>(F624/F612)*AK64</f>
        <v>79.528916858444859</v>
      </c>
      <c r="G702" s="217">
        <f>(G625/G612)*AK91</f>
        <v>0</v>
      </c>
      <c r="H702" s="219">
        <f>(H628/H612)*AK60</f>
        <v>0</v>
      </c>
      <c r="I702" s="217">
        <f>(I629/I612)*AK92</f>
        <v>7651.191374139823</v>
      </c>
      <c r="J702" s="217">
        <f>(J630/J612)*AK93</f>
        <v>0</v>
      </c>
      <c r="K702" s="217">
        <f>(K644/K612)*AK89</f>
        <v>32632.151933446399</v>
      </c>
      <c r="L702" s="217">
        <f>(L647/L612)*AK94</f>
        <v>0</v>
      </c>
      <c r="M702" s="202">
        <f t="shared" si="24"/>
        <v>72157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56661</v>
      </c>
      <c r="D703" s="217">
        <f>(D615/D612)*AL90</f>
        <v>2307.8387532046954</v>
      </c>
      <c r="E703" s="219">
        <f>(E623/E612)*SUM(C703:D703)</f>
        <v>5041.3408700416712</v>
      </c>
      <c r="F703" s="219">
        <f>(F624/F612)*AL64</f>
        <v>153.47525152084236</v>
      </c>
      <c r="G703" s="217">
        <f>(G625/G612)*AL91</f>
        <v>0</v>
      </c>
      <c r="H703" s="219">
        <f>(H628/H612)*AL60</f>
        <v>0</v>
      </c>
      <c r="I703" s="217">
        <f>(I629/I612)*AL92</f>
        <v>1063.8020092386919</v>
      </c>
      <c r="J703" s="217">
        <f>(J630/J612)*AL93</f>
        <v>0</v>
      </c>
      <c r="K703" s="217">
        <f>(K644/K612)*AL89</f>
        <v>16213.010843136248</v>
      </c>
      <c r="L703" s="217">
        <f>(L647/L612)*AL94</f>
        <v>0</v>
      </c>
      <c r="M703" s="202">
        <f t="shared" si="24"/>
        <v>24779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75482</v>
      </c>
      <c r="D706" s="217">
        <f>(D615/D612)*AO90</f>
        <v>8103.0782890298196</v>
      </c>
      <c r="E706" s="219">
        <f>(E623/E612)*SUM(C706:D706)</f>
        <v>7145.8227805311599</v>
      </c>
      <c r="F706" s="219">
        <f>(F624/F612)*AO64</f>
        <v>220.28320239157279</v>
      </c>
      <c r="G706" s="217">
        <f>(G625/G612)*AO91</f>
        <v>6565.0545222659066</v>
      </c>
      <c r="H706" s="219">
        <f>(H628/H612)*AO60</f>
        <v>2744.8823481170307</v>
      </c>
      <c r="I706" s="217">
        <f>(I629/I612)*AO92</f>
        <v>3682.3915704416258</v>
      </c>
      <c r="J706" s="217">
        <f>(J630/J612)*AO93</f>
        <v>3880.3211439268944</v>
      </c>
      <c r="K706" s="217">
        <f>(K644/K612)*AO89</f>
        <v>27036.825966750919</v>
      </c>
      <c r="L706" s="217">
        <f>(L647/L612)*AO94</f>
        <v>8431.8317609577989</v>
      </c>
      <c r="M706" s="202">
        <f t="shared" si="24"/>
        <v>67810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24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27620978</v>
      </c>
      <c r="D715" s="202">
        <f>SUM(D616:D647)+SUM(D668:D713)</f>
        <v>1900377</v>
      </c>
      <c r="E715" s="202">
        <f>SUM(E624:E647)+SUM(E668:E713)</f>
        <v>2175384.6978950216</v>
      </c>
      <c r="F715" s="202">
        <f>SUM(F625:F648)+SUM(F668:F713)</f>
        <v>166591.48263158515</v>
      </c>
      <c r="G715" s="202">
        <f>SUM(G626:G647)+SUM(G668:G713)</f>
        <v>1171688.5051549335</v>
      </c>
      <c r="H715" s="202">
        <f>SUM(H629:H647)+SUM(H668:H713)</f>
        <v>736282.01271158259</v>
      </c>
      <c r="I715" s="202">
        <f>SUM(I630:I647)+SUM(I668:I713)</f>
        <v>709269.53192895104</v>
      </c>
      <c r="J715" s="202">
        <f>SUM(J631:J647)+SUM(J668:J713)</f>
        <v>393406.58218399039</v>
      </c>
      <c r="K715" s="202">
        <f>SUM(K668:K713)</f>
        <v>3820982.9581980007</v>
      </c>
      <c r="L715" s="202">
        <f>SUM(L668:L713)</f>
        <v>922081.03043045639</v>
      </c>
      <c r="M715" s="202">
        <f>SUM(M668:M713)</f>
        <v>10173327</v>
      </c>
      <c r="N715" s="211" t="s">
        <v>694</v>
      </c>
    </row>
    <row r="716" spans="1:14" s="202" customFormat="1" ht="12.6" customHeight="1" x14ac:dyDescent="0.2">
      <c r="C716" s="214">
        <f>CE85</f>
        <v>27620978</v>
      </c>
      <c r="D716" s="202">
        <f>D615</f>
        <v>1900377</v>
      </c>
      <c r="E716" s="202">
        <f>E623</f>
        <v>2175384.6978950212</v>
      </c>
      <c r="F716" s="202">
        <f>F624</f>
        <v>166591.48263158512</v>
      </c>
      <c r="G716" s="202">
        <f>G625</f>
        <v>1171688.5051549335</v>
      </c>
      <c r="H716" s="202">
        <f>H628</f>
        <v>736282.01271158259</v>
      </c>
      <c r="I716" s="202">
        <f>I629</f>
        <v>709269.53192895092</v>
      </c>
      <c r="J716" s="202">
        <f>J630</f>
        <v>393406.58218399051</v>
      </c>
      <c r="K716" s="202">
        <f>K644</f>
        <v>3820982.9581980002</v>
      </c>
      <c r="L716" s="202">
        <f>L647</f>
        <v>922081.03043045639</v>
      </c>
      <c r="M716" s="202">
        <f>C648</f>
        <v>10173326</v>
      </c>
      <c r="N716" s="211" t="s">
        <v>695</v>
      </c>
    </row>
  </sheetData>
  <sheetProtection algorithmName="SHA-512" hashValue="hY2fawQKdArS+9px4IzVdSWW1S2iwzjVmS10TutnI2mcK+cq3ZDd3uLbCspjDLVXHx2Ty9Gi1lZhqMXov2v1tg==" saltValue="tttA6ZSpf2+PngydO1w07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M16" sqref="M16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696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697</v>
      </c>
      <c r="G3" s="10"/>
      <c r="J3" s="99"/>
    </row>
    <row r="4" spans="2:10" x14ac:dyDescent="0.25">
      <c r="B4" s="98"/>
      <c r="F4" s="10" t="s">
        <v>698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699</v>
      </c>
      <c r="G8" s="10"/>
      <c r="J8" s="99"/>
    </row>
    <row r="9" spans="2:10" x14ac:dyDescent="0.25">
      <c r="B9" s="95"/>
      <c r="C9" s="96"/>
      <c r="D9" s="96"/>
      <c r="E9" s="96"/>
      <c r="F9" s="103" t="s">
        <v>700</v>
      </c>
      <c r="G9" s="103"/>
      <c r="H9" s="96"/>
      <c r="I9" s="96"/>
      <c r="J9" s="97"/>
    </row>
    <row r="10" spans="2:10" x14ac:dyDescent="0.25">
      <c r="B10" s="98"/>
      <c r="F10" s="10" t="s">
        <v>701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702</v>
      </c>
      <c r="G12" s="10"/>
      <c r="J12" s="99"/>
    </row>
    <row r="13" spans="2:10" x14ac:dyDescent="0.25">
      <c r="B13" s="98"/>
      <c r="F13" s="10" t="s">
        <v>703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704</v>
      </c>
      <c r="J16" s="99"/>
    </row>
    <row r="17" spans="2:10" x14ac:dyDescent="0.25">
      <c r="B17" s="95"/>
      <c r="C17" s="104" t="s">
        <v>705</v>
      </c>
      <c r="D17" s="104"/>
      <c r="E17" s="96" t="str">
        <f>+data!C98</f>
        <v>Columbia Basin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706</v>
      </c>
      <c r="D18" s="53"/>
      <c r="E18" s="11" t="str">
        <f>+"H-"&amp;data!C97</f>
        <v>H-045</v>
      </c>
      <c r="F18" s="10"/>
      <c r="G18" s="10"/>
      <c r="J18" s="99"/>
    </row>
    <row r="19" spans="2:10" x14ac:dyDescent="0.25">
      <c r="B19" s="98"/>
      <c r="C19" s="53" t="s">
        <v>707</v>
      </c>
      <c r="D19" s="53"/>
      <c r="E19" s="11" t="str">
        <f>+data!C99</f>
        <v>200 Nat Washington Way</v>
      </c>
      <c r="F19" s="10"/>
      <c r="G19" s="10"/>
      <c r="J19" s="99"/>
    </row>
    <row r="20" spans="2:10" x14ac:dyDescent="0.25">
      <c r="B20" s="98"/>
      <c r="C20" s="53" t="s">
        <v>708</v>
      </c>
      <c r="D20" s="53"/>
      <c r="E20" s="11" t="str">
        <f>+data!C99</f>
        <v>200 Nat Washington Way</v>
      </c>
      <c r="F20" s="10"/>
      <c r="G20" s="10"/>
      <c r="J20" s="99"/>
    </row>
    <row r="21" spans="2:10" x14ac:dyDescent="0.25">
      <c r="B21" s="98"/>
      <c r="C21" s="53" t="s">
        <v>709</v>
      </c>
      <c r="D21" s="53"/>
      <c r="E21" s="11" t="str">
        <f>CONCATENATE(+data!C100,", ",+data!C101,", ",+data!C102)</f>
        <v>Ephrata, Washington ,  98823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710</v>
      </c>
      <c r="G26" s="106"/>
      <c r="H26" s="106"/>
      <c r="I26" s="106"/>
      <c r="J26" s="108"/>
    </row>
    <row r="27" spans="2:10" x14ac:dyDescent="0.25">
      <c r="B27" s="109" t="s">
        <v>711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712</v>
      </c>
      <c r="J29" s="99"/>
    </row>
    <row r="30" spans="2:10" x14ac:dyDescent="0.25">
      <c r="B30" s="112" t="s">
        <v>713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714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715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716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717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715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716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Zs94yyJvFH9nQzuvJDTGcEDgMOQpetxnNiv5EwlPXlwLUU5apZFD/fqVGuCco9ahhnn8MQyF7DVH3CKngkWsPw==" saltValue="U9FavtcXWdF+KhUEFn3LZ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37" zoomScale="85" zoomScaleNormal="85" workbookViewId="0">
      <selection activeCell="I50" sqref="I50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718</v>
      </c>
    </row>
    <row r="3" spans="1:13" x14ac:dyDescent="0.25">
      <c r="A3" s="54"/>
    </row>
    <row r="4" spans="1:13" x14ac:dyDescent="0.25">
      <c r="A4" s="149" t="s">
        <v>719</v>
      </c>
    </row>
    <row r="5" spans="1:13" x14ac:dyDescent="0.25">
      <c r="A5" s="149" t="s">
        <v>720</v>
      </c>
    </row>
    <row r="6" spans="1:13" x14ac:dyDescent="0.25">
      <c r="A6" s="149" t="s">
        <v>721</v>
      </c>
    </row>
    <row r="7" spans="1:13" x14ac:dyDescent="0.25">
      <c r="A7" s="149"/>
    </row>
    <row r="8" spans="1:13" x14ac:dyDescent="0.25">
      <c r="A8" s="2" t="s">
        <v>722</v>
      </c>
    </row>
    <row r="9" spans="1:13" x14ac:dyDescent="0.25">
      <c r="A9" s="149" t="s">
        <v>26</v>
      </c>
    </row>
    <row r="12" spans="1:13" x14ac:dyDescent="0.25">
      <c r="A12" s="1" t="str">
        <f>data!C97</f>
        <v>045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723</v>
      </c>
      <c r="C13" s="228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25">
      <c r="A14" s="1" t="s">
        <v>727</v>
      </c>
      <c r="B14" s="228" t="s">
        <v>361</v>
      </c>
      <c r="C14" s="228" t="s">
        <v>361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55" t="s">
        <v>732</v>
      </c>
    </row>
    <row r="15" spans="1:13" x14ac:dyDescent="0.25">
      <c r="A15" s="1" t="s">
        <v>733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734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735</v>
      </c>
      <c r="B17" s="228">
        <f>ROUND(N('Prior Year'!E85), 0)</f>
        <v>350091</v>
      </c>
      <c r="C17" s="228">
        <f>data!E85</f>
        <v>342580</v>
      </c>
      <c r="D17" s="228">
        <f>ROUND(N('Prior Year'!E59), 0)</f>
        <v>543</v>
      </c>
      <c r="E17" s="1">
        <f>data!E59</f>
        <v>531</v>
      </c>
      <c r="F17" s="205">
        <f t="shared" si="0"/>
        <v>644.73480662983422</v>
      </c>
      <c r="G17" s="205">
        <f t="shared" si="1"/>
        <v>645.16007532956689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736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737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738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739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740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741</v>
      </c>
      <c r="B23" s="228">
        <f>ROUND(N('Prior Year'!K85), 0)</f>
        <v>1214273</v>
      </c>
      <c r="C23" s="228">
        <f>data!K85</f>
        <v>1200964</v>
      </c>
      <c r="D23" s="228">
        <f>ROUND(N('Prior Year'!K59), 0)</f>
        <v>4068</v>
      </c>
      <c r="E23" s="1">
        <f>data!K59</f>
        <v>3936</v>
      </c>
      <c r="F23" s="205">
        <f t="shared" si="0"/>
        <v>298.49385447394297</v>
      </c>
      <c r="G23" s="205">
        <f t="shared" si="1"/>
        <v>305.1229674796748</v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742</v>
      </c>
      <c r="B24" s="228">
        <f>ROUND(N('Prior Year'!L85), 0)</f>
        <v>2824726</v>
      </c>
      <c r="C24" s="228">
        <f>data!L85</f>
        <v>2914896</v>
      </c>
      <c r="D24" s="228">
        <f>ROUND(N('Prior Year'!L59), 0)</f>
        <v>4381</v>
      </c>
      <c r="E24" s="1">
        <f>data!L59</f>
        <v>4737</v>
      </c>
      <c r="F24" s="205">
        <f t="shared" si="0"/>
        <v>644.7674047021228</v>
      </c>
      <c r="G24" s="205">
        <f t="shared" si="1"/>
        <v>615.34642178594049</v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743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744</v>
      </c>
      <c r="B26" s="1">
        <f>ROUND(N('Prior Year'!N85), 0)</f>
        <v>1119764</v>
      </c>
      <c r="C26" s="228">
        <f>data!N85</f>
        <v>1109043</v>
      </c>
      <c r="D26" s="228">
        <f>ROUND(N('Prior Year'!N59), 0)</f>
        <v>9666</v>
      </c>
      <c r="E26" s="1">
        <f>data!N59</f>
        <v>9228</v>
      </c>
      <c r="F26" s="205">
        <f t="shared" si="0"/>
        <v>115.84564452720878</v>
      </c>
      <c r="G26" s="205">
        <f t="shared" si="1"/>
        <v>120.18237971391417</v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745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746</v>
      </c>
      <c r="B28" s="228">
        <f>ROUND(N('Prior Year'!P85), 0)</f>
        <v>0</v>
      </c>
      <c r="C28" s="228">
        <f>data!P85</f>
        <v>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747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748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749</v>
      </c>
      <c r="B31" s="228">
        <f>ROUND(N('Prior Year'!S85), 0)</f>
        <v>73378</v>
      </c>
      <c r="C31" s="228">
        <f>data!S85</f>
        <v>71094</v>
      </c>
      <c r="D31" s="228" t="s">
        <v>750</v>
      </c>
      <c r="E31" s="4" t="s">
        <v>750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751</v>
      </c>
      <c r="B32" s="228">
        <f>ROUND(N('Prior Year'!T85), 0)</f>
        <v>0</v>
      </c>
      <c r="C32" s="228">
        <f>data!T85</f>
        <v>0</v>
      </c>
      <c r="D32" s="228" t="s">
        <v>750</v>
      </c>
      <c r="E32" s="4" t="s">
        <v>750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752</v>
      </c>
      <c r="B33" s="228">
        <f>ROUND(N('Prior Year'!U85), 0)</f>
        <v>1743447</v>
      </c>
      <c r="C33" s="228">
        <f>data!U85</f>
        <v>1864512</v>
      </c>
      <c r="D33" s="228">
        <f>ROUND(N('Prior Year'!U59), 0)</f>
        <v>119133</v>
      </c>
      <c r="E33" s="1">
        <f>data!U59</f>
        <v>123885</v>
      </c>
      <c r="F33" s="205">
        <f t="shared" si="0"/>
        <v>14.634458966029564</v>
      </c>
      <c r="G33" s="205">
        <f t="shared" ref="G33:G69" si="4">IF(C33=0,"",IF(E33=0,"",C33/E33))</f>
        <v>15.050345078096623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753</v>
      </c>
      <c r="B34" s="228">
        <f>ROUND(N('Prior Year'!V85), 0)</f>
        <v>21405</v>
      </c>
      <c r="C34" s="228">
        <f>data!V85</f>
        <v>21821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754</v>
      </c>
      <c r="B35" s="228">
        <f>ROUND(N('Prior Year'!W85), 0)</f>
        <v>361873</v>
      </c>
      <c r="C35" s="228">
        <f>data!W85</f>
        <v>459012</v>
      </c>
      <c r="D35" s="228">
        <f>ROUND(N('Prior Year'!W59), 0)</f>
        <v>263</v>
      </c>
      <c r="E35" s="1">
        <f>data!W59</f>
        <v>406</v>
      </c>
      <c r="F35" s="205">
        <f t="shared" si="0"/>
        <v>1375.9429657794676</v>
      </c>
      <c r="G35" s="205">
        <f t="shared" si="4"/>
        <v>1130.5714285714287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755</v>
      </c>
      <c r="B36" s="228">
        <f>ROUND(N('Prior Year'!X85), 0)</f>
        <v>613135</v>
      </c>
      <c r="C36" s="228">
        <f>data!X85</f>
        <v>788071</v>
      </c>
      <c r="D36" s="228">
        <f>ROUND(N('Prior Year'!X59), 0)</f>
        <v>1500</v>
      </c>
      <c r="E36" s="1">
        <f>data!X59</f>
        <v>2119</v>
      </c>
      <c r="F36" s="205">
        <f t="shared" si="0"/>
        <v>408.75666666666666</v>
      </c>
      <c r="G36" s="205">
        <f t="shared" si="4"/>
        <v>371.90703161868805</v>
      </c>
      <c r="H36" s="6" t="str">
        <f t="shared" si="5"/>
        <v/>
      </c>
      <c r="I36" s="228" t="str">
        <f t="shared" si="3"/>
        <v/>
      </c>
      <c r="M36" s="7"/>
    </row>
    <row r="37" spans="1:13" ht="54" customHeight="1" x14ac:dyDescent="0.25">
      <c r="A37" s="1" t="s">
        <v>756</v>
      </c>
      <c r="B37" s="228">
        <f>ROUND(N('Prior Year'!Y85), 0)</f>
        <v>738398</v>
      </c>
      <c r="C37" s="228">
        <f>data!Y85</f>
        <v>967206</v>
      </c>
      <c r="D37" s="228">
        <f>ROUND(N('Prior Year'!Y59), 0)</f>
        <v>3865</v>
      </c>
      <c r="E37" s="1">
        <f>data!Y59</f>
        <v>3874</v>
      </c>
      <c r="F37" s="205">
        <f t="shared" si="0"/>
        <v>191.04734799482534</v>
      </c>
      <c r="G37" s="205">
        <f t="shared" si="4"/>
        <v>249.66597831698502</v>
      </c>
      <c r="H37" s="6">
        <f t="shared" si="5"/>
        <v>0.30682776252799604</v>
      </c>
      <c r="I37" s="347" t="s">
        <v>1384</v>
      </c>
      <c r="M37" s="7"/>
    </row>
    <row r="38" spans="1:13" x14ac:dyDescent="0.25">
      <c r="A38" s="1" t="s">
        <v>757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758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759</v>
      </c>
      <c r="B40" s="228">
        <f>ROUND(N('Prior Year'!AB85), 0)</f>
        <v>682043</v>
      </c>
      <c r="C40" s="228">
        <f>data!AB85</f>
        <v>594305</v>
      </c>
      <c r="D40" s="228" t="s">
        <v>750</v>
      </c>
      <c r="E40" s="4" t="s">
        <v>750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760</v>
      </c>
      <c r="B41" s="228">
        <f>ROUND(N('Prior Year'!AC85), 0)</f>
        <v>0</v>
      </c>
      <c r="C41" s="228">
        <f>data!AC85</f>
        <v>0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761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762</v>
      </c>
      <c r="B43" s="228">
        <f>ROUND(N('Prior Year'!AE85), 0)</f>
        <v>954480</v>
      </c>
      <c r="C43" s="228">
        <f>data!AE85</f>
        <v>1089041</v>
      </c>
      <c r="D43" s="228">
        <f>ROUND(N('Prior Year'!AE59), 0)</f>
        <v>18901</v>
      </c>
      <c r="E43" s="1">
        <f>data!AE59</f>
        <v>24321</v>
      </c>
      <c r="F43" s="205">
        <f t="shared" si="0"/>
        <v>50.498915401301517</v>
      </c>
      <c r="G43" s="205">
        <f t="shared" si="4"/>
        <v>44.777805188931374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763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764</v>
      </c>
      <c r="B45" s="228">
        <f>ROUND(N('Prior Year'!AG85), 0)</f>
        <v>2728519</v>
      </c>
      <c r="C45" s="228">
        <f>data!AG85</f>
        <v>2818708</v>
      </c>
      <c r="D45" s="228">
        <f>ROUND(N('Prior Year'!AG59), 0)</f>
        <v>5046</v>
      </c>
      <c r="E45" s="1">
        <f>data!AG59</f>
        <v>4882</v>
      </c>
      <c r="F45" s="205">
        <f t="shared" si="0"/>
        <v>540.7290923503765</v>
      </c>
      <c r="G45" s="205">
        <f t="shared" si="4"/>
        <v>577.36747234739858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765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766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767</v>
      </c>
      <c r="B48" s="228">
        <f>ROUND(N('Prior Year'!AJ85), 0)</f>
        <v>2934409</v>
      </c>
      <c r="C48" s="228">
        <f>data!AJ85</f>
        <v>2917249</v>
      </c>
      <c r="D48" s="228">
        <f>ROUND(N('Prior Year'!AJ59), 0)</f>
        <v>10292</v>
      </c>
      <c r="E48" s="1">
        <f>data!AJ59</f>
        <v>11638</v>
      </c>
      <c r="F48" s="205">
        <f t="shared" si="0"/>
        <v>285.11552662261948</v>
      </c>
      <c r="G48" s="205">
        <f t="shared" si="4"/>
        <v>250.66583605430486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768</v>
      </c>
      <c r="B49" s="228">
        <f>ROUND(N('Prior Year'!AK85), 0)</f>
        <v>168380</v>
      </c>
      <c r="C49" s="228">
        <f>data!AK85</f>
        <v>157007</v>
      </c>
      <c r="D49" s="228">
        <f>ROUND(N('Prior Year'!AK59), 0)</f>
        <v>3826</v>
      </c>
      <c r="E49" s="1">
        <f>data!AK59</f>
        <v>3707</v>
      </c>
      <c r="F49" s="205">
        <f t="shared" si="0"/>
        <v>44.009409304756929</v>
      </c>
      <c r="G49" s="205">
        <f t="shared" si="4"/>
        <v>42.354194766657677</v>
      </c>
      <c r="H49" s="6" t="str">
        <f t="shared" si="6"/>
        <v/>
      </c>
      <c r="I49" s="228" t="str">
        <f t="shared" si="7"/>
        <v/>
      </c>
      <c r="M49" s="7"/>
    </row>
    <row r="50" spans="1:13" ht="30" x14ac:dyDescent="0.25">
      <c r="A50" s="1" t="s">
        <v>769</v>
      </c>
      <c r="B50" s="228">
        <f>ROUND(N('Prior Year'!AL85), 0)</f>
        <v>33347</v>
      </c>
      <c r="C50" s="228">
        <f>data!AL85</f>
        <v>56661</v>
      </c>
      <c r="D50" s="228">
        <f>ROUND(N('Prior Year'!AL59), 0)</f>
        <v>149</v>
      </c>
      <c r="E50" s="1">
        <f>data!AL59</f>
        <v>1083</v>
      </c>
      <c r="F50" s="205">
        <f t="shared" si="0"/>
        <v>223.80536912751677</v>
      </c>
      <c r="G50" s="205">
        <f t="shared" si="4"/>
        <v>52.318559556786703</v>
      </c>
      <c r="H50" s="6">
        <f t="shared" si="6"/>
        <v>-0.76623188370884276</v>
      </c>
      <c r="I50" s="347" t="s">
        <v>1385</v>
      </c>
      <c r="M50" s="7"/>
    </row>
    <row r="51" spans="1:13" x14ac:dyDescent="0.25">
      <c r="A51" s="1" t="s">
        <v>770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771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772</v>
      </c>
      <c r="B53" s="228">
        <f>ROUND(N('Prior Year'!AO85), 0)</f>
        <v>58664</v>
      </c>
      <c r="C53" s="228">
        <f>data!AO85</f>
        <v>75482</v>
      </c>
      <c r="D53" s="228">
        <f>ROUND(N('Prior Year'!AO59), 0)</f>
        <v>2184</v>
      </c>
      <c r="E53" s="1">
        <f>data!AO59</f>
        <v>2808</v>
      </c>
      <c r="F53" s="205">
        <f t="shared" si="0"/>
        <v>26.860805860805861</v>
      </c>
      <c r="G53" s="205">
        <f t="shared" si="4"/>
        <v>26.881054131054132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773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774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775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776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777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778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779</v>
      </c>
      <c r="B60" s="228">
        <f>ROUND(N('Prior Year'!AV85), 0)</f>
        <v>0</v>
      </c>
      <c r="C60" s="228">
        <f>data!AV85</f>
        <v>0</v>
      </c>
      <c r="D60" s="228" t="s">
        <v>750</v>
      </c>
      <c r="E60" s="4" t="s">
        <v>750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780</v>
      </c>
      <c r="B61" s="228">
        <f>ROUND(N('Prior Year'!AW85), 0)</f>
        <v>0</v>
      </c>
      <c r="C61" s="228">
        <f>data!AW85</f>
        <v>0</v>
      </c>
      <c r="D61" s="228" t="s">
        <v>750</v>
      </c>
      <c r="E61" s="4" t="s">
        <v>750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781</v>
      </c>
      <c r="B62" s="228">
        <f>ROUND(N('Prior Year'!AX85), 0)</f>
        <v>0</v>
      </c>
      <c r="C62" s="228">
        <f>data!AX85</f>
        <v>0</v>
      </c>
      <c r="D62" s="228" t="s">
        <v>750</v>
      </c>
      <c r="E62" s="4" t="s">
        <v>750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782</v>
      </c>
      <c r="B63" s="228">
        <f>ROUND(N('Prior Year'!AY85), 0)</f>
        <v>971468</v>
      </c>
      <c r="C63" s="228">
        <f>data!AY85</f>
        <v>1020818</v>
      </c>
      <c r="D63" s="228">
        <f>ROUND(N('Prior Year'!AY59), 0)</f>
        <v>60501</v>
      </c>
      <c r="E63" s="1">
        <f>data!AY59</f>
        <v>64072</v>
      </c>
      <c r="F63" s="205">
        <f>IF(B63=0,"",IF(D63=0,"",B63/D63))</f>
        <v>16.05705690815028</v>
      </c>
      <c r="G63" s="205">
        <f t="shared" si="4"/>
        <v>15.932357347983519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783</v>
      </c>
      <c r="B64" s="228">
        <f>ROUND(N('Prior Year'!AZ85), 0)</f>
        <v>67832</v>
      </c>
      <c r="C64" s="228">
        <f>data!AZ85</f>
        <v>65249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784</v>
      </c>
      <c r="B65" s="228">
        <f>ROUND(N('Prior Year'!BA85), 0)</f>
        <v>319910</v>
      </c>
      <c r="C65" s="228">
        <f>data!BA85</f>
        <v>305596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785</v>
      </c>
      <c r="B66" s="228">
        <f>ROUND(N('Prior Year'!BB85), 0)</f>
        <v>329959</v>
      </c>
      <c r="C66" s="228">
        <f>data!BB85</f>
        <v>338817</v>
      </c>
      <c r="D66" s="228" t="s">
        <v>750</v>
      </c>
      <c r="E66" s="4" t="s">
        <v>750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786</v>
      </c>
      <c r="B67" s="228">
        <f>ROUND(N('Prior Year'!BC85), 0)</f>
        <v>0</v>
      </c>
      <c r="C67" s="228">
        <f>data!BC85</f>
        <v>0</v>
      </c>
      <c r="D67" s="228" t="s">
        <v>750</v>
      </c>
      <c r="E67" s="4" t="s">
        <v>750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787</v>
      </c>
      <c r="B68" s="228">
        <f>ROUND(N('Prior Year'!BD85), 0)</f>
        <v>43049</v>
      </c>
      <c r="C68" s="228">
        <f>data!BD85</f>
        <v>153471</v>
      </c>
      <c r="D68" s="228" t="s">
        <v>750</v>
      </c>
      <c r="E68" s="4" t="s">
        <v>750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ht="40.5" customHeight="1" x14ac:dyDescent="0.25">
      <c r="A69" s="1" t="s">
        <v>788</v>
      </c>
      <c r="B69" s="228">
        <f>ROUND(N('Prior Year'!BE85), 0)</f>
        <v>864126</v>
      </c>
      <c r="C69" s="228">
        <f>data!BE85</f>
        <v>1180481</v>
      </c>
      <c r="D69" s="228">
        <f>ROUND(N('Prior Year'!BE59), 0)</f>
        <v>77714</v>
      </c>
      <c r="E69" s="1">
        <f>data!BE59</f>
        <v>77714</v>
      </c>
      <c r="F69" s="205">
        <f>IF(B69=0,"",IF(D69=0,"",B69/D69))</f>
        <v>11.119309262166405</v>
      </c>
      <c r="G69" s="205">
        <f t="shared" si="4"/>
        <v>15.190068713487918</v>
      </c>
      <c r="H69" s="6">
        <f>IF(B69 = 0, "", IF(C69 = 0, "", IF(D69 = 0, "", IF(E69 = 0, "", IF(G69 / F69 - 1 &lt; -0.25, G69 / F69 - 1, IF(G69 / F69 - 1 &gt; 0.25, G69 / F69 - 1, ""))))))</f>
        <v>0.3660982310450096</v>
      </c>
      <c r="I69" s="347" t="s">
        <v>1386</v>
      </c>
      <c r="M69" s="7"/>
    </row>
    <row r="70" spans="1:13" x14ac:dyDescent="0.25">
      <c r="A70" s="1" t="s">
        <v>789</v>
      </c>
      <c r="B70" s="228">
        <f>ROUND(N('Prior Year'!BF85), 0)</f>
        <v>573166</v>
      </c>
      <c r="C70" s="228">
        <f>data!BF85</f>
        <v>548038</v>
      </c>
      <c r="D70" s="228" t="s">
        <v>750</v>
      </c>
      <c r="E70" s="4" t="s">
        <v>750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790</v>
      </c>
      <c r="B71" s="228">
        <f>ROUND(N('Prior Year'!BG85), 0)</f>
        <v>0</v>
      </c>
      <c r="C71" s="228">
        <f>data!BG85</f>
        <v>0</v>
      </c>
      <c r="D71" s="228" t="s">
        <v>750</v>
      </c>
      <c r="E71" s="4" t="s">
        <v>750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791</v>
      </c>
      <c r="B72" s="228">
        <f>ROUND(N('Prior Year'!BH85), 0)</f>
        <v>1441771</v>
      </c>
      <c r="C72" s="228">
        <f>data!BH85</f>
        <v>1434493</v>
      </c>
      <c r="D72" s="228" t="s">
        <v>750</v>
      </c>
      <c r="E72" s="4" t="s">
        <v>750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792</v>
      </c>
      <c r="B73" s="228">
        <f>ROUND(N('Prior Year'!BI85), 0)</f>
        <v>0</v>
      </c>
      <c r="C73" s="228">
        <f>data!BI85</f>
        <v>0</v>
      </c>
      <c r="D73" s="228" t="s">
        <v>750</v>
      </c>
      <c r="E73" s="4" t="s">
        <v>750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793</v>
      </c>
      <c r="B74" s="228">
        <f>ROUND(N('Prior Year'!BJ85), 0)</f>
        <v>306372</v>
      </c>
      <c r="C74" s="228">
        <f>data!BJ85</f>
        <v>804375</v>
      </c>
      <c r="D74" s="228" t="s">
        <v>750</v>
      </c>
      <c r="E74" s="4" t="s">
        <v>750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794</v>
      </c>
      <c r="B75" s="228">
        <f>ROUND(N('Prior Year'!BK85), 0)</f>
        <v>591150</v>
      </c>
      <c r="C75" s="228">
        <f>data!BK85</f>
        <v>677568</v>
      </c>
      <c r="D75" s="228" t="s">
        <v>750</v>
      </c>
      <c r="E75" s="4" t="s">
        <v>750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795</v>
      </c>
      <c r="B76" s="228">
        <f>ROUND(N('Prior Year'!BL85), 0)</f>
        <v>301253</v>
      </c>
      <c r="C76" s="228">
        <f>data!BL85</f>
        <v>375536</v>
      </c>
      <c r="D76" s="228" t="s">
        <v>750</v>
      </c>
      <c r="E76" s="4" t="s">
        <v>750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796</v>
      </c>
      <c r="B77" s="228">
        <f>ROUND(N('Prior Year'!BM85), 0)</f>
        <v>0</v>
      </c>
      <c r="C77" s="228">
        <f>data!BM85</f>
        <v>0</v>
      </c>
      <c r="D77" s="228" t="s">
        <v>750</v>
      </c>
      <c r="E77" s="4" t="s">
        <v>750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797</v>
      </c>
      <c r="B78" s="228">
        <f>ROUND(N('Prior Year'!BN85), 0)</f>
        <v>623326</v>
      </c>
      <c r="C78" s="228">
        <f>data!BN85</f>
        <v>1029248</v>
      </c>
      <c r="D78" s="228" t="s">
        <v>750</v>
      </c>
      <c r="E78" s="4" t="s">
        <v>750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798</v>
      </c>
      <c r="B79" s="228">
        <f>ROUND(N('Prior Year'!BO85), 0)</f>
        <v>0</v>
      </c>
      <c r="C79" s="228">
        <f>data!BO85</f>
        <v>0</v>
      </c>
      <c r="D79" s="228" t="s">
        <v>750</v>
      </c>
      <c r="E79" s="4" t="s">
        <v>750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799</v>
      </c>
      <c r="B80" s="228">
        <f>ROUND(N('Prior Year'!BP85), 0)</f>
        <v>156453</v>
      </c>
      <c r="C80" s="228">
        <f>data!BP85</f>
        <v>187316</v>
      </c>
      <c r="D80" s="228" t="s">
        <v>750</v>
      </c>
      <c r="E80" s="4" t="s">
        <v>750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800</v>
      </c>
      <c r="B81" s="228">
        <f>ROUND(N('Prior Year'!BQ85), 0)</f>
        <v>0</v>
      </c>
      <c r="C81" s="228">
        <f>data!BQ85</f>
        <v>0</v>
      </c>
      <c r="D81" s="228" t="s">
        <v>750</v>
      </c>
      <c r="E81" s="4" t="s">
        <v>750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801</v>
      </c>
      <c r="B82" s="228">
        <f>ROUND(N('Prior Year'!BR85), 0)</f>
        <v>290944</v>
      </c>
      <c r="C82" s="228">
        <f>data!BR85</f>
        <v>303088</v>
      </c>
      <c r="D82" s="228" t="s">
        <v>750</v>
      </c>
      <c r="E82" s="4" t="s">
        <v>750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802</v>
      </c>
      <c r="B83" s="228">
        <f>ROUND(N('Prior Year'!BS85), 0)</f>
        <v>0</v>
      </c>
      <c r="C83" s="228">
        <f>data!BS85</f>
        <v>0</v>
      </c>
      <c r="D83" s="228" t="s">
        <v>750</v>
      </c>
      <c r="E83" s="4" t="s">
        <v>750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803</v>
      </c>
      <c r="B84" s="228">
        <f>ROUND(N('Prior Year'!BT85), 0)</f>
        <v>0</v>
      </c>
      <c r="C84" s="228">
        <f>data!BT85</f>
        <v>0</v>
      </c>
      <c r="D84" s="228" t="s">
        <v>750</v>
      </c>
      <c r="E84" s="4" t="s">
        <v>750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804</v>
      </c>
      <c r="B85" s="228">
        <f>ROUND(N('Prior Year'!BU85), 0)</f>
        <v>0</v>
      </c>
      <c r="C85" s="228">
        <f>data!BU85</f>
        <v>0</v>
      </c>
      <c r="D85" s="228" t="s">
        <v>750</v>
      </c>
      <c r="E85" s="4" t="s">
        <v>750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805</v>
      </c>
      <c r="B86" s="228">
        <f>ROUND(N('Prior Year'!BV85), 0)</f>
        <v>413529</v>
      </c>
      <c r="C86" s="228">
        <f>data!BV85</f>
        <v>231882</v>
      </c>
      <c r="D86" s="228" t="s">
        <v>750</v>
      </c>
      <c r="E86" s="4" t="s">
        <v>750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806</v>
      </c>
      <c r="B87" s="228">
        <f>ROUND(N('Prior Year'!BW85), 0)</f>
        <v>3147</v>
      </c>
      <c r="C87" s="228">
        <f>data!BW85</f>
        <v>3151</v>
      </c>
      <c r="D87" s="228" t="s">
        <v>750</v>
      </c>
      <c r="E87" s="4" t="s">
        <v>750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807</v>
      </c>
      <c r="B88" s="228">
        <f>ROUND(N('Prior Year'!BX85), 0)</f>
        <v>0</v>
      </c>
      <c r="C88" s="228">
        <f>data!BX85</f>
        <v>0</v>
      </c>
      <c r="D88" s="228" t="s">
        <v>750</v>
      </c>
      <c r="E88" s="4" t="s">
        <v>750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808</v>
      </c>
      <c r="B89" s="228">
        <f>ROUND(N('Prior Year'!BY85), 0)</f>
        <v>553671</v>
      </c>
      <c r="C89" s="228">
        <f>data!BY85</f>
        <v>794303</v>
      </c>
      <c r="D89" s="228" t="s">
        <v>750</v>
      </c>
      <c r="E89" s="4" t="s">
        <v>750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809</v>
      </c>
      <c r="B90" s="228">
        <f>ROUND(N('Prior Year'!BZ85), 0)</f>
        <v>0</v>
      </c>
      <c r="C90" s="228">
        <f>data!BZ85</f>
        <v>0</v>
      </c>
      <c r="D90" s="228" t="s">
        <v>750</v>
      </c>
      <c r="E90" s="4" t="s">
        <v>750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810</v>
      </c>
      <c r="B91" s="228">
        <f>ROUND(N('Prior Year'!CA85), 0)</f>
        <v>0</v>
      </c>
      <c r="C91" s="228">
        <f>data!CA85</f>
        <v>0</v>
      </c>
      <c r="D91" s="228" t="s">
        <v>750</v>
      </c>
      <c r="E91" s="4" t="s">
        <v>750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811</v>
      </c>
      <c r="B92" s="228">
        <f>ROUND(N('Prior Year'!CB85), 0)</f>
        <v>0</v>
      </c>
      <c r="C92" s="228">
        <f>data!CB85</f>
        <v>0</v>
      </c>
      <c r="D92" s="228" t="s">
        <v>750</v>
      </c>
      <c r="E92" s="4" t="s">
        <v>750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812</v>
      </c>
      <c r="B93" s="228">
        <f>ROUND(N('Prior Year'!CC85), 0)</f>
        <v>0</v>
      </c>
      <c r="C93" s="228">
        <f>data!CC85</f>
        <v>0</v>
      </c>
      <c r="D93" s="228" t="s">
        <v>750</v>
      </c>
      <c r="E93" s="4" t="s">
        <v>750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813</v>
      </c>
      <c r="B94" s="228">
        <f>ROUND(N('Prior Year'!CD85), 0)</f>
        <v>688310</v>
      </c>
      <c r="C94" s="228">
        <f>data!CD85</f>
        <v>719896</v>
      </c>
      <c r="D94" s="228" t="s">
        <v>750</v>
      </c>
      <c r="E94" s="4" t="s">
        <v>750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OnEqJE91KQb0XbggvzoUj/H6mHzOlQcAuOMChxXdF7Ek7G4CL2Vc3sJX0IlTzLLq0NO5dHWr3MncOBn2vXYpoQ==" saltValue="LY33i37sa0v3csQc8Xa9v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53"/>
  <sheetViews>
    <sheetView topLeftCell="A18" workbookViewId="0">
      <selection activeCell="D29" sqref="D29:D53"/>
    </sheetView>
  </sheetViews>
  <sheetFormatPr defaultRowHeight="15" x14ac:dyDescent="0.2"/>
  <sheetData>
    <row r="1" spans="1:4" ht="15.75" x14ac:dyDescent="0.25">
      <c r="A1" s="268" t="s">
        <v>814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815</v>
      </c>
      <c r="B3" s="267"/>
      <c r="C3" s="267"/>
      <c r="D3" s="267"/>
    </row>
    <row r="4" spans="1:4" ht="15.75" x14ac:dyDescent="0.25">
      <c r="A4" s="267" t="s">
        <v>816</v>
      </c>
      <c r="B4" s="267"/>
      <c r="C4" s="267"/>
      <c r="D4" s="267"/>
    </row>
    <row r="5" spans="1:4" ht="15.75" x14ac:dyDescent="0.25">
      <c r="A5" s="1" t="s">
        <v>817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818</v>
      </c>
      <c r="B7" s="267"/>
      <c r="C7" s="267"/>
      <c r="D7" s="267"/>
    </row>
    <row r="8" spans="1:4" ht="15.75" x14ac:dyDescent="0.25">
      <c r="A8" s="309" t="s">
        <v>819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820</v>
      </c>
      <c r="B11" s="267"/>
      <c r="C11" s="267"/>
      <c r="D11" s="267">
        <f>N(data!C380)</f>
        <v>195205</v>
      </c>
    </row>
    <row r="12" spans="1:4" ht="15.75" x14ac:dyDescent="0.25">
      <c r="A12" s="269" t="s">
        <v>821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822</v>
      </c>
      <c r="B14" s="267"/>
      <c r="C14" s="267"/>
      <c r="D14" s="269" t="s">
        <v>823</v>
      </c>
    </row>
    <row r="15" spans="1:4" ht="15.75" x14ac:dyDescent="0.25">
      <c r="A15" s="267" t="s">
        <v>824</v>
      </c>
      <c r="B15" s="267"/>
      <c r="C15" s="267"/>
      <c r="D15" s="267"/>
    </row>
    <row r="16" spans="1:4" ht="15.75" x14ac:dyDescent="0.25">
      <c r="A16" s="267" t="s">
        <v>824</v>
      </c>
      <c r="B16" s="267"/>
      <c r="C16" s="267"/>
      <c r="D16" s="267"/>
    </row>
    <row r="17" spans="1:4" ht="15.75" x14ac:dyDescent="0.25">
      <c r="A17" s="267" t="s">
        <v>824</v>
      </c>
      <c r="B17" s="267"/>
      <c r="C17" s="267"/>
      <c r="D17" s="267"/>
    </row>
    <row r="18" spans="1:4" ht="15.75" x14ac:dyDescent="0.25">
      <c r="A18" s="267" t="s">
        <v>824</v>
      </c>
      <c r="B18" s="267"/>
      <c r="C18" s="267"/>
      <c r="D18" s="267"/>
    </row>
    <row r="19" spans="1:4" ht="15.75" x14ac:dyDescent="0.25">
      <c r="A19" s="267" t="s">
        <v>824</v>
      </c>
      <c r="B19" s="267"/>
      <c r="C19" s="267"/>
      <c r="D19" s="267"/>
    </row>
    <row r="20" spans="1:4" ht="15.75" x14ac:dyDescent="0.25">
      <c r="A20" s="267" t="s">
        <v>824</v>
      </c>
      <c r="B20" s="267"/>
      <c r="C20" s="267"/>
      <c r="D20" s="267"/>
    </row>
    <row r="21" spans="1:4" ht="15.75" x14ac:dyDescent="0.25">
      <c r="A21" s="267" t="s">
        <v>824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825</v>
      </c>
      <c r="B25" s="267"/>
      <c r="C25" s="267"/>
      <c r="D25" s="267">
        <f>N(data!C414)</f>
        <v>413501</v>
      </c>
    </row>
    <row r="26" spans="1:4" ht="15.75" x14ac:dyDescent="0.25">
      <c r="A26" s="269" t="s">
        <v>821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822</v>
      </c>
      <c r="B28" s="267"/>
      <c r="C28" s="267"/>
      <c r="D28" s="269" t="s">
        <v>823</v>
      </c>
    </row>
    <row r="29" spans="1:4" ht="15.75" x14ac:dyDescent="0.25">
      <c r="A29" s="1" t="s">
        <v>119</v>
      </c>
      <c r="B29" s="267"/>
      <c r="C29" s="267"/>
      <c r="D29" s="348">
        <v>9234</v>
      </c>
    </row>
    <row r="30" spans="1:4" ht="15.75" x14ac:dyDescent="0.25">
      <c r="A30" s="1" t="s">
        <v>345</v>
      </c>
      <c r="B30" s="267"/>
      <c r="C30" s="267"/>
      <c r="D30" s="348">
        <v>7449</v>
      </c>
    </row>
    <row r="31" spans="1:4" ht="15.75" x14ac:dyDescent="0.25">
      <c r="A31" s="1" t="s">
        <v>631</v>
      </c>
      <c r="B31" s="267"/>
      <c r="C31" s="267"/>
      <c r="D31" s="348">
        <v>1053</v>
      </c>
    </row>
    <row r="32" spans="1:4" ht="15.75" x14ac:dyDescent="0.25">
      <c r="A32" s="1" t="s">
        <v>135</v>
      </c>
      <c r="B32" s="267"/>
      <c r="C32" s="267"/>
      <c r="D32" s="348">
        <v>35254</v>
      </c>
    </row>
    <row r="33" spans="1:4" ht="15.75" x14ac:dyDescent="0.25">
      <c r="A33" s="1" t="s">
        <v>1387</v>
      </c>
      <c r="B33" s="267"/>
      <c r="C33" s="267"/>
      <c r="D33" s="348">
        <v>1430</v>
      </c>
    </row>
    <row r="34" spans="1:4" ht="15.75" x14ac:dyDescent="0.25">
      <c r="A34" s="1" t="s">
        <v>141</v>
      </c>
      <c r="B34" s="267"/>
      <c r="C34" s="267"/>
      <c r="D34" s="348">
        <v>149</v>
      </c>
    </row>
    <row r="35" spans="1:4" ht="15.75" x14ac:dyDescent="0.25">
      <c r="A35" s="349" t="s">
        <v>1388</v>
      </c>
      <c r="B35" s="267"/>
      <c r="C35" s="267"/>
      <c r="D35" s="348">
        <v>217</v>
      </c>
    </row>
    <row r="36" spans="1:4" ht="15.75" x14ac:dyDescent="0.25">
      <c r="A36" s="349" t="s">
        <v>1389</v>
      </c>
      <c r="B36" s="267"/>
      <c r="C36" s="267"/>
      <c r="D36" s="348">
        <v>5207</v>
      </c>
    </row>
    <row r="37" spans="1:4" ht="15.75" x14ac:dyDescent="0.25">
      <c r="A37" s="349" t="s">
        <v>147</v>
      </c>
      <c r="D37" s="348">
        <v>59404</v>
      </c>
    </row>
    <row r="38" spans="1:4" ht="30" x14ac:dyDescent="0.25">
      <c r="A38" s="349" t="s">
        <v>673</v>
      </c>
      <c r="D38" s="348">
        <v>96</v>
      </c>
    </row>
    <row r="39" spans="1:4" ht="15.75" x14ac:dyDescent="0.25">
      <c r="A39" s="349" t="s">
        <v>161</v>
      </c>
      <c r="D39" s="348">
        <v>19408</v>
      </c>
    </row>
    <row r="40" spans="1:4" ht="30" x14ac:dyDescent="0.25">
      <c r="A40" s="349" t="s">
        <v>576</v>
      </c>
      <c r="D40" s="348">
        <v>452</v>
      </c>
    </row>
    <row r="41" spans="1:4" ht="30" x14ac:dyDescent="0.25">
      <c r="A41" s="349" t="s">
        <v>580</v>
      </c>
      <c r="D41" s="348">
        <v>1418</v>
      </c>
    </row>
    <row r="42" spans="1:4" ht="15.75" x14ac:dyDescent="0.25">
      <c r="A42" s="349" t="s">
        <v>165</v>
      </c>
      <c r="D42" s="348">
        <v>4970</v>
      </c>
    </row>
    <row r="43" spans="1:4" ht="15.75" x14ac:dyDescent="0.25">
      <c r="A43" s="349" t="s">
        <v>166</v>
      </c>
      <c r="D43" s="348">
        <v>9375</v>
      </c>
    </row>
    <row r="44" spans="1:4" ht="30" x14ac:dyDescent="0.25">
      <c r="A44" s="349" t="s">
        <v>167</v>
      </c>
      <c r="D44" s="348">
        <v>2287</v>
      </c>
    </row>
    <row r="45" spans="1:4" ht="30" x14ac:dyDescent="0.25">
      <c r="A45" s="349" t="s">
        <v>588</v>
      </c>
      <c r="D45" s="348">
        <v>18986</v>
      </c>
    </row>
    <row r="46" spans="1:4" ht="15.75" x14ac:dyDescent="0.25">
      <c r="A46" s="349" t="s">
        <v>171</v>
      </c>
      <c r="D46" s="348">
        <v>6921</v>
      </c>
    </row>
    <row r="47" spans="1:4" ht="30" x14ac:dyDescent="0.25">
      <c r="A47" s="349" t="s">
        <v>586</v>
      </c>
      <c r="D47" s="348">
        <v>62002</v>
      </c>
    </row>
    <row r="48" spans="1:4" ht="15.75" x14ac:dyDescent="0.25">
      <c r="A48" s="349" t="s">
        <v>173</v>
      </c>
      <c r="D48" s="348">
        <v>141</v>
      </c>
    </row>
    <row r="49" spans="1:4" ht="30" x14ac:dyDescent="0.25">
      <c r="A49" s="349" t="s">
        <v>1390</v>
      </c>
      <c r="D49" s="348">
        <v>133937</v>
      </c>
    </row>
    <row r="50" spans="1:4" ht="15.75" x14ac:dyDescent="0.25">
      <c r="A50" s="349" t="s">
        <v>178</v>
      </c>
      <c r="D50" s="348">
        <v>3591</v>
      </c>
    </row>
    <row r="51" spans="1:4" ht="30" x14ac:dyDescent="0.25">
      <c r="A51" s="349" t="s">
        <v>599</v>
      </c>
      <c r="D51" s="348">
        <v>1288</v>
      </c>
    </row>
    <row r="52" spans="1:4" ht="30" x14ac:dyDescent="0.25">
      <c r="A52" s="349" t="s">
        <v>601</v>
      </c>
      <c r="D52" s="348">
        <v>1975</v>
      </c>
    </row>
    <row r="53" spans="1:4" ht="30" x14ac:dyDescent="0.25">
      <c r="A53" s="349" t="s">
        <v>1391</v>
      </c>
      <c r="D53" s="348">
        <v>27257</v>
      </c>
    </row>
  </sheetData>
  <sheetProtection algorithmName="SHA-512" hashValue="CJgofOj3i1MfNiibDG/von1miQXPmFjG4sP9gEhaACzkE/fZ3QLL6fu5aEjX0FiIwFjlLKFLSTywsYlpLalZ7w==" saltValue="sj/Xc8iZ0dXf40O249EUR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E19" sqref="E19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H-45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Columbia Basin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311</v>
      </c>
      <c r="C6" s="67"/>
      <c r="D6" s="64" t="str">
        <f>"  "&amp;data!C103</f>
        <v xml:space="preserve">  Grant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Rosalinda Kibby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Anthonie Zimmermann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Amy Paynter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509-754-4631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509-754-4809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323</v>
      </c>
      <c r="B15" s="74"/>
      <c r="C15" s="75" t="s">
        <v>325</v>
      </c>
      <c r="D15" s="74"/>
      <c r="E15" s="75" t="s">
        <v>327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328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311</v>
      </c>
      <c r="C17" s="79" t="str">
        <f>IF(data!C118&gt;0," X","")</f>
        <v/>
      </c>
      <c r="D17" s="80" t="s">
        <v>408</v>
      </c>
      <c r="E17" s="229" t="str">
        <f>IF(data!C121&gt;0," X","")</f>
        <v/>
      </c>
      <c r="F17" s="81" t="s">
        <v>329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330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333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152</v>
      </c>
      <c r="G23" s="67">
        <f>data!D127</f>
        <v>531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172</v>
      </c>
      <c r="G24" s="67">
        <f>data!D128</f>
        <v>8673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337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339</v>
      </c>
      <c r="C30" s="67"/>
      <c r="D30" s="67">
        <f>data!C132</f>
        <v>0</v>
      </c>
      <c r="E30" s="64" t="s">
        <v>345</v>
      </c>
      <c r="F30" s="67"/>
      <c r="G30" s="67">
        <f>data!C139</f>
        <v>12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346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25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348</v>
      </c>
      <c r="F34" s="67"/>
      <c r="G34" s="67">
        <f>data!E143</f>
        <v>37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349</v>
      </c>
      <c r="F36" s="67"/>
      <c r="G36" s="67">
        <f>data!C144</f>
        <v>37</v>
      </c>
    </row>
    <row r="37" spans="1:7" ht="20.100000000000001" customHeight="1" x14ac:dyDescent="0.25">
      <c r="A37" s="63"/>
      <c r="E37" s="64" t="s">
        <v>350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345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H21" sqref="H21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Columbia Basin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360</v>
      </c>
      <c r="F5" s="74"/>
      <c r="G5" s="74"/>
    </row>
    <row r="6" spans="1:7" ht="20.100000000000001" customHeight="1" x14ac:dyDescent="0.25">
      <c r="A6" s="126" t="s">
        <v>856</v>
      </c>
      <c r="B6" s="79" t="s">
        <v>333</v>
      </c>
      <c r="C6" s="79" t="s">
        <v>857</v>
      </c>
      <c r="D6" s="79" t="s">
        <v>356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354</v>
      </c>
      <c r="B7" s="127">
        <f>data!B154</f>
        <v>103</v>
      </c>
      <c r="C7" s="127">
        <f>data!B155</f>
        <v>394</v>
      </c>
      <c r="D7" s="127">
        <f>data!B156</f>
        <v>0</v>
      </c>
      <c r="E7" s="127">
        <f>data!B157</f>
        <v>3239431</v>
      </c>
      <c r="F7" s="127">
        <f>data!B158</f>
        <v>13505025</v>
      </c>
      <c r="G7" s="127">
        <f>data!B157+data!B158</f>
        <v>16744456</v>
      </c>
    </row>
    <row r="8" spans="1:7" ht="20.100000000000001" customHeight="1" x14ac:dyDescent="0.25">
      <c r="A8" s="63" t="s">
        <v>355</v>
      </c>
      <c r="B8" s="127">
        <f>data!C154</f>
        <v>23</v>
      </c>
      <c r="C8" s="127">
        <f>data!C155</f>
        <v>60</v>
      </c>
      <c r="D8" s="127">
        <f>data!C156</f>
        <v>0</v>
      </c>
      <c r="E8" s="127">
        <f>data!C157</f>
        <v>54727</v>
      </c>
      <c r="F8" s="127">
        <f>data!C158</f>
        <v>7544855</v>
      </c>
      <c r="G8" s="127">
        <f>data!C157+data!C158</f>
        <v>7599582</v>
      </c>
    </row>
    <row r="9" spans="1:7" ht="20.100000000000001" customHeight="1" x14ac:dyDescent="0.25">
      <c r="A9" s="63" t="s">
        <v>858</v>
      </c>
      <c r="B9" s="127">
        <f>data!D154</f>
        <v>26</v>
      </c>
      <c r="C9" s="127">
        <f>data!D155</f>
        <v>77</v>
      </c>
      <c r="D9" s="127">
        <f>data!D156</f>
        <v>0</v>
      </c>
      <c r="E9" s="127">
        <f>data!D157</f>
        <v>0</v>
      </c>
      <c r="F9" s="127">
        <f>data!D158</f>
        <v>9729322</v>
      </c>
      <c r="G9" s="127">
        <f>data!D157+data!D158</f>
        <v>9729322</v>
      </c>
    </row>
    <row r="10" spans="1:7" ht="20.100000000000001" customHeight="1" x14ac:dyDescent="0.25">
      <c r="A10" s="78" t="s">
        <v>229</v>
      </c>
      <c r="B10" s="127">
        <f>data!E154</f>
        <v>152</v>
      </c>
      <c r="C10" s="127">
        <f>data!E155</f>
        <v>531</v>
      </c>
      <c r="D10" s="127">
        <f>data!E156</f>
        <v>0</v>
      </c>
      <c r="E10" s="127">
        <f>data!E157</f>
        <v>3294158</v>
      </c>
      <c r="F10" s="127">
        <f>data!E158</f>
        <v>30779202</v>
      </c>
      <c r="G10" s="127">
        <f>E10+F10</f>
        <v>34073360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360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333</v>
      </c>
      <c r="C15" s="79" t="s">
        <v>857</v>
      </c>
      <c r="D15" s="79" t="s">
        <v>356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354</v>
      </c>
      <c r="B16" s="127">
        <f>data!B160</f>
        <v>110</v>
      </c>
      <c r="C16" s="127">
        <f>data!B161</f>
        <v>2094</v>
      </c>
      <c r="D16" s="127">
        <f>data!B162</f>
        <v>0</v>
      </c>
      <c r="E16" s="127">
        <f>data!B163</f>
        <v>420266</v>
      </c>
      <c r="F16" s="127">
        <f>data!B164</f>
        <v>0</v>
      </c>
      <c r="G16" s="127">
        <f>data!B163+data!B164</f>
        <v>420266</v>
      </c>
    </row>
    <row r="17" spans="1:7" ht="20.100000000000001" customHeight="1" x14ac:dyDescent="0.25">
      <c r="A17" s="63" t="s">
        <v>355</v>
      </c>
      <c r="B17" s="127">
        <f>data!C160</f>
        <v>36</v>
      </c>
      <c r="C17" s="127">
        <f>data!C161</f>
        <v>1614</v>
      </c>
      <c r="D17" s="127">
        <f>data!C162</f>
        <v>0</v>
      </c>
      <c r="E17" s="127">
        <f>data!C163</f>
        <v>1898230</v>
      </c>
      <c r="F17" s="127">
        <f>data!C164</f>
        <v>0</v>
      </c>
      <c r="G17" s="127">
        <f>data!C163+data!C164</f>
        <v>1898230</v>
      </c>
    </row>
    <row r="18" spans="1:7" ht="20.100000000000001" customHeight="1" x14ac:dyDescent="0.25">
      <c r="A18" s="63" t="s">
        <v>858</v>
      </c>
      <c r="B18" s="127">
        <f>data!D160</f>
        <v>26</v>
      </c>
      <c r="C18" s="127">
        <f>data!D161</f>
        <v>4965</v>
      </c>
      <c r="D18" s="127">
        <f>data!D162</f>
        <v>0</v>
      </c>
      <c r="E18" s="127">
        <f>data!D163</f>
        <v>1293336</v>
      </c>
      <c r="F18" s="127">
        <f>data!D164</f>
        <v>0</v>
      </c>
      <c r="G18" s="127">
        <f>data!D163+data!D164</f>
        <v>1293336</v>
      </c>
    </row>
    <row r="19" spans="1:7" ht="20.100000000000001" customHeight="1" x14ac:dyDescent="0.25">
      <c r="A19" s="78" t="s">
        <v>229</v>
      </c>
      <c r="B19" s="127">
        <f>data!E160</f>
        <v>172</v>
      </c>
      <c r="C19" s="127">
        <f>data!E161</f>
        <v>8673</v>
      </c>
      <c r="D19" s="127">
        <f>data!E162</f>
        <v>0</v>
      </c>
      <c r="E19" s="127">
        <f>data!E163</f>
        <v>3611832</v>
      </c>
      <c r="F19" s="127">
        <f>data!E164</f>
        <v>0</v>
      </c>
      <c r="G19" s="127">
        <f>data!E163+data!E164</f>
        <v>3611832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360</v>
      </c>
      <c r="F23" s="74"/>
      <c r="G23" s="74"/>
    </row>
    <row r="24" spans="1:7" ht="20.100000000000001" customHeight="1" x14ac:dyDescent="0.25">
      <c r="A24" s="126" t="s">
        <v>856</v>
      </c>
      <c r="B24" s="79" t="s">
        <v>333</v>
      </c>
      <c r="C24" s="79" t="s">
        <v>857</v>
      </c>
      <c r="D24" s="79" t="s">
        <v>356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354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355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4863026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1505895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5" workbookViewId="0">
      <selection activeCell="C22" sqref="C22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363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Columbia Basin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364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892765</v>
      </c>
    </row>
    <row r="7" spans="1:3" ht="20.100000000000001" customHeight="1" x14ac:dyDescent="0.25">
      <c r="A7" s="144">
        <v>3</v>
      </c>
      <c r="B7" s="83" t="s">
        <v>366</v>
      </c>
      <c r="C7" s="63">
        <f>data!C182</f>
        <v>85557</v>
      </c>
    </row>
    <row r="8" spans="1:3" ht="20.100000000000001" customHeight="1" x14ac:dyDescent="0.25">
      <c r="A8" s="144">
        <v>4</v>
      </c>
      <c r="B8" s="64" t="s">
        <v>367</v>
      </c>
      <c r="C8" s="63">
        <f>data!C183</f>
        <v>209543</v>
      </c>
    </row>
    <row r="9" spans="1:3" ht="20.100000000000001" customHeight="1" x14ac:dyDescent="0.25">
      <c r="A9" s="144">
        <v>5</v>
      </c>
      <c r="B9" s="64" t="s">
        <v>368</v>
      </c>
      <c r="C9" s="63">
        <f>data!C184</f>
        <v>1085210</v>
      </c>
    </row>
    <row r="10" spans="1:3" ht="20.100000000000001" customHeight="1" x14ac:dyDescent="0.25">
      <c r="A10" s="144">
        <v>6</v>
      </c>
      <c r="B10" s="64" t="s">
        <v>369</v>
      </c>
      <c r="C10" s="63">
        <f>data!C185</f>
        <v>8553</v>
      </c>
    </row>
    <row r="11" spans="1:3" ht="20.100000000000001" customHeight="1" x14ac:dyDescent="0.25">
      <c r="A11" s="144">
        <v>7</v>
      </c>
      <c r="B11" s="64" t="s">
        <v>370</v>
      </c>
      <c r="C11" s="63">
        <f>data!C186</f>
        <v>456499</v>
      </c>
    </row>
    <row r="12" spans="1:3" ht="20.100000000000001" customHeight="1" x14ac:dyDescent="0.25">
      <c r="A12" s="144">
        <v>8</v>
      </c>
      <c r="B12" s="64" t="s">
        <v>371</v>
      </c>
      <c r="C12" s="63">
        <f>data!C187</f>
        <v>24638</v>
      </c>
    </row>
    <row r="13" spans="1:3" ht="20.100000000000001" customHeight="1" x14ac:dyDescent="0.25">
      <c r="A13" s="144">
        <v>9</v>
      </c>
      <c r="B13" s="64" t="s">
        <v>371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2762765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372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2021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19590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21611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375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148081</v>
      </c>
    </row>
    <row r="26" spans="1:3" ht="20.100000000000001" customHeight="1" x14ac:dyDescent="0.25">
      <c r="A26" s="63">
        <v>18</v>
      </c>
      <c r="B26" s="64" t="s">
        <v>377</v>
      </c>
      <c r="C26" s="63">
        <f>data!C196</f>
        <v>72756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220837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379</v>
      </c>
      <c r="C31" s="63">
        <f>data!C199</f>
        <v>230385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86509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316894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381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383</v>
      </c>
      <c r="C39" s="63">
        <f>data!C205</f>
        <v>648555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648555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9" workbookViewId="0">
      <selection activeCell="G34" sqref="G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384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Columbia Basin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385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387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390</v>
      </c>
      <c r="C7" s="67">
        <f>data!B211</f>
        <v>99457</v>
      </c>
      <c r="D7" s="67">
        <f>data!C211</f>
        <v>0</v>
      </c>
      <c r="E7" s="67">
        <f>data!D211</f>
        <v>0</v>
      </c>
      <c r="F7" s="67">
        <f>data!E211</f>
        <v>99457</v>
      </c>
    </row>
    <row r="8" spans="1:6" ht="20.100000000000001" customHeight="1" x14ac:dyDescent="0.25">
      <c r="A8" s="63">
        <v>2</v>
      </c>
      <c r="B8" s="67" t="s">
        <v>391</v>
      </c>
      <c r="C8" s="67">
        <f>data!B212</f>
        <v>384512</v>
      </c>
      <c r="D8" s="67">
        <f>data!C212</f>
        <v>0</v>
      </c>
      <c r="E8" s="67">
        <f>data!D212</f>
        <v>0</v>
      </c>
      <c r="F8" s="67">
        <f>data!E212</f>
        <v>384512</v>
      </c>
    </row>
    <row r="9" spans="1:6" ht="20.100000000000001" customHeight="1" x14ac:dyDescent="0.25">
      <c r="A9" s="63">
        <v>3</v>
      </c>
      <c r="B9" s="67" t="s">
        <v>392</v>
      </c>
      <c r="C9" s="67">
        <f>data!B213</f>
        <v>24737896</v>
      </c>
      <c r="D9" s="67">
        <f>data!C213</f>
        <v>10244</v>
      </c>
      <c r="E9" s="67">
        <f>data!D213</f>
        <v>0</v>
      </c>
      <c r="F9" s="67">
        <f>data!E213</f>
        <v>24748140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4900033</v>
      </c>
      <c r="D10" s="67">
        <f>data!C214</f>
        <v>0</v>
      </c>
      <c r="E10" s="67">
        <f>data!D214</f>
        <v>0</v>
      </c>
      <c r="F10" s="67">
        <f>data!E214</f>
        <v>4900033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253117</v>
      </c>
      <c r="D11" s="67">
        <f>data!C215</f>
        <v>0</v>
      </c>
      <c r="E11" s="67">
        <f>data!D215</f>
        <v>0</v>
      </c>
      <c r="F11" s="67">
        <f>data!E215</f>
        <v>253117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5009834</v>
      </c>
      <c r="D12" s="67">
        <f>data!C216</f>
        <v>150447</v>
      </c>
      <c r="E12" s="67">
        <f>data!D216</f>
        <v>170073</v>
      </c>
      <c r="F12" s="67">
        <f>data!E216</f>
        <v>4990208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397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980978</v>
      </c>
      <c r="D15" s="67">
        <f>data!C219</f>
        <v>3321943</v>
      </c>
      <c r="E15" s="67">
        <f>data!D219</f>
        <v>0</v>
      </c>
      <c r="F15" s="67">
        <f>data!E219</f>
        <v>4302921</v>
      </c>
    </row>
    <row r="16" spans="1:6" ht="20.100000000000001" customHeight="1" x14ac:dyDescent="0.25">
      <c r="A16" s="63">
        <v>10</v>
      </c>
      <c r="B16" s="67" t="s">
        <v>612</v>
      </c>
      <c r="C16" s="67">
        <f>data!B220</f>
        <v>36365827</v>
      </c>
      <c r="D16" s="67">
        <f>data!C220</f>
        <v>3482634</v>
      </c>
      <c r="E16" s="67">
        <f>data!D220</f>
        <v>170073</v>
      </c>
      <c r="F16" s="67">
        <f>data!E220</f>
        <v>39678388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399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390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391</v>
      </c>
      <c r="C24" s="67">
        <f>data!B225</f>
        <v>221314</v>
      </c>
      <c r="D24" s="67">
        <f>data!C225</f>
        <v>27181</v>
      </c>
      <c r="E24" s="67">
        <f>data!D225</f>
        <v>0</v>
      </c>
      <c r="F24" s="67">
        <f>data!E225</f>
        <v>248495</v>
      </c>
    </row>
    <row r="25" spans="1:6" ht="20.100000000000001" customHeight="1" x14ac:dyDescent="0.25">
      <c r="A25" s="63">
        <v>13</v>
      </c>
      <c r="B25" s="67" t="s">
        <v>392</v>
      </c>
      <c r="C25" s="67">
        <f>data!B226</f>
        <v>14177547</v>
      </c>
      <c r="D25" s="67">
        <f>data!C226</f>
        <v>949343</v>
      </c>
      <c r="E25" s="67">
        <f>data!D226</f>
        <v>0</v>
      </c>
      <c r="F25" s="67">
        <f>data!E226</f>
        <v>15126890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7016290</v>
      </c>
      <c r="D26" s="67">
        <f>data!C227</f>
        <v>697385</v>
      </c>
      <c r="E26" s="67">
        <f>data!D227</f>
        <v>170073</v>
      </c>
      <c r="F26" s="67">
        <f>data!E227</f>
        <v>7543602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204494</v>
      </c>
      <c r="D27" s="67">
        <f>data!C228</f>
        <v>36295</v>
      </c>
      <c r="E27" s="67">
        <f>data!D228</f>
        <v>0</v>
      </c>
      <c r="F27" s="67">
        <f>data!E228</f>
        <v>240789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0</v>
      </c>
      <c r="D28" s="67">
        <f>data!C229</f>
        <v>0</v>
      </c>
      <c r="E28" s="67">
        <f>data!D229</f>
        <v>0</v>
      </c>
      <c r="F28" s="67">
        <f>data!E229</f>
        <v>0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397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612</v>
      </c>
      <c r="C32" s="67">
        <f>data!B233</f>
        <v>21619645</v>
      </c>
      <c r="D32" s="67">
        <f>data!C233</f>
        <v>1710204</v>
      </c>
      <c r="E32" s="67">
        <f>data!D233</f>
        <v>170073</v>
      </c>
      <c r="F32" s="67">
        <f>data!E233</f>
        <v>23159776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D28" sqref="D28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Columbia Basin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401</v>
      </c>
      <c r="D5" s="67">
        <f>data!D237</f>
        <v>1404304</v>
      </c>
    </row>
    <row r="6" spans="1:4" ht="20.100000000000001" customHeight="1" x14ac:dyDescent="0.25">
      <c r="A6" s="63">
        <v>2</v>
      </c>
      <c r="B6" s="69"/>
      <c r="C6" s="142" t="s">
        <v>497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354</v>
      </c>
      <c r="D7" s="67">
        <f>data!C239</f>
        <v>3967075</v>
      </c>
    </row>
    <row r="8" spans="1:4" ht="20.100000000000001" customHeight="1" x14ac:dyDescent="0.25">
      <c r="A8" s="63">
        <v>4</v>
      </c>
      <c r="B8" s="158">
        <v>5820</v>
      </c>
      <c r="C8" s="67" t="s">
        <v>355</v>
      </c>
      <c r="D8" s="67">
        <f>data!C240</f>
        <v>2149083</v>
      </c>
    </row>
    <row r="9" spans="1:4" ht="20.100000000000001" customHeight="1" x14ac:dyDescent="0.25">
      <c r="A9" s="63">
        <v>5</v>
      </c>
      <c r="B9" s="158">
        <v>5830</v>
      </c>
      <c r="C9" s="67" t="s">
        <v>367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406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3474708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9590866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410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204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412</v>
      </c>
      <c r="D18" s="67">
        <f>data!C249</f>
        <v>86873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338293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425166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416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data!D258</f>
        <v>11420336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61" zoomScaleNormal="100" workbookViewId="0">
      <selection activeCell="E165" sqref="E165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Columbia Basin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420</v>
      </c>
      <c r="C5" s="175"/>
    </row>
    <row r="6" spans="1:3" ht="20.100000000000001" customHeight="1" x14ac:dyDescent="0.25">
      <c r="A6" s="174">
        <v>2</v>
      </c>
      <c r="B6" s="176" t="s">
        <v>421</v>
      </c>
      <c r="C6" s="176">
        <f>data!C266</f>
        <v>3277091</v>
      </c>
    </row>
    <row r="7" spans="1:3" ht="20.100000000000001" customHeight="1" x14ac:dyDescent="0.25">
      <c r="A7" s="174">
        <v>3</v>
      </c>
      <c r="B7" s="176" t="s">
        <v>422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423</v>
      </c>
      <c r="C8" s="176">
        <f>data!C268</f>
        <v>6609330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2685000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547757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59000</v>
      </c>
    </row>
    <row r="12" spans="1:3" ht="20.100000000000001" customHeight="1" x14ac:dyDescent="0.25">
      <c r="A12" s="174">
        <v>8</v>
      </c>
      <c r="B12" s="176" t="s">
        <v>427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428</v>
      </c>
      <c r="C13" s="176">
        <f>data!C273</f>
        <v>246521</v>
      </c>
    </row>
    <row r="14" spans="1:3" ht="20.100000000000001" customHeight="1" x14ac:dyDescent="0.25">
      <c r="A14" s="174">
        <v>10</v>
      </c>
      <c r="B14" s="176" t="s">
        <v>429</v>
      </c>
      <c r="C14" s="176">
        <f>data!C274</f>
        <v>444286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8498985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421</v>
      </c>
      <c r="C19" s="176">
        <f>data!C278</f>
        <v>3568869</v>
      </c>
    </row>
    <row r="20" spans="1:3" ht="20.100000000000001" customHeight="1" x14ac:dyDescent="0.25">
      <c r="A20" s="174">
        <v>16</v>
      </c>
      <c r="B20" s="176" t="s">
        <v>422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433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3568869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390</v>
      </c>
      <c r="C25" s="176">
        <f>data!C283</f>
        <v>99457</v>
      </c>
    </row>
    <row r="26" spans="1:3" ht="20.100000000000001" customHeight="1" x14ac:dyDescent="0.25">
      <c r="A26" s="174">
        <v>22</v>
      </c>
      <c r="B26" s="176" t="s">
        <v>391</v>
      </c>
      <c r="C26" s="176">
        <f>data!C284</f>
        <v>384512</v>
      </c>
    </row>
    <row r="27" spans="1:3" ht="20.100000000000001" customHeight="1" x14ac:dyDescent="0.25">
      <c r="A27" s="174">
        <v>23</v>
      </c>
      <c r="B27" s="176" t="s">
        <v>392</v>
      </c>
      <c r="C27" s="176">
        <f>data!C285</f>
        <v>24748140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9890241</v>
      </c>
    </row>
    <row r="29" spans="1:3" ht="20.100000000000001" customHeight="1" x14ac:dyDescent="0.25">
      <c r="A29" s="174">
        <v>25</v>
      </c>
      <c r="B29" s="176" t="s">
        <v>394</v>
      </c>
      <c r="C29" s="176">
        <f>data!C287</f>
        <v>253117</v>
      </c>
    </row>
    <row r="30" spans="1:3" ht="20.100000000000001" customHeight="1" x14ac:dyDescent="0.25">
      <c r="A30" s="174">
        <v>26</v>
      </c>
      <c r="B30" s="176" t="s">
        <v>438</v>
      </c>
      <c r="C30" s="176">
        <f>data!C288</f>
        <v>0</v>
      </c>
    </row>
    <row r="31" spans="1:3" ht="20.100000000000001" customHeight="1" x14ac:dyDescent="0.25">
      <c r="A31" s="174">
        <v>27</v>
      </c>
      <c r="B31" s="176" t="s">
        <v>397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398</v>
      </c>
      <c r="C32" s="176">
        <f>data!C290</f>
        <v>4302921</v>
      </c>
    </row>
    <row r="33" spans="1:3" ht="20.100000000000001" customHeight="1" x14ac:dyDescent="0.25">
      <c r="A33" s="174">
        <v>29</v>
      </c>
      <c r="B33" s="176" t="s">
        <v>612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23159776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16518612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445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433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448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449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451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28586466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Columbia Basin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455</v>
      </c>
      <c r="C57" s="184"/>
    </row>
    <row r="58" spans="1:3" ht="20.100000000000001" customHeight="1" x14ac:dyDescent="0.25">
      <c r="A58" s="174">
        <v>2</v>
      </c>
      <c r="B58" s="176" t="s">
        <v>456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718478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903055</v>
      </c>
    </row>
    <row r="61" spans="1:3" ht="20.100000000000001" customHeight="1" x14ac:dyDescent="0.25">
      <c r="A61" s="174">
        <v>5</v>
      </c>
      <c r="B61" s="176" t="s">
        <v>459</v>
      </c>
      <c r="C61" s="176">
        <f>data!C317</f>
        <v>54905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462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463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464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764869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2441307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468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470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472</v>
      </c>
      <c r="C76" s="175"/>
    </row>
    <row r="77" spans="1:3" ht="20.100000000000001" customHeight="1" x14ac:dyDescent="0.25">
      <c r="A77" s="174">
        <v>21</v>
      </c>
      <c r="B77" s="176" t="s">
        <v>473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475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24190</v>
      </c>
    </row>
    <row r="81" spans="1:3" ht="20.100000000000001" customHeight="1" x14ac:dyDescent="0.25">
      <c r="A81" s="174">
        <v>25</v>
      </c>
      <c r="B81" s="176" t="s">
        <v>477</v>
      </c>
      <c r="C81" s="176">
        <f>data!C335</f>
        <v>13031478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479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480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612</v>
      </c>
      <c r="C85" s="176">
        <f>data!D339</f>
        <v>13055668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764869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12290799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13854360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484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485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13854360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28586466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Columbia Basin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493</v>
      </c>
      <c r="C111" s="176">
        <f>data!C358</f>
        <v>7700127</v>
      </c>
    </row>
    <row r="112" spans="1:3" ht="20.100000000000001" customHeight="1" x14ac:dyDescent="0.25">
      <c r="A112" s="174">
        <v>3</v>
      </c>
      <c r="B112" s="176" t="s">
        <v>494</v>
      </c>
      <c r="C112" s="176">
        <f>data!C359</f>
        <v>29985065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37685192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1404304</v>
      </c>
    </row>
    <row r="117" spans="1:3" ht="20.100000000000001" customHeight="1" x14ac:dyDescent="0.25">
      <c r="A117" s="174">
        <v>8</v>
      </c>
      <c r="B117" s="176" t="s">
        <v>497</v>
      </c>
      <c r="C117" s="189">
        <f>data!C363</f>
        <v>9590866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425166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11420336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26264856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501</v>
      </c>
      <c r="C123" s="175"/>
    </row>
    <row r="124" spans="1:3" ht="20.100000000000001" customHeight="1" x14ac:dyDescent="0.25">
      <c r="A124" s="174">
        <v>15</v>
      </c>
      <c r="B124" s="190" t="s">
        <v>502</v>
      </c>
      <c r="C124" s="191"/>
    </row>
    <row r="125" spans="1:3" ht="20.100000000000001" customHeight="1" x14ac:dyDescent="0.25">
      <c r="A125" s="195" t="s">
        <v>957</v>
      </c>
      <c r="B125" s="192" t="s">
        <v>503</v>
      </c>
      <c r="C125" s="191">
        <f>data!C370</f>
        <v>49691</v>
      </c>
    </row>
    <row r="126" spans="1:3" ht="20.100000000000001" customHeight="1" x14ac:dyDescent="0.25">
      <c r="A126" s="195" t="s">
        <v>958</v>
      </c>
      <c r="B126" s="192" t="s">
        <v>504</v>
      </c>
      <c r="C126" s="191">
        <f>data!C371</f>
        <v>254759</v>
      </c>
    </row>
    <row r="127" spans="1:3" ht="20.100000000000001" customHeight="1" x14ac:dyDescent="0.25">
      <c r="A127" s="195" t="s">
        <v>959</v>
      </c>
      <c r="B127" s="192" t="s">
        <v>505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506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507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508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509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510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511</v>
      </c>
      <c r="C133" s="191">
        <f>data!C378</f>
        <v>0</v>
      </c>
    </row>
    <row r="134" spans="1:3" ht="20.100000000000001" customHeight="1" x14ac:dyDescent="0.25">
      <c r="A134" s="195" t="s">
        <v>966</v>
      </c>
      <c r="B134" s="192" t="s">
        <v>512</v>
      </c>
      <c r="C134" s="191">
        <f>data!C379</f>
        <v>84180</v>
      </c>
    </row>
    <row r="135" spans="1:3" ht="20.100000000000001" customHeight="1" x14ac:dyDescent="0.25">
      <c r="A135" s="195" t="s">
        <v>967</v>
      </c>
      <c r="B135" s="192" t="s">
        <v>513</v>
      </c>
      <c r="C135" s="191">
        <f>data!C380</f>
        <v>195205</v>
      </c>
    </row>
    <row r="136" spans="1:3" ht="20.100000000000001" customHeight="1" x14ac:dyDescent="0.25">
      <c r="A136" s="174">
        <v>16</v>
      </c>
      <c r="B136" s="176" t="s">
        <v>515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583835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26848691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519</v>
      </c>
      <c r="C141" s="189">
        <f>data!C389</f>
        <v>12223543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2762765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4879114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1871743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210834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2230991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1710204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21611</v>
      </c>
    </row>
    <row r="149" spans="1:3" ht="20.100000000000001" customHeight="1" x14ac:dyDescent="0.25">
      <c r="A149" s="174">
        <v>29</v>
      </c>
      <c r="B149" s="176" t="s">
        <v>524</v>
      </c>
      <c r="C149" s="189">
        <f>data!C397</f>
        <v>220837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316894</v>
      </c>
    </row>
    <row r="151" spans="1:3" ht="20.100000000000001" customHeight="1" x14ac:dyDescent="0.25">
      <c r="A151" s="174">
        <v>31</v>
      </c>
      <c r="B151" s="176" t="s">
        <v>526</v>
      </c>
      <c r="C151" s="189">
        <f>data!C399</f>
        <v>648555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389770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0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413501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27900362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-1051671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1790110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738439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738439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43" zoomScale="65" workbookViewId="0">
      <selection activeCell="N380" sqref="N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Columbia Basin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0</v>
      </c>
      <c r="D9" s="238">
        <f>data!D59</f>
        <v>0</v>
      </c>
      <c r="E9" s="238">
        <f>data!E59</f>
        <v>531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</v>
      </c>
      <c r="D10" s="245">
        <f>data!D60</f>
        <v>0</v>
      </c>
      <c r="E10" s="245">
        <f>data!E60</f>
        <v>1.92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0</v>
      </c>
      <c r="D11" s="238">
        <f>data!D61</f>
        <v>0</v>
      </c>
      <c r="E11" s="238">
        <f>data!E61</f>
        <v>178138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0</v>
      </c>
      <c r="D12" s="238">
        <f>data!D62</f>
        <v>0</v>
      </c>
      <c r="E12" s="238">
        <f>data!E62</f>
        <v>40263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79416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0</v>
      </c>
      <c r="D14" s="238">
        <f>data!D64</f>
        <v>0</v>
      </c>
      <c r="E14" s="238">
        <f>data!E64</f>
        <v>10918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521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522</v>
      </c>
      <c r="C16" s="238">
        <f>data!C66</f>
        <v>0</v>
      </c>
      <c r="D16" s="238">
        <f>data!D66</f>
        <v>0</v>
      </c>
      <c r="E16" s="238">
        <f>data!E66</f>
        <v>1317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0</v>
      </c>
      <c r="D17" s="238">
        <f>data!D67</f>
        <v>0</v>
      </c>
      <c r="E17" s="238">
        <f>data!E67</f>
        <v>31579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0</v>
      </c>
      <c r="D19" s="238">
        <f>data!D69</f>
        <v>0</v>
      </c>
      <c r="E19" s="238">
        <f>data!E69</f>
        <v>949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0</v>
      </c>
      <c r="D21" s="238">
        <f>data!D85</f>
        <v>0</v>
      </c>
      <c r="E21" s="238">
        <f>data!E85</f>
        <v>342580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0</v>
      </c>
      <c r="D23" s="246">
        <f>+data!M669</f>
        <v>0</v>
      </c>
      <c r="E23" s="246">
        <f>+data!M670</f>
        <v>228886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0</v>
      </c>
      <c r="D24" s="238">
        <f>data!D87</f>
        <v>0</v>
      </c>
      <c r="E24" s="238">
        <f>data!E87</f>
        <v>429594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0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0</v>
      </c>
      <c r="D26" s="238">
        <f>data!D89</f>
        <v>0</v>
      </c>
      <c r="E26" s="238">
        <f>data!E89</f>
        <v>429594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0</v>
      </c>
      <c r="D28" s="238">
        <f>data!D90</f>
        <v>0</v>
      </c>
      <c r="E28" s="238">
        <f>data!E90</f>
        <v>1435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1626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407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3160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</v>
      </c>
      <c r="D32" s="245">
        <f>data!D94</f>
        <v>0</v>
      </c>
      <c r="E32" s="245">
        <f>data!E94</f>
        <v>1.92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Columbia Basin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3936</v>
      </c>
      <c r="E41" s="238">
        <f>data!L59</f>
        <v>4737</v>
      </c>
      <c r="F41" s="238">
        <f>data!M59</f>
        <v>0</v>
      </c>
      <c r="G41" s="238">
        <f>data!N59</f>
        <v>9228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10.89</v>
      </c>
      <c r="E42" s="245">
        <f>data!L60</f>
        <v>16.3</v>
      </c>
      <c r="F42" s="245">
        <f>data!M60</f>
        <v>0</v>
      </c>
      <c r="G42" s="245">
        <f>data!N60</f>
        <v>8.6999999999999993</v>
      </c>
      <c r="H42" s="245">
        <f>data!O60</f>
        <v>0</v>
      </c>
      <c r="I42" s="245">
        <f>data!P60</f>
        <v>0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859924</v>
      </c>
      <c r="E43" s="238">
        <f>data!L61</f>
        <v>1515686</v>
      </c>
      <c r="F43" s="238">
        <f>data!M61</f>
        <v>0</v>
      </c>
      <c r="G43" s="238">
        <f>data!N61</f>
        <v>666128</v>
      </c>
      <c r="H43" s="238">
        <f>data!O61</f>
        <v>0</v>
      </c>
      <c r="I43" s="238">
        <f>data!P61</f>
        <v>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194360</v>
      </c>
      <c r="E44" s="238">
        <f>data!L62</f>
        <v>342575</v>
      </c>
      <c r="F44" s="238">
        <f>data!M62</f>
        <v>0</v>
      </c>
      <c r="G44" s="238">
        <f>data!N62</f>
        <v>150558</v>
      </c>
      <c r="H44" s="238">
        <f>data!O62</f>
        <v>0</v>
      </c>
      <c r="I44" s="238">
        <f>data!P62</f>
        <v>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12298</v>
      </c>
      <c r="E45" s="238">
        <f>data!L63</f>
        <v>675713</v>
      </c>
      <c r="F45" s="238">
        <f>data!M63</f>
        <v>0</v>
      </c>
      <c r="G45" s="238">
        <f>data!N63</f>
        <v>702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24321</v>
      </c>
      <c r="E46" s="238">
        <f>data!L64</f>
        <v>92902</v>
      </c>
      <c r="F46" s="238">
        <f>data!M64</f>
        <v>0</v>
      </c>
      <c r="G46" s="238">
        <f>data!N64</f>
        <v>15541</v>
      </c>
      <c r="H46" s="238">
        <f>data!O64</f>
        <v>0</v>
      </c>
      <c r="I46" s="238">
        <f>data!P64</f>
        <v>0</v>
      </c>
    </row>
    <row r="47" spans="1:9" ht="20.100000000000001" customHeight="1" x14ac:dyDescent="0.2">
      <c r="A47" s="230">
        <v>10</v>
      </c>
      <c r="B47" s="238" t="s">
        <v>521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522</v>
      </c>
      <c r="C48" s="238">
        <f>data!J66</f>
        <v>0</v>
      </c>
      <c r="D48" s="238">
        <f>data!K66</f>
        <v>128</v>
      </c>
      <c r="E48" s="238">
        <f>data!L66</f>
        <v>11202</v>
      </c>
      <c r="F48" s="238">
        <f>data!M66</f>
        <v>0</v>
      </c>
      <c r="G48" s="238">
        <f>data!N66</f>
        <v>869</v>
      </c>
      <c r="H48" s="238">
        <f>data!O66</f>
        <v>0</v>
      </c>
      <c r="I48" s="238">
        <f>data!P66</f>
        <v>0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102484</v>
      </c>
      <c r="E49" s="238">
        <f>data!L67</f>
        <v>268742</v>
      </c>
      <c r="F49" s="238">
        <f>data!M67</f>
        <v>0</v>
      </c>
      <c r="G49" s="238">
        <f>data!N67</f>
        <v>270480</v>
      </c>
      <c r="H49" s="238">
        <f>data!O67</f>
        <v>0</v>
      </c>
      <c r="I49" s="238">
        <f>data!P67</f>
        <v>0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7449</v>
      </c>
      <c r="E51" s="238">
        <f>data!L69</f>
        <v>8076</v>
      </c>
      <c r="F51" s="238">
        <f>data!M69</f>
        <v>0</v>
      </c>
      <c r="G51" s="238">
        <f>data!N69</f>
        <v>4765</v>
      </c>
      <c r="H51" s="238">
        <f>data!O69</f>
        <v>0</v>
      </c>
      <c r="I51" s="238">
        <f>data!P69</f>
        <v>0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1200964</v>
      </c>
      <c r="E53" s="238">
        <f>data!L85</f>
        <v>2914896</v>
      </c>
      <c r="F53" s="238">
        <f>data!M85</f>
        <v>0</v>
      </c>
      <c r="G53" s="238">
        <f>data!N85</f>
        <v>1109043</v>
      </c>
      <c r="H53" s="238">
        <f>data!O85</f>
        <v>0</v>
      </c>
      <c r="I53" s="238">
        <f>data!P85</f>
        <v>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0</v>
      </c>
      <c r="D55" s="246">
        <f>+data!M676</f>
        <v>1028472</v>
      </c>
      <c r="E55" s="246">
        <f>+data!M676</f>
        <v>1028472</v>
      </c>
      <c r="F55" s="246">
        <f>+data!M692</f>
        <v>0</v>
      </c>
      <c r="G55" s="246">
        <f>+data!M693</f>
        <v>226933</v>
      </c>
      <c r="H55" s="246">
        <f>+data!M680</f>
        <v>0</v>
      </c>
      <c r="I55" s="246">
        <f>+data!M681</f>
        <v>0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1871160</v>
      </c>
      <c r="E56" s="238">
        <f>data!L87</f>
        <v>1740672</v>
      </c>
      <c r="F56" s="238">
        <f>data!M87</f>
        <v>0</v>
      </c>
      <c r="G56" s="238">
        <f>data!N87</f>
        <v>1098480</v>
      </c>
      <c r="H56" s="238">
        <f>data!O87</f>
        <v>0</v>
      </c>
      <c r="I56" s="238">
        <f>data!P87</f>
        <v>0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0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1871160</v>
      </c>
      <c r="E58" s="238">
        <f>data!L89</f>
        <v>1740672</v>
      </c>
      <c r="F58" s="238">
        <f>data!M89</f>
        <v>0</v>
      </c>
      <c r="G58" s="238">
        <f>data!N89</f>
        <v>1098480</v>
      </c>
      <c r="H58" s="238">
        <f>data!O89</f>
        <v>0</v>
      </c>
      <c r="I58" s="238">
        <f>data!P89</f>
        <v>0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4657</v>
      </c>
      <c r="E60" s="238">
        <f>data!L90</f>
        <v>12212</v>
      </c>
      <c r="F60" s="238">
        <f>data!M90</f>
        <v>0</v>
      </c>
      <c r="G60" s="238">
        <f>data!N90</f>
        <v>12291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11620</v>
      </c>
      <c r="E61" s="238">
        <f>data!L91</f>
        <v>13837</v>
      </c>
      <c r="F61" s="238">
        <f>data!M91</f>
        <v>0</v>
      </c>
      <c r="G61" s="238">
        <f>data!N91</f>
        <v>24569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1291</v>
      </c>
      <c r="E62" s="238">
        <f>data!L92</f>
        <v>3464</v>
      </c>
      <c r="F62" s="238">
        <f>data!M92</f>
        <v>0</v>
      </c>
      <c r="G62" s="238">
        <f>data!N92</f>
        <v>3486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8809</v>
      </c>
      <c r="E63" s="238">
        <f>data!L93</f>
        <v>26883</v>
      </c>
      <c r="F63" s="238">
        <f>data!M93</f>
        <v>0</v>
      </c>
      <c r="G63" s="238">
        <f>data!N93</f>
        <v>6421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10.89</v>
      </c>
      <c r="E64" s="245">
        <f>data!L94</f>
        <v>16.3</v>
      </c>
      <c r="F64" s="245">
        <f>data!M94</f>
        <v>0</v>
      </c>
      <c r="G64" s="245">
        <f>data!N94</f>
        <v>8.69</v>
      </c>
      <c r="H64" s="245">
        <f>data!O94</f>
        <v>0</v>
      </c>
      <c r="I64" s="245">
        <f>data!P94</f>
        <v>0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Columbia Basin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123885</v>
      </c>
      <c r="H73" s="238">
        <f>data!V59</f>
        <v>0</v>
      </c>
      <c r="I73" s="238">
        <f>data!W59</f>
        <v>406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0</v>
      </c>
      <c r="D74" s="245">
        <f>data!R60</f>
        <v>0</v>
      </c>
      <c r="E74" s="245">
        <f>data!S60</f>
        <v>0</v>
      </c>
      <c r="F74" s="245">
        <f>data!T60</f>
        <v>0</v>
      </c>
      <c r="G74" s="245">
        <f>data!U60</f>
        <v>6.94</v>
      </c>
      <c r="H74" s="245">
        <f>data!V60</f>
        <v>0.1</v>
      </c>
      <c r="I74" s="245">
        <f>data!W60</f>
        <v>0.97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0</v>
      </c>
      <c r="D75" s="238">
        <f>data!R61</f>
        <v>0</v>
      </c>
      <c r="E75" s="238">
        <f>data!S61</f>
        <v>0</v>
      </c>
      <c r="F75" s="238">
        <f>data!T61</f>
        <v>0</v>
      </c>
      <c r="G75" s="238">
        <f>data!U61</f>
        <v>684041</v>
      </c>
      <c r="H75" s="238">
        <f>data!V61</f>
        <v>10655</v>
      </c>
      <c r="I75" s="238">
        <f>data!W61</f>
        <v>110307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0</v>
      </c>
      <c r="D76" s="238">
        <f>data!R62</f>
        <v>0</v>
      </c>
      <c r="E76" s="238">
        <f>data!S62</f>
        <v>0</v>
      </c>
      <c r="F76" s="238">
        <f>data!T62</f>
        <v>0</v>
      </c>
      <c r="G76" s="238">
        <f>data!U62</f>
        <v>154607</v>
      </c>
      <c r="H76" s="238">
        <f>data!V62</f>
        <v>2408</v>
      </c>
      <c r="I76" s="238">
        <f>data!W62</f>
        <v>24932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218257</v>
      </c>
      <c r="H77" s="238">
        <f>data!V63</f>
        <v>7687</v>
      </c>
      <c r="I77" s="238">
        <f>data!W63</f>
        <v>79584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0</v>
      </c>
      <c r="D78" s="238">
        <f>data!R64</f>
        <v>0</v>
      </c>
      <c r="E78" s="238">
        <f>data!S64</f>
        <v>1012</v>
      </c>
      <c r="F78" s="238">
        <f>data!T64</f>
        <v>0</v>
      </c>
      <c r="G78" s="238">
        <f>data!U64</f>
        <v>665273</v>
      </c>
      <c r="H78" s="238">
        <f>data!V64</f>
        <v>479</v>
      </c>
      <c r="I78" s="238">
        <f>data!W64</f>
        <v>4954</v>
      </c>
    </row>
    <row r="79" spans="1:9" ht="20.100000000000001" customHeight="1" x14ac:dyDescent="0.2">
      <c r="A79" s="230">
        <v>10</v>
      </c>
      <c r="B79" s="238" t="s">
        <v>521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522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76810</v>
      </c>
      <c r="H80" s="238">
        <f>data!V66</f>
        <v>0</v>
      </c>
      <c r="I80" s="238">
        <f>data!W66</f>
        <v>233090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70178</v>
      </c>
      <c r="F81" s="238">
        <f>data!T67</f>
        <v>0</v>
      </c>
      <c r="G81" s="238">
        <f>data!U67</f>
        <v>26034</v>
      </c>
      <c r="H81" s="238">
        <f>data!V67</f>
        <v>572</v>
      </c>
      <c r="I81" s="238">
        <f>data!W67</f>
        <v>5942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0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39516</v>
      </c>
      <c r="H83" s="238">
        <f>data!V69</f>
        <v>20</v>
      </c>
      <c r="I83" s="238">
        <f>data!W69</f>
        <v>203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-96</v>
      </c>
      <c r="F84" s="238">
        <f>-data!T84</f>
        <v>0</v>
      </c>
      <c r="G84" s="238">
        <f>-data!U84</f>
        <v>-26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0</v>
      </c>
      <c r="D85" s="238">
        <f>data!R85</f>
        <v>0</v>
      </c>
      <c r="E85" s="238">
        <f>data!S85</f>
        <v>71094</v>
      </c>
      <c r="F85" s="238">
        <f>data!T85</f>
        <v>0</v>
      </c>
      <c r="G85" s="238">
        <f>data!U85</f>
        <v>1864512</v>
      </c>
      <c r="H85" s="238">
        <f>data!V85</f>
        <v>21821</v>
      </c>
      <c r="I85" s="238">
        <f>data!W85</f>
        <v>459012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0</v>
      </c>
      <c r="D87" s="246">
        <f>+data!M683</f>
        <v>0</v>
      </c>
      <c r="E87" s="246">
        <f>+data!M684</f>
        <v>148741</v>
      </c>
      <c r="F87" s="246">
        <f>+data!M685</f>
        <v>0</v>
      </c>
      <c r="G87" s="246">
        <f>+data!M686</f>
        <v>827998</v>
      </c>
      <c r="H87" s="246">
        <f>+data!M687</f>
        <v>16121</v>
      </c>
      <c r="I87" s="246">
        <f>+data!M688</f>
        <v>186584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0</v>
      </c>
      <c r="D88" s="238">
        <f>data!R87</f>
        <v>0</v>
      </c>
      <c r="E88" s="238">
        <f>data!S87</f>
        <v>35859</v>
      </c>
      <c r="F88" s="238">
        <f>data!T87</f>
        <v>0</v>
      </c>
      <c r="G88" s="238">
        <f>data!U87</f>
        <v>558169</v>
      </c>
      <c r="H88" s="238">
        <f>data!V87</f>
        <v>4504</v>
      </c>
      <c r="I88" s="238">
        <f>data!W87</f>
        <v>31704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0</v>
      </c>
      <c r="D89" s="238">
        <f>data!R88</f>
        <v>0</v>
      </c>
      <c r="E89" s="238">
        <f>data!S88</f>
        <v>129605</v>
      </c>
      <c r="F89" s="238">
        <f>data!T88</f>
        <v>0</v>
      </c>
      <c r="G89" s="238">
        <f>data!U88</f>
        <v>4527845</v>
      </c>
      <c r="H89" s="238">
        <f>data!V88</f>
        <v>115125</v>
      </c>
      <c r="I89" s="238">
        <f>data!W88</f>
        <v>1206810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0</v>
      </c>
      <c r="D90" s="238">
        <f>data!R89</f>
        <v>0</v>
      </c>
      <c r="E90" s="238">
        <f>data!S89</f>
        <v>165464</v>
      </c>
      <c r="F90" s="238">
        <f>data!T89</f>
        <v>0</v>
      </c>
      <c r="G90" s="238">
        <f>data!U89</f>
        <v>5086014</v>
      </c>
      <c r="H90" s="238">
        <f>data!V89</f>
        <v>119629</v>
      </c>
      <c r="I90" s="238">
        <f>data!W89</f>
        <v>1238514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0</v>
      </c>
      <c r="E92" s="238">
        <f>data!S90</f>
        <v>3189</v>
      </c>
      <c r="F92" s="238">
        <f>data!T90</f>
        <v>0</v>
      </c>
      <c r="G92" s="238">
        <f>data!U90</f>
        <v>1183</v>
      </c>
      <c r="H92" s="238">
        <f>data!V90</f>
        <v>26</v>
      </c>
      <c r="I92" s="238">
        <f>data!W90</f>
        <v>270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0</v>
      </c>
      <c r="E94" s="238">
        <f>data!S92</f>
        <v>905</v>
      </c>
      <c r="F94" s="238">
        <f>data!T92</f>
        <v>0</v>
      </c>
      <c r="G94" s="238">
        <f>data!U92</f>
        <v>336</v>
      </c>
      <c r="H94" s="238">
        <f>data!V92</f>
        <v>7</v>
      </c>
      <c r="I94" s="238">
        <f>data!W92</f>
        <v>76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75</v>
      </c>
      <c r="I95" s="238">
        <f>data!W93</f>
        <v>780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Columbia Basin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2119</v>
      </c>
      <c r="D105" s="238">
        <f>data!Y59</f>
        <v>3874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3.06</v>
      </c>
      <c r="D106" s="245">
        <f>data!Y60</f>
        <v>2.73</v>
      </c>
      <c r="E106" s="245">
        <f>data!Z60</f>
        <v>0</v>
      </c>
      <c r="F106" s="245">
        <f>data!AA60</f>
        <v>0</v>
      </c>
      <c r="G106" s="245">
        <f>data!AB60</f>
        <v>0.49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347084</v>
      </c>
      <c r="D107" s="238">
        <f>data!Y61</f>
        <v>309601</v>
      </c>
      <c r="E107" s="238">
        <f>data!Z61</f>
        <v>0</v>
      </c>
      <c r="F107" s="238">
        <f>data!AA61</f>
        <v>0</v>
      </c>
      <c r="G107" s="238">
        <f>data!AB61</f>
        <v>34177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78448</v>
      </c>
      <c r="D108" s="238">
        <f>data!Y62</f>
        <v>69976</v>
      </c>
      <c r="E108" s="238">
        <f>data!Z62</f>
        <v>0</v>
      </c>
      <c r="F108" s="238">
        <f>data!AA62</f>
        <v>0</v>
      </c>
      <c r="G108" s="238">
        <f>data!AB62</f>
        <v>7725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250415</v>
      </c>
      <c r="D109" s="238">
        <f>data!Y63</f>
        <v>223373</v>
      </c>
      <c r="E109" s="238">
        <f>data!Z63</f>
        <v>0</v>
      </c>
      <c r="F109" s="238">
        <f>data!AA63</f>
        <v>0</v>
      </c>
      <c r="G109" s="238">
        <f>data!AB63</f>
        <v>58309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15589</v>
      </c>
      <c r="D110" s="238">
        <f>data!Y64</f>
        <v>13905</v>
      </c>
      <c r="E110" s="238">
        <f>data!Z64</f>
        <v>0</v>
      </c>
      <c r="F110" s="238">
        <f>data!AA64</f>
        <v>0</v>
      </c>
      <c r="G110" s="238">
        <f>data!AB64</f>
        <v>288147</v>
      </c>
      <c r="H110" s="238">
        <f>data!AC64</f>
        <v>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521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522</v>
      </c>
      <c r="C112" s="238">
        <f>data!X66</f>
        <v>77236</v>
      </c>
      <c r="D112" s="238">
        <f>data!Y66</f>
        <v>270555</v>
      </c>
      <c r="E112" s="238">
        <f>data!Z66</f>
        <v>0</v>
      </c>
      <c r="F112" s="238">
        <f>data!AA66</f>
        <v>0</v>
      </c>
      <c r="G112" s="238">
        <f>data!AB66</f>
        <v>196428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18661</v>
      </c>
      <c r="D113" s="238">
        <f>data!Y67</f>
        <v>16637</v>
      </c>
      <c r="E113" s="238">
        <f>data!Z67</f>
        <v>0</v>
      </c>
      <c r="F113" s="238">
        <f>data!AA67</f>
        <v>0</v>
      </c>
      <c r="G113" s="238">
        <f>data!AB67</f>
        <v>8164</v>
      </c>
      <c r="H113" s="238">
        <f>data!AC67</f>
        <v>0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0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638</v>
      </c>
      <c r="D115" s="238">
        <f>data!Y69</f>
        <v>63159</v>
      </c>
      <c r="E115" s="238">
        <f>data!Z69</f>
        <v>0</v>
      </c>
      <c r="F115" s="238">
        <f>data!AA69</f>
        <v>0</v>
      </c>
      <c r="G115" s="238">
        <f>data!AB69</f>
        <v>1484</v>
      </c>
      <c r="H115" s="238">
        <f>data!AC69</f>
        <v>0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-129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788071</v>
      </c>
      <c r="D117" s="238">
        <f>data!Y85</f>
        <v>967206</v>
      </c>
      <c r="E117" s="238">
        <f>data!Z85</f>
        <v>0</v>
      </c>
      <c r="F117" s="238">
        <f>data!AA85</f>
        <v>0</v>
      </c>
      <c r="G117" s="238">
        <f>data!AB85</f>
        <v>594305</v>
      </c>
      <c r="H117" s="238">
        <f>data!AC85</f>
        <v>0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531067</v>
      </c>
      <c r="D119" s="246">
        <f>+data!M690</f>
        <v>496299</v>
      </c>
      <c r="E119" s="246">
        <f>+data!M691</f>
        <v>0</v>
      </c>
      <c r="F119" s="246">
        <f>+data!M692</f>
        <v>0</v>
      </c>
      <c r="G119" s="246">
        <f>+data!M693</f>
        <v>226933</v>
      </c>
      <c r="H119" s="246">
        <f>+data!M694</f>
        <v>0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202836</v>
      </c>
      <c r="D120" s="238">
        <f>data!Y87</f>
        <v>172595</v>
      </c>
      <c r="E120" s="238">
        <f>data!Z87</f>
        <v>0</v>
      </c>
      <c r="F120" s="238">
        <f>data!AA87</f>
        <v>0</v>
      </c>
      <c r="G120" s="238">
        <f>data!AB87</f>
        <v>696044</v>
      </c>
      <c r="H120" s="238">
        <f>data!AC87</f>
        <v>0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3694188</v>
      </c>
      <c r="D121" s="238">
        <f>data!Y88</f>
        <v>3303591</v>
      </c>
      <c r="E121" s="238">
        <f>data!Z88</f>
        <v>0</v>
      </c>
      <c r="F121" s="238">
        <f>data!AA88</f>
        <v>0</v>
      </c>
      <c r="G121" s="238">
        <f>data!AB88</f>
        <v>605131</v>
      </c>
      <c r="H121" s="238">
        <f>data!AC88</f>
        <v>0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3897024</v>
      </c>
      <c r="D122" s="238">
        <f>data!Y89</f>
        <v>3476186</v>
      </c>
      <c r="E122" s="238">
        <f>data!Z89</f>
        <v>0</v>
      </c>
      <c r="F122" s="238">
        <f>data!AA89</f>
        <v>0</v>
      </c>
      <c r="G122" s="238">
        <f>data!AB89</f>
        <v>1301175</v>
      </c>
      <c r="H122" s="238">
        <f>data!AC89</f>
        <v>0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848</v>
      </c>
      <c r="D124" s="238">
        <f>data!Y90</f>
        <v>756</v>
      </c>
      <c r="E124" s="238">
        <f>data!Z90</f>
        <v>0</v>
      </c>
      <c r="F124" s="238">
        <f>data!AA90</f>
        <v>0</v>
      </c>
      <c r="G124" s="238">
        <f>data!AB90</f>
        <v>371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241</v>
      </c>
      <c r="D126" s="238">
        <f>data!Y92</f>
        <v>215</v>
      </c>
      <c r="E126" s="238">
        <f>data!Z92</f>
        <v>0</v>
      </c>
      <c r="F126" s="238">
        <f>data!AA92</f>
        <v>0</v>
      </c>
      <c r="G126" s="238">
        <f>data!AB92</f>
        <v>105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2453</v>
      </c>
      <c r="D127" s="238">
        <f>data!Y93</f>
        <v>2188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Columbia Basin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24321</v>
      </c>
      <c r="D137" s="238">
        <f>data!AF59</f>
        <v>0</v>
      </c>
      <c r="E137" s="238">
        <f>data!AG59</f>
        <v>4882</v>
      </c>
      <c r="F137" s="238">
        <f>data!AH59</f>
        <v>0</v>
      </c>
      <c r="G137" s="238">
        <f>data!AI59</f>
        <v>0</v>
      </c>
      <c r="H137" s="238">
        <f>data!AJ59</f>
        <v>11638</v>
      </c>
      <c r="I137" s="238">
        <f>data!AK59</f>
        <v>3707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8.9600000000000009</v>
      </c>
      <c r="F138" s="245">
        <f>data!AH60</f>
        <v>0</v>
      </c>
      <c r="G138" s="245">
        <f>data!AI60</f>
        <v>0</v>
      </c>
      <c r="H138" s="245">
        <f>data!AJ60</f>
        <v>15.88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923708</v>
      </c>
      <c r="F139" s="238">
        <f>data!AH61</f>
        <v>0</v>
      </c>
      <c r="G139" s="238">
        <f>data!AI61</f>
        <v>0</v>
      </c>
      <c r="H139" s="238">
        <f>data!AJ61</f>
        <v>1984926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0</v>
      </c>
      <c r="D140" s="238">
        <f>data!AF62</f>
        <v>0</v>
      </c>
      <c r="E140" s="238">
        <f>data!AG62</f>
        <v>208776</v>
      </c>
      <c r="F140" s="238">
        <f>data!AH62</f>
        <v>0</v>
      </c>
      <c r="G140" s="238">
        <f>data!AI62</f>
        <v>0</v>
      </c>
      <c r="H140" s="238">
        <f>data!AJ62</f>
        <v>448633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1015358</v>
      </c>
      <c r="D141" s="238">
        <f>data!AF63</f>
        <v>0</v>
      </c>
      <c r="E141" s="238">
        <f>data!AG63</f>
        <v>1506114</v>
      </c>
      <c r="F141" s="238">
        <f>data!AH63</f>
        <v>0</v>
      </c>
      <c r="G141" s="238">
        <f>data!AI63</f>
        <v>0</v>
      </c>
      <c r="H141" s="238">
        <f>data!AJ63</f>
        <v>93934</v>
      </c>
      <c r="I141" s="238">
        <f>data!AK63</f>
        <v>141614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8086</v>
      </c>
      <c r="D142" s="238">
        <f>data!AF64</f>
        <v>0</v>
      </c>
      <c r="E142" s="238">
        <f>data!AG64</f>
        <v>95804</v>
      </c>
      <c r="F142" s="238">
        <f>data!AH64</f>
        <v>0</v>
      </c>
      <c r="G142" s="238">
        <f>data!AI64</f>
        <v>0</v>
      </c>
      <c r="H142" s="238">
        <f>data!AJ64</f>
        <v>193616</v>
      </c>
      <c r="I142" s="238">
        <f>data!AK64</f>
        <v>869</v>
      </c>
    </row>
    <row r="143" spans="1:14" ht="20.100000000000001" customHeight="1" x14ac:dyDescent="0.2">
      <c r="A143" s="230">
        <v>10</v>
      </c>
      <c r="B143" s="238" t="s">
        <v>521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522</v>
      </c>
      <c r="C144" s="238">
        <f>data!AE66</f>
        <v>2024</v>
      </c>
      <c r="D144" s="238">
        <f>data!AF66</f>
        <v>0</v>
      </c>
      <c r="E144" s="238">
        <f>data!AG66</f>
        <v>15192</v>
      </c>
      <c r="F144" s="238">
        <f>data!AH66</f>
        <v>0</v>
      </c>
      <c r="G144" s="238">
        <f>data!AI66</f>
        <v>0</v>
      </c>
      <c r="H144" s="238">
        <f>data!AJ66</f>
        <v>13867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63356</v>
      </c>
      <c r="D145" s="238">
        <f>data!AF67</f>
        <v>0</v>
      </c>
      <c r="E145" s="238">
        <f>data!AG67</f>
        <v>63907</v>
      </c>
      <c r="F145" s="238">
        <f>data!AH67</f>
        <v>0</v>
      </c>
      <c r="G145" s="238">
        <f>data!AI67</f>
        <v>0</v>
      </c>
      <c r="H145" s="238">
        <f>data!AJ67</f>
        <v>121981</v>
      </c>
      <c r="I145" s="238">
        <f>data!AK67</f>
        <v>14524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217</v>
      </c>
      <c r="D147" s="238">
        <f>data!AF69</f>
        <v>0</v>
      </c>
      <c r="E147" s="238">
        <f>data!AG69</f>
        <v>5207</v>
      </c>
      <c r="F147" s="238">
        <f>data!AH69</f>
        <v>0</v>
      </c>
      <c r="G147" s="238">
        <f>data!AI69</f>
        <v>0</v>
      </c>
      <c r="H147" s="238">
        <f>data!AJ69</f>
        <v>60292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1089041</v>
      </c>
      <c r="D149" s="238">
        <f>data!AF85</f>
        <v>0</v>
      </c>
      <c r="E149" s="238">
        <f>data!AG85</f>
        <v>2818708</v>
      </c>
      <c r="F149" s="238">
        <f>data!AH85</f>
        <v>0</v>
      </c>
      <c r="G149" s="238">
        <f>data!AI85</f>
        <v>0</v>
      </c>
      <c r="H149" s="238">
        <f>data!AJ85</f>
        <v>2917249</v>
      </c>
      <c r="I149" s="238">
        <f>data!AK85</f>
        <v>157007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432395</v>
      </c>
      <c r="D151" s="246">
        <f>+data!M697</f>
        <v>0</v>
      </c>
      <c r="E151" s="246">
        <f>+data!M698</f>
        <v>1641089</v>
      </c>
      <c r="F151" s="246">
        <f>+data!M699</f>
        <v>0</v>
      </c>
      <c r="G151" s="246">
        <f>+data!M700</f>
        <v>0</v>
      </c>
      <c r="H151" s="246">
        <f>+data!M701</f>
        <v>1082702</v>
      </c>
      <c r="I151" s="246">
        <f>+data!M702</f>
        <v>72157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414858</v>
      </c>
      <c r="D152" s="238">
        <f>data!AF87</f>
        <v>0</v>
      </c>
      <c r="E152" s="238">
        <f>data!AG87</f>
        <v>212970</v>
      </c>
      <c r="F152" s="238">
        <f>data!AH87</f>
        <v>0</v>
      </c>
      <c r="G152" s="238">
        <f>data!AI87</f>
        <v>0</v>
      </c>
      <c r="H152" s="238">
        <f>data!AJ87</f>
        <v>2437</v>
      </c>
      <c r="I152" s="238">
        <f>data!AK87</f>
        <v>170152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1632889</v>
      </c>
      <c r="D153" s="238">
        <f>data!AF88</f>
        <v>0</v>
      </c>
      <c r="E153" s="238">
        <f>data!AG88</f>
        <v>9986911</v>
      </c>
      <c r="F153" s="238">
        <f>data!AH88</f>
        <v>0</v>
      </c>
      <c r="G153" s="238">
        <f>data!AI88</f>
        <v>0</v>
      </c>
      <c r="H153" s="238">
        <f>data!AJ88</f>
        <v>4262816</v>
      </c>
      <c r="I153" s="238">
        <f>data!AK88</f>
        <v>151689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2047747</v>
      </c>
      <c r="D154" s="238">
        <f>data!AF89</f>
        <v>0</v>
      </c>
      <c r="E154" s="238">
        <f>data!AG89</f>
        <v>10199881</v>
      </c>
      <c r="F154" s="238">
        <f>data!AH89</f>
        <v>0</v>
      </c>
      <c r="G154" s="238">
        <f>data!AI89</f>
        <v>0</v>
      </c>
      <c r="H154" s="238">
        <f>data!AJ89</f>
        <v>4265253</v>
      </c>
      <c r="I154" s="238">
        <f>data!AK89</f>
        <v>321841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2879</v>
      </c>
      <c r="D156" s="238">
        <f>data!AF90</f>
        <v>0</v>
      </c>
      <c r="E156" s="238">
        <f>data!AG90</f>
        <v>2904</v>
      </c>
      <c r="F156" s="238">
        <f>data!AH90</f>
        <v>0</v>
      </c>
      <c r="G156" s="238">
        <f>data!AI90</f>
        <v>0</v>
      </c>
      <c r="H156" s="238">
        <f>data!AJ90</f>
        <v>5543</v>
      </c>
      <c r="I156" s="238">
        <f>data!AK90</f>
        <v>660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48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817</v>
      </c>
      <c r="D158" s="238">
        <f>data!AF92</f>
        <v>0</v>
      </c>
      <c r="E158" s="238">
        <f>data!AG92</f>
        <v>824</v>
      </c>
      <c r="F158" s="238">
        <f>data!AH92</f>
        <v>0</v>
      </c>
      <c r="G158" s="238">
        <f>data!AI92</f>
        <v>0</v>
      </c>
      <c r="H158" s="238">
        <f>data!AJ92</f>
        <v>1572</v>
      </c>
      <c r="I158" s="238">
        <f>data!AK92</f>
        <v>187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3114</v>
      </c>
      <c r="D159" s="238">
        <f>data!AF93</f>
        <v>0</v>
      </c>
      <c r="E159" s="238">
        <f>data!AG93</f>
        <v>15211</v>
      </c>
      <c r="F159" s="238">
        <f>data!AH93</f>
        <v>0</v>
      </c>
      <c r="G159" s="238">
        <f>data!AI93</f>
        <v>0</v>
      </c>
      <c r="H159" s="238">
        <f>data!AJ93</f>
        <v>774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4.9000000000000004</v>
      </c>
      <c r="F160" s="245">
        <f>data!AH94</f>
        <v>0</v>
      </c>
      <c r="G160" s="245">
        <f>data!AI94</f>
        <v>0</v>
      </c>
      <c r="H160" s="245">
        <f>data!AJ94</f>
        <v>2.81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Columbia Basin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1083</v>
      </c>
      <c r="D169" s="238">
        <f>data!AM59</f>
        <v>0</v>
      </c>
      <c r="E169" s="238">
        <f>data!AN59</f>
        <v>0</v>
      </c>
      <c r="F169" s="238">
        <f>data!AO59</f>
        <v>2808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0.42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39251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8872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52907</v>
      </c>
      <c r="D173" s="238">
        <f>data!AM63</f>
        <v>0</v>
      </c>
      <c r="E173" s="238">
        <f>data!AN63</f>
        <v>0</v>
      </c>
      <c r="F173" s="238">
        <f>data!AO63</f>
        <v>17499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1677</v>
      </c>
      <c r="D174" s="238">
        <f>data!AM64</f>
        <v>0</v>
      </c>
      <c r="E174" s="238">
        <f>data!AN64</f>
        <v>0</v>
      </c>
      <c r="F174" s="238">
        <f>data!AO64</f>
        <v>2407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521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522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290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1981</v>
      </c>
      <c r="D177" s="238">
        <f>data!AM67</f>
        <v>0</v>
      </c>
      <c r="E177" s="238">
        <f>data!AN67</f>
        <v>0</v>
      </c>
      <c r="F177" s="238">
        <f>data!AO67</f>
        <v>6954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96</v>
      </c>
      <c r="D179" s="238">
        <f>data!AM69</f>
        <v>0</v>
      </c>
      <c r="E179" s="238">
        <f>data!AN69</f>
        <v>0</v>
      </c>
      <c r="F179" s="238">
        <f>data!AO69</f>
        <v>209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56661</v>
      </c>
      <c r="D181" s="238">
        <f>data!AM85</f>
        <v>0</v>
      </c>
      <c r="E181" s="238">
        <f>data!AN85</f>
        <v>0</v>
      </c>
      <c r="F181" s="238">
        <f>data!AO85</f>
        <v>75482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24779</v>
      </c>
      <c r="D183" s="246">
        <f>+data!M704</f>
        <v>0</v>
      </c>
      <c r="E183" s="246">
        <f>+data!M705</f>
        <v>0</v>
      </c>
      <c r="F183" s="246">
        <f>+data!M706</f>
        <v>67810</v>
      </c>
      <c r="G183" s="246">
        <f>+data!M707</f>
        <v>0</v>
      </c>
      <c r="H183" s="246">
        <f>+data!M708</f>
        <v>0</v>
      </c>
      <c r="I183" s="246">
        <f>+data!M709</f>
        <v>0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51855</v>
      </c>
      <c r="D184" s="238">
        <f>data!AM87</f>
        <v>0</v>
      </c>
      <c r="E184" s="238">
        <f>data!AN87</f>
        <v>0</v>
      </c>
      <c r="F184" s="238">
        <f>data!AO87</f>
        <v>6240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108049</v>
      </c>
      <c r="D185" s="238">
        <f>data!AM88</f>
        <v>0</v>
      </c>
      <c r="E185" s="238">
        <f>data!AN88</f>
        <v>0</v>
      </c>
      <c r="F185" s="238">
        <f>data!AO88</f>
        <v>260416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159904</v>
      </c>
      <c r="D186" s="238">
        <f>data!AM89</f>
        <v>0</v>
      </c>
      <c r="E186" s="238">
        <f>data!AN89</f>
        <v>0</v>
      </c>
      <c r="F186" s="238">
        <f>data!AO89</f>
        <v>266656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90</v>
      </c>
      <c r="D188" s="238">
        <f>data!AM90</f>
        <v>0</v>
      </c>
      <c r="E188" s="238">
        <f>data!AN90</f>
        <v>0</v>
      </c>
      <c r="F188" s="238">
        <f>data!AO90</f>
        <v>316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359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26</v>
      </c>
      <c r="D190" s="238">
        <f>data!AM92</f>
        <v>0</v>
      </c>
      <c r="E190" s="238">
        <f>data!AN92</f>
        <v>0</v>
      </c>
      <c r="F190" s="238">
        <f>data!AO92</f>
        <v>90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696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0.42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Columbia Basin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64072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10.3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553559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125115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58647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311712</v>
      </c>
    </row>
    <row r="207" spans="1:9" ht="20.100000000000001" customHeight="1" x14ac:dyDescent="0.2">
      <c r="A207" s="230">
        <v>10</v>
      </c>
      <c r="B207" s="238" t="s">
        <v>521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522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8829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27728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19408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-84180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1020818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1260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Columbia Basin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77714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0.86</v>
      </c>
      <c r="E234" s="245">
        <f>data!BB60</f>
        <v>3.7</v>
      </c>
      <c r="F234" s="245">
        <f>data!BC60</f>
        <v>0</v>
      </c>
      <c r="G234" s="245">
        <f>data!BD60</f>
        <v>1.81</v>
      </c>
      <c r="H234" s="245">
        <f>data!BE60</f>
        <v>4.1399999999999997</v>
      </c>
      <c r="I234" s="245">
        <f>data!BF60</f>
        <v>10.85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215589</v>
      </c>
      <c r="E235" s="238">
        <f>data!BB61</f>
        <v>239882</v>
      </c>
      <c r="F235" s="238">
        <f>data!BC61</f>
        <v>0</v>
      </c>
      <c r="G235" s="238">
        <f>data!BD61</f>
        <v>127799</v>
      </c>
      <c r="H235" s="238">
        <f>data!BE61</f>
        <v>382544</v>
      </c>
      <c r="I235" s="238">
        <f>data!BF61</f>
        <v>409816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48727</v>
      </c>
      <c r="E236" s="238">
        <f>data!BB62</f>
        <v>54218</v>
      </c>
      <c r="F236" s="238">
        <f>data!BC62</f>
        <v>0</v>
      </c>
      <c r="G236" s="238">
        <f>data!BD62</f>
        <v>28885</v>
      </c>
      <c r="H236" s="238">
        <f>data!BE62</f>
        <v>86463</v>
      </c>
      <c r="I236" s="238">
        <f>data!BF62</f>
        <v>92627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9309</v>
      </c>
      <c r="E238" s="238">
        <f>data!BB64</f>
        <v>2389</v>
      </c>
      <c r="F238" s="238">
        <f>data!BC64</f>
        <v>0</v>
      </c>
      <c r="G238" s="238">
        <f>data!BD64</f>
        <v>6498</v>
      </c>
      <c r="H238" s="238">
        <f>data!BE64</f>
        <v>46835</v>
      </c>
      <c r="I238" s="238">
        <f>data!BF64</f>
        <v>9638</v>
      </c>
    </row>
    <row r="239" spans="1:9" ht="20.100000000000001" customHeight="1" x14ac:dyDescent="0.2">
      <c r="A239" s="230">
        <v>10</v>
      </c>
      <c r="B239" s="238" t="s">
        <v>521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174216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522</v>
      </c>
      <c r="C240" s="238">
        <f>data!AZ66</f>
        <v>0</v>
      </c>
      <c r="D240" s="238">
        <f>data!BA66</f>
        <v>710</v>
      </c>
      <c r="E240" s="238">
        <f>data!BB66</f>
        <v>0</v>
      </c>
      <c r="F240" s="238">
        <f>data!BC66</f>
        <v>0</v>
      </c>
      <c r="G240" s="238">
        <f>data!BD66</f>
        <v>4488</v>
      </c>
      <c r="H240" s="238">
        <f>data!BE66</f>
        <v>414012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65249</v>
      </c>
      <c r="D241" s="238">
        <f>data!BA67</f>
        <v>30809</v>
      </c>
      <c r="E241" s="238">
        <f>data!BB67</f>
        <v>40910</v>
      </c>
      <c r="F241" s="238">
        <f>data!BC67</f>
        <v>0</v>
      </c>
      <c r="G241" s="238">
        <f>data!BD67</f>
        <v>0</v>
      </c>
      <c r="H241" s="238">
        <f>data!BE67</f>
        <v>79311</v>
      </c>
      <c r="I241" s="238">
        <f>data!BF67</f>
        <v>33670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2021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452</v>
      </c>
      <c r="E243" s="238">
        <f>data!BB69</f>
        <v>1418</v>
      </c>
      <c r="F243" s="238">
        <f>data!BC69</f>
        <v>0</v>
      </c>
      <c r="G243" s="238">
        <f>data!BD69</f>
        <v>5231</v>
      </c>
      <c r="H243" s="238">
        <f>data!BE69</f>
        <v>12977</v>
      </c>
      <c r="I243" s="238">
        <f>data!BF69</f>
        <v>2287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-19430</v>
      </c>
      <c r="H244" s="238">
        <f>-data!BE84</f>
        <v>-17898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65249</v>
      </c>
      <c r="D245" s="238">
        <f>data!BA85</f>
        <v>305596</v>
      </c>
      <c r="E245" s="238">
        <f>data!BB85</f>
        <v>338817</v>
      </c>
      <c r="F245" s="238">
        <f>data!BC85</f>
        <v>0</v>
      </c>
      <c r="G245" s="238">
        <f>data!BD85</f>
        <v>153471</v>
      </c>
      <c r="H245" s="238">
        <f>data!BE85</f>
        <v>1180481</v>
      </c>
      <c r="I245" s="238">
        <f>data!BF85</f>
        <v>548038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2965</v>
      </c>
      <c r="D252" s="254">
        <f>data!BA90</f>
        <v>1400</v>
      </c>
      <c r="E252" s="254">
        <f>data!BB90</f>
        <v>1859</v>
      </c>
      <c r="F252" s="254">
        <f>data!BC90</f>
        <v>0</v>
      </c>
      <c r="G252" s="254">
        <f>data!BD90</f>
        <v>0</v>
      </c>
      <c r="H252" s="254">
        <f>data!BE90</f>
        <v>3604</v>
      </c>
      <c r="I252" s="254">
        <f>data!BF90</f>
        <v>1530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12013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397</v>
      </c>
      <c r="E254" s="254">
        <f>data!BB92</f>
        <v>527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Columbia Basin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2.86</v>
      </c>
      <c r="E266" s="245">
        <f>data!BI60</f>
        <v>0</v>
      </c>
      <c r="F266" s="245">
        <f>data!BJ60</f>
        <v>1.72</v>
      </c>
      <c r="G266" s="245">
        <f>data!BK60</f>
        <v>5.49</v>
      </c>
      <c r="H266" s="245">
        <f>data!BL60</f>
        <v>3.98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299430</v>
      </c>
      <c r="E267" s="238">
        <f>data!BI61</f>
        <v>0</v>
      </c>
      <c r="F267" s="238">
        <f>data!BJ61</f>
        <v>188557</v>
      </c>
      <c r="G267" s="238">
        <f>data!BK61</f>
        <v>418860</v>
      </c>
      <c r="H267" s="238">
        <f>data!BL61</f>
        <v>232010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67677</v>
      </c>
      <c r="E268" s="238">
        <f>data!BI62</f>
        <v>0</v>
      </c>
      <c r="F268" s="238">
        <f>data!BJ62</f>
        <v>42618</v>
      </c>
      <c r="G268" s="238">
        <f>data!BK62</f>
        <v>94671</v>
      </c>
      <c r="H268" s="238">
        <f>data!BL62</f>
        <v>52439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345832</v>
      </c>
      <c r="G269" s="238">
        <f>data!BK63</f>
        <v>31231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18954</v>
      </c>
      <c r="E270" s="238">
        <f>data!BI64</f>
        <v>0</v>
      </c>
      <c r="F270" s="238">
        <f>data!BJ64</f>
        <v>1112</v>
      </c>
      <c r="G270" s="238">
        <f>data!BK64</f>
        <v>3238</v>
      </c>
      <c r="H270" s="238">
        <f>data!BL64</f>
        <v>4549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521</v>
      </c>
      <c r="C271" s="238">
        <f>data!BG65</f>
        <v>0</v>
      </c>
      <c r="D271" s="238">
        <f>data!BH65</f>
        <v>36618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522</v>
      </c>
      <c r="C272" s="238">
        <f>data!BG66</f>
        <v>0</v>
      </c>
      <c r="D272" s="238">
        <f>data!BH66</f>
        <v>956689</v>
      </c>
      <c r="E272" s="238">
        <f>data!BI66</f>
        <v>0</v>
      </c>
      <c r="F272" s="238">
        <f>data!BJ66</f>
        <v>134296</v>
      </c>
      <c r="G272" s="238">
        <f>data!BK66</f>
        <v>36648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16549</v>
      </c>
      <c r="E273" s="238">
        <f>data!BI67</f>
        <v>0</v>
      </c>
      <c r="F273" s="238">
        <f>data!BJ67</f>
        <v>0</v>
      </c>
      <c r="G273" s="238">
        <f>data!BK67</f>
        <v>30831</v>
      </c>
      <c r="H273" s="238">
        <f>data!BL67</f>
        <v>86397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19590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18986</v>
      </c>
      <c r="E275" s="238">
        <f>data!BI69</f>
        <v>0</v>
      </c>
      <c r="F275" s="238">
        <f>data!BJ69</f>
        <v>91960</v>
      </c>
      <c r="G275" s="238">
        <f>data!BK69</f>
        <v>62089</v>
      </c>
      <c r="H275" s="238">
        <f>data!BL69</f>
        <v>141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1434493</v>
      </c>
      <c r="E277" s="238">
        <f>data!BI85</f>
        <v>0</v>
      </c>
      <c r="F277" s="238">
        <f>data!BJ85</f>
        <v>804375</v>
      </c>
      <c r="G277" s="238">
        <f>data!BK85</f>
        <v>677568</v>
      </c>
      <c r="H277" s="238">
        <f>data!BL85</f>
        <v>375536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752</v>
      </c>
      <c r="E284" s="254">
        <f>data!BI90</f>
        <v>0</v>
      </c>
      <c r="F284" s="254">
        <f>data!BJ90</f>
        <v>0</v>
      </c>
      <c r="G284" s="254">
        <f>data!BK90</f>
        <v>1401</v>
      </c>
      <c r="H284" s="254">
        <f>data!BL90</f>
        <v>3926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213</v>
      </c>
      <c r="E286" s="254">
        <f>data!BI92</f>
        <v>0</v>
      </c>
      <c r="F286" s="253" t="str">
        <f>IF(data!BJ92&gt;0,data!BJ92,"")</f>
        <v>x</v>
      </c>
      <c r="G286" s="254">
        <f>data!BK92</f>
        <v>397</v>
      </c>
      <c r="H286" s="254">
        <f>data!BL92</f>
        <v>1114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Columbia Basin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1.65</v>
      </c>
      <c r="D298" s="245">
        <f>data!BO60</f>
        <v>0</v>
      </c>
      <c r="E298" s="245">
        <f>data!BP60</f>
        <v>0.92</v>
      </c>
      <c r="F298" s="245">
        <f>data!BQ60</f>
        <v>0</v>
      </c>
      <c r="G298" s="245">
        <f>data!BR60</f>
        <v>1.87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440776</v>
      </c>
      <c r="D299" s="238">
        <f>data!BO61</f>
        <v>0</v>
      </c>
      <c r="E299" s="238">
        <f>data!BP61</f>
        <v>102066</v>
      </c>
      <c r="F299" s="238">
        <f>data!BQ61</f>
        <v>0</v>
      </c>
      <c r="G299" s="238">
        <f>data!BR61</f>
        <v>198172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99624</v>
      </c>
      <c r="D300" s="238">
        <f>data!BO62</f>
        <v>0</v>
      </c>
      <c r="E300" s="238">
        <f>data!BP62</f>
        <v>23069</v>
      </c>
      <c r="F300" s="238">
        <f>data!BQ62</f>
        <v>0</v>
      </c>
      <c r="G300" s="238">
        <f>data!BR62</f>
        <v>44791</v>
      </c>
      <c r="H300" s="238"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3872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2125</v>
      </c>
      <c r="H301" s="238"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-6383</v>
      </c>
      <c r="D302" s="238">
        <f>data!BO64</f>
        <v>0</v>
      </c>
      <c r="E302" s="238">
        <f>data!BP64</f>
        <v>3362</v>
      </c>
      <c r="F302" s="238">
        <f>data!BQ64</f>
        <v>0</v>
      </c>
      <c r="G302" s="238">
        <f>data!BR64</f>
        <v>4014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521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522</v>
      </c>
      <c r="C304" s="238">
        <f>data!BN66</f>
        <v>72687</v>
      </c>
      <c r="D304" s="238">
        <f>data!BO66</f>
        <v>0</v>
      </c>
      <c r="E304" s="238">
        <f>data!BP66</f>
        <v>58819</v>
      </c>
      <c r="F304" s="238">
        <f>data!BQ66</f>
        <v>0</v>
      </c>
      <c r="G304" s="238">
        <f>data!BR66</f>
        <v>22751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132544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26782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288193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4453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-2065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1029248</v>
      </c>
      <c r="D309" s="238">
        <f>data!BO85</f>
        <v>0</v>
      </c>
      <c r="E309" s="238">
        <f>data!BP85</f>
        <v>187316</v>
      </c>
      <c r="F309" s="238">
        <f>data!BQ85</f>
        <v>0</v>
      </c>
      <c r="G309" s="238">
        <f>data!BR85</f>
        <v>303088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6023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1217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Columbia Basin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3.31</v>
      </c>
      <c r="E330" s="245">
        <f>data!BW60</f>
        <v>0</v>
      </c>
      <c r="F330" s="245">
        <f>data!BX60</f>
        <v>0</v>
      </c>
      <c r="G330" s="245">
        <f>data!BY60</f>
        <v>4.25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165435</v>
      </c>
      <c r="E331" s="257">
        <f>data!BW61</f>
        <v>0</v>
      </c>
      <c r="F331" s="257">
        <f>data!BX61</f>
        <v>0</v>
      </c>
      <c r="G331" s="257">
        <f>data!BY61</f>
        <v>585422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37392</v>
      </c>
      <c r="E332" s="257">
        <f>data!BW62</f>
        <v>0</v>
      </c>
      <c r="F332" s="257">
        <f>data!BX62</f>
        <v>0</v>
      </c>
      <c r="G332" s="257">
        <f>data!BY62</f>
        <v>132317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856</v>
      </c>
      <c r="F333" s="257">
        <f>data!BS63</f>
        <v>0</v>
      </c>
      <c r="G333" s="257">
        <f>data!BY63</f>
        <v>3371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851</v>
      </c>
      <c r="E334" s="257">
        <f>data!BW64</f>
        <v>320</v>
      </c>
      <c r="F334" s="257">
        <f>data!BX64</f>
        <v>0</v>
      </c>
      <c r="G334" s="257">
        <f>data!BY64</f>
        <v>19845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521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522</v>
      </c>
      <c r="C336" s="257">
        <f>data!BU66</f>
        <v>0</v>
      </c>
      <c r="D336" s="257">
        <f>data!BV66</f>
        <v>1974</v>
      </c>
      <c r="E336" s="257">
        <f>data!BW66</f>
        <v>0</v>
      </c>
      <c r="F336" s="257">
        <f>data!BX66</f>
        <v>0</v>
      </c>
      <c r="G336" s="257">
        <f>data!BY66</f>
        <v>9850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31007</v>
      </c>
      <c r="E337" s="257">
        <f>data!BW67</f>
        <v>0</v>
      </c>
      <c r="F337" s="257">
        <f>data!BX67</f>
        <v>0</v>
      </c>
      <c r="G337" s="257">
        <f>data!BY67</f>
        <v>16241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1288</v>
      </c>
      <c r="E339" s="257">
        <f>data!BW69</f>
        <v>1975</v>
      </c>
      <c r="F339" s="257">
        <f>data!BX69</f>
        <v>0</v>
      </c>
      <c r="G339" s="257">
        <f>data!BY69</f>
        <v>27257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-6065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231882</v>
      </c>
      <c r="E341" s="238">
        <f>data!BW85</f>
        <v>3151</v>
      </c>
      <c r="F341" s="238">
        <f>data!BX85</f>
        <v>0</v>
      </c>
      <c r="G341" s="238">
        <f>data!BY85</f>
        <v>794303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1409</v>
      </c>
      <c r="E348" s="254">
        <f>data!BW90</f>
        <v>0</v>
      </c>
      <c r="F348" s="254">
        <f>data!BX90</f>
        <v>0</v>
      </c>
      <c r="G348" s="254">
        <f>data!BY90</f>
        <v>738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400</v>
      </c>
      <c r="E350" s="254">
        <f>data!BW92</f>
        <v>0</v>
      </c>
      <c r="F350" s="254">
        <f>data!BX92</f>
        <v>0</v>
      </c>
      <c r="G350" s="254">
        <f>data!BY92</f>
        <v>238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Columbia Basin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135.07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12223543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2762766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4879114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1871743</v>
      </c>
    </row>
    <row r="367" spans="1:9" ht="20.100000000000001" customHeight="1" x14ac:dyDescent="0.2">
      <c r="A367" s="230">
        <v>10</v>
      </c>
      <c r="B367" s="238" t="s">
        <v>521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210834</v>
      </c>
    </row>
    <row r="368" spans="1:9" ht="20.100000000000001" customHeight="1" x14ac:dyDescent="0.2">
      <c r="A368" s="230">
        <v>11</v>
      </c>
      <c r="B368" s="238" t="s">
        <v>522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2620761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1710204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21611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0</v>
      </c>
      <c r="E371" s="257">
        <f>data!CD69</f>
        <v>869392</v>
      </c>
      <c r="F371" s="262"/>
      <c r="G371" s="262"/>
      <c r="H371" s="262"/>
      <c r="I371" s="257">
        <f>data!CE69</f>
        <v>1599787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-149496</v>
      </c>
      <c r="F372" s="248"/>
      <c r="G372" s="248"/>
      <c r="H372" s="248"/>
      <c r="I372" s="238">
        <f>-data!CE84</f>
        <v>-279385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0</v>
      </c>
      <c r="E373" s="257">
        <f>data!CD85</f>
        <v>719896</v>
      </c>
      <c r="F373" s="262"/>
      <c r="G373" s="262"/>
      <c r="H373" s="262"/>
      <c r="I373" s="238">
        <f>data!CE85</f>
        <v>27620978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1790110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7700129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29985065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37685194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77714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64072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17335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70564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45.93</v>
      </c>
    </row>
    <row r="410" ht="15" x14ac:dyDescent="0.2"/>
  </sheetData>
  <printOptions horizontalCentered="1" verticalCentered="1"/>
  <pageMargins left="0" right="0" top="0" bottom="0" header="0" footer="0"/>
  <pageSetup scale="83" fitToHeight="12" pageOrder="overThenDown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02" transitionEvaluation="1" transitionEntry="1" codeName="Sheet1">
    <tabColor rgb="FF92D050"/>
    <pageSetUpPr autoPageBreaks="0" fitToPage="1"/>
  </sheetPr>
  <dimension ref="A1:CF716"/>
  <sheetViews>
    <sheetView topLeftCell="A202" zoomScaleNormal="100" workbookViewId="0">
      <selection activeCell="B169" sqref="B16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1054</v>
      </c>
    </row>
    <row r="6" spans="1:5" x14ac:dyDescent="0.25">
      <c r="A6" s="11" t="s">
        <v>1055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4" x14ac:dyDescent="0.25">
      <c r="A37" s="318" t="s">
        <v>1056</v>
      </c>
      <c r="B37" s="319"/>
      <c r="C37" s="320"/>
      <c r="D37" s="321"/>
      <c r="E37" s="321"/>
      <c r="F37" s="321"/>
      <c r="G37" s="322"/>
    </row>
    <row r="38" spans="1:84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4" x14ac:dyDescent="0.25">
      <c r="A39" s="324" t="s">
        <v>1057</v>
      </c>
      <c r="B39" s="321"/>
      <c r="C39" s="320"/>
      <c r="D39" s="321"/>
      <c r="E39" s="321"/>
      <c r="F39" s="321"/>
      <c r="G39" s="322"/>
    </row>
    <row r="40" spans="1:84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4" x14ac:dyDescent="0.25">
      <c r="C41" s="13"/>
    </row>
    <row r="42" spans="1:84" x14ac:dyDescent="0.25">
      <c r="A42" s="11" t="s">
        <v>32</v>
      </c>
      <c r="C42" s="13"/>
      <c r="F42" s="313" t="s">
        <v>33</v>
      </c>
    </row>
    <row r="43" spans="1:84" x14ac:dyDescent="0.25">
      <c r="A43" s="313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9">
        <v>0</v>
      </c>
    </row>
    <row r="48" spans="1:84" x14ac:dyDescent="0.25">
      <c r="A48" s="25" t="s">
        <v>231</v>
      </c>
      <c r="B48" s="272">
        <v>2394993</v>
      </c>
      <c r="C48" s="25">
        <v>0</v>
      </c>
      <c r="D48" s="25">
        <v>0</v>
      </c>
      <c r="E48" s="25">
        <v>38246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179691</v>
      </c>
      <c r="L48" s="25">
        <v>308572</v>
      </c>
      <c r="M48" s="25">
        <v>0</v>
      </c>
      <c r="N48" s="25">
        <v>131444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143432</v>
      </c>
      <c r="V48" s="25">
        <v>2285</v>
      </c>
      <c r="W48" s="25">
        <v>18839</v>
      </c>
      <c r="X48" s="25">
        <v>56541</v>
      </c>
      <c r="Y48" s="25">
        <v>59020</v>
      </c>
      <c r="Z48" s="25">
        <v>0</v>
      </c>
      <c r="AA48" s="25">
        <v>0</v>
      </c>
      <c r="AB48" s="25">
        <v>7022</v>
      </c>
      <c r="AC48" s="25">
        <v>0</v>
      </c>
      <c r="AD48" s="25">
        <v>0</v>
      </c>
      <c r="AE48" s="25">
        <v>0</v>
      </c>
      <c r="AF48" s="25">
        <v>0</v>
      </c>
      <c r="AG48" s="25">
        <v>205953</v>
      </c>
      <c r="AH48" s="25">
        <v>0</v>
      </c>
      <c r="AI48" s="25">
        <v>0</v>
      </c>
      <c r="AJ48" s="25">
        <v>403136</v>
      </c>
      <c r="AK48" s="25">
        <v>0</v>
      </c>
      <c r="AL48" s="25">
        <v>0</v>
      </c>
      <c r="AM48" s="25">
        <v>0</v>
      </c>
      <c r="AN48" s="25">
        <v>0</v>
      </c>
      <c r="AO48" s="25">
        <v>6409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109284</v>
      </c>
      <c r="AZ48" s="25">
        <v>0</v>
      </c>
      <c r="BA48" s="25">
        <v>46216</v>
      </c>
      <c r="BB48" s="25">
        <v>49304</v>
      </c>
      <c r="BC48" s="25">
        <v>0</v>
      </c>
      <c r="BD48" s="25">
        <v>21200</v>
      </c>
      <c r="BE48" s="25">
        <v>76050</v>
      </c>
      <c r="BF48" s="25">
        <v>85057</v>
      </c>
      <c r="BG48" s="25">
        <v>0</v>
      </c>
      <c r="BH48" s="25">
        <v>61741</v>
      </c>
      <c r="BI48" s="25">
        <v>0</v>
      </c>
      <c r="BJ48" s="25">
        <v>-11586</v>
      </c>
      <c r="BK48" s="25">
        <v>83066</v>
      </c>
      <c r="BL48" s="25">
        <v>36236</v>
      </c>
      <c r="BM48" s="25">
        <v>0</v>
      </c>
      <c r="BN48" s="25">
        <v>61782</v>
      </c>
      <c r="BO48" s="25">
        <v>0</v>
      </c>
      <c r="BP48" s="25">
        <v>21105</v>
      </c>
      <c r="BQ48" s="25">
        <v>0</v>
      </c>
      <c r="BR48" s="25">
        <v>39826</v>
      </c>
      <c r="BS48" s="25">
        <v>0</v>
      </c>
      <c r="BT48" s="25">
        <v>0</v>
      </c>
      <c r="BU48" s="25">
        <v>0</v>
      </c>
      <c r="BV48" s="25">
        <v>66577</v>
      </c>
      <c r="BW48" s="25">
        <v>0</v>
      </c>
      <c r="BX48" s="25">
        <v>0</v>
      </c>
      <c r="BY48" s="25">
        <v>88546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  <c r="CF48" s="329">
        <v>0</v>
      </c>
    </row>
    <row r="49" spans="1:84" x14ac:dyDescent="0.25">
      <c r="A49" s="16" t="s">
        <v>232</v>
      </c>
      <c r="B49" s="25">
        <v>2394993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9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9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9">
        <v>0</v>
      </c>
    </row>
    <row r="52" spans="1:84" x14ac:dyDescent="0.25">
      <c r="A52" s="31" t="s">
        <v>234</v>
      </c>
      <c r="B52" s="330">
        <v>1777918</v>
      </c>
      <c r="C52" s="25">
        <v>0</v>
      </c>
      <c r="D52" s="25">
        <v>0</v>
      </c>
      <c r="E52" s="25">
        <v>34568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106541</v>
      </c>
      <c r="L52" s="25">
        <v>279039</v>
      </c>
      <c r="M52" s="25">
        <v>0</v>
      </c>
      <c r="N52" s="25">
        <v>281190</v>
      </c>
      <c r="O52" s="25">
        <v>0</v>
      </c>
      <c r="P52" s="25">
        <v>0</v>
      </c>
      <c r="Q52" s="25">
        <v>0</v>
      </c>
      <c r="R52" s="25">
        <v>0</v>
      </c>
      <c r="S52" s="25">
        <v>72957</v>
      </c>
      <c r="T52" s="25">
        <v>0</v>
      </c>
      <c r="U52" s="25">
        <v>27064</v>
      </c>
      <c r="V52" s="25">
        <v>732</v>
      </c>
      <c r="W52" s="25">
        <v>5994</v>
      </c>
      <c r="X52" s="25">
        <v>18051</v>
      </c>
      <c r="Y52" s="25">
        <v>18760</v>
      </c>
      <c r="Z52" s="25">
        <v>0</v>
      </c>
      <c r="AA52" s="25">
        <v>0</v>
      </c>
      <c r="AB52" s="25">
        <v>8488</v>
      </c>
      <c r="AC52" s="25">
        <v>0</v>
      </c>
      <c r="AD52" s="25">
        <v>0</v>
      </c>
      <c r="AE52" s="25">
        <v>65865</v>
      </c>
      <c r="AF52" s="25">
        <v>0</v>
      </c>
      <c r="AG52" s="25">
        <v>66437</v>
      </c>
      <c r="AH52" s="25">
        <v>0</v>
      </c>
      <c r="AI52" s="25">
        <v>0</v>
      </c>
      <c r="AJ52" s="25">
        <v>126811</v>
      </c>
      <c r="AK52" s="25">
        <v>15099</v>
      </c>
      <c r="AL52" s="25">
        <v>2059</v>
      </c>
      <c r="AM52" s="25">
        <v>0</v>
      </c>
      <c r="AN52" s="25">
        <v>0</v>
      </c>
      <c r="AO52" s="25">
        <v>5788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28826</v>
      </c>
      <c r="AZ52" s="25">
        <v>67832</v>
      </c>
      <c r="BA52" s="25">
        <v>32029</v>
      </c>
      <c r="BB52" s="25">
        <v>42530</v>
      </c>
      <c r="BC52" s="25">
        <v>0</v>
      </c>
      <c r="BD52" s="25">
        <v>0</v>
      </c>
      <c r="BE52" s="25">
        <v>82451</v>
      </c>
      <c r="BF52" s="25">
        <v>35003</v>
      </c>
      <c r="BG52" s="25">
        <v>0</v>
      </c>
      <c r="BH52" s="25">
        <v>17204</v>
      </c>
      <c r="BI52" s="25">
        <v>0</v>
      </c>
      <c r="BJ52" s="25">
        <v>0</v>
      </c>
      <c r="BK52" s="25">
        <v>32052</v>
      </c>
      <c r="BL52" s="25">
        <v>89818</v>
      </c>
      <c r="BM52" s="25">
        <v>0</v>
      </c>
      <c r="BN52" s="25">
        <v>137792</v>
      </c>
      <c r="BO52" s="25">
        <v>0</v>
      </c>
      <c r="BP52" s="25">
        <v>0</v>
      </c>
      <c r="BQ52" s="25">
        <v>0</v>
      </c>
      <c r="BR52" s="25">
        <v>27842</v>
      </c>
      <c r="BS52" s="25">
        <v>0</v>
      </c>
      <c r="BT52" s="25">
        <v>0</v>
      </c>
      <c r="BU52" s="25">
        <v>0</v>
      </c>
      <c r="BV52" s="25">
        <v>32235</v>
      </c>
      <c r="BW52" s="25">
        <v>0</v>
      </c>
      <c r="BX52" s="25">
        <v>0</v>
      </c>
      <c r="BY52" s="25">
        <v>16861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  <c r="CF52" s="329">
        <v>0</v>
      </c>
    </row>
    <row r="53" spans="1:84" x14ac:dyDescent="0.25">
      <c r="A53" s="16" t="s">
        <v>232</v>
      </c>
      <c r="B53" s="25">
        <v>1777918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9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9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9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9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9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9">
        <v>0</v>
      </c>
    </row>
    <row r="59" spans="1:84" x14ac:dyDescent="0.25">
      <c r="A59" s="31" t="s">
        <v>260</v>
      </c>
      <c r="B59" s="25"/>
      <c r="C59" s="273">
        <v>0</v>
      </c>
      <c r="D59" s="273">
        <v>0</v>
      </c>
      <c r="E59" s="273">
        <v>543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4068</v>
      </c>
      <c r="L59" s="273">
        <v>4381</v>
      </c>
      <c r="M59" s="273">
        <v>0</v>
      </c>
      <c r="N59" s="273">
        <v>9666</v>
      </c>
      <c r="O59" s="273">
        <v>0</v>
      </c>
      <c r="P59" s="331">
        <v>0</v>
      </c>
      <c r="Q59" s="331">
        <v>0</v>
      </c>
      <c r="R59" s="331">
        <v>0</v>
      </c>
      <c r="S59" s="332">
        <v>0</v>
      </c>
      <c r="T59" s="332">
        <v>0</v>
      </c>
      <c r="U59" s="333">
        <v>119133</v>
      </c>
      <c r="V59" s="331">
        <v>0</v>
      </c>
      <c r="W59" s="331">
        <v>263</v>
      </c>
      <c r="X59" s="331">
        <v>1500</v>
      </c>
      <c r="Y59" s="331">
        <v>3865</v>
      </c>
      <c r="Z59" s="331">
        <v>0</v>
      </c>
      <c r="AA59" s="331">
        <v>0</v>
      </c>
      <c r="AB59" s="332">
        <v>0</v>
      </c>
      <c r="AC59" s="331">
        <v>0</v>
      </c>
      <c r="AD59" s="331">
        <v>0</v>
      </c>
      <c r="AE59" s="331">
        <v>18901</v>
      </c>
      <c r="AF59" s="331">
        <v>0</v>
      </c>
      <c r="AG59" s="331">
        <v>5046</v>
      </c>
      <c r="AH59" s="331">
        <v>0</v>
      </c>
      <c r="AI59" s="331">
        <v>0</v>
      </c>
      <c r="AJ59" s="331">
        <v>10292</v>
      </c>
      <c r="AK59" s="331">
        <v>3826</v>
      </c>
      <c r="AL59" s="331">
        <v>149</v>
      </c>
      <c r="AM59" s="331">
        <v>0</v>
      </c>
      <c r="AN59" s="331">
        <v>0</v>
      </c>
      <c r="AO59" s="331">
        <v>2184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60501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77714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  <c r="CF59" s="329">
        <v>0</v>
      </c>
    </row>
    <row r="60" spans="1:84" s="201" customFormat="1" ht="15.75" customHeight="1" x14ac:dyDescent="0.25">
      <c r="A60" s="207" t="s">
        <v>261</v>
      </c>
      <c r="B60" s="208"/>
      <c r="C60" s="277">
        <v>0</v>
      </c>
      <c r="D60" s="277">
        <v>0</v>
      </c>
      <c r="E60" s="277">
        <v>2.34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11.54</v>
      </c>
      <c r="L60" s="277">
        <v>18.84</v>
      </c>
      <c r="M60" s="277">
        <v>0</v>
      </c>
      <c r="N60" s="277">
        <v>8.01</v>
      </c>
      <c r="O60" s="277">
        <v>0</v>
      </c>
      <c r="P60" s="334">
        <v>0</v>
      </c>
      <c r="Q60" s="334">
        <v>0</v>
      </c>
      <c r="R60" s="334">
        <v>0</v>
      </c>
      <c r="S60" s="278">
        <v>0</v>
      </c>
      <c r="T60" s="278">
        <v>0</v>
      </c>
      <c r="U60" s="335">
        <v>6.82</v>
      </c>
      <c r="V60" s="334">
        <v>0.08</v>
      </c>
      <c r="W60" s="334">
        <v>0.66</v>
      </c>
      <c r="X60" s="334">
        <v>1.99</v>
      </c>
      <c r="Y60" s="334">
        <v>2.08</v>
      </c>
      <c r="Z60" s="334">
        <v>0</v>
      </c>
      <c r="AA60" s="334">
        <v>0</v>
      </c>
      <c r="AB60" s="278">
        <v>0.41</v>
      </c>
      <c r="AC60" s="334">
        <v>0</v>
      </c>
      <c r="AD60" s="334">
        <v>0</v>
      </c>
      <c r="AE60" s="334">
        <v>0</v>
      </c>
      <c r="AF60" s="334">
        <v>0</v>
      </c>
      <c r="AG60" s="334">
        <v>10.7</v>
      </c>
      <c r="AH60" s="334">
        <v>0</v>
      </c>
      <c r="AI60" s="334">
        <v>0</v>
      </c>
      <c r="AJ60" s="334">
        <v>13.81</v>
      </c>
      <c r="AK60" s="334">
        <v>0</v>
      </c>
      <c r="AL60" s="334">
        <v>0</v>
      </c>
      <c r="AM60" s="334">
        <v>0</v>
      </c>
      <c r="AN60" s="334">
        <v>0</v>
      </c>
      <c r="AO60" s="334">
        <v>0.39</v>
      </c>
      <c r="AP60" s="334">
        <v>0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0</v>
      </c>
      <c r="AW60" s="278">
        <v>0</v>
      </c>
      <c r="AX60" s="278">
        <v>0</v>
      </c>
      <c r="AY60" s="334">
        <v>10.119999999999999</v>
      </c>
      <c r="AZ60" s="334">
        <v>0</v>
      </c>
      <c r="BA60" s="278">
        <v>3.9</v>
      </c>
      <c r="BB60" s="278">
        <v>3.53</v>
      </c>
      <c r="BC60" s="278">
        <v>0</v>
      </c>
      <c r="BD60" s="278">
        <v>1.49</v>
      </c>
      <c r="BE60" s="334">
        <v>3.93</v>
      </c>
      <c r="BF60" s="278">
        <v>7.52</v>
      </c>
      <c r="BG60" s="278">
        <v>0</v>
      </c>
      <c r="BH60" s="278">
        <v>2.56</v>
      </c>
      <c r="BI60" s="278">
        <v>0</v>
      </c>
      <c r="BJ60" s="278">
        <v>1.75</v>
      </c>
      <c r="BK60" s="278">
        <v>5.15</v>
      </c>
      <c r="BL60" s="278">
        <v>2.5499999999999998</v>
      </c>
      <c r="BM60" s="278">
        <v>0</v>
      </c>
      <c r="BN60" s="278">
        <v>1.62</v>
      </c>
      <c r="BO60" s="278">
        <v>0</v>
      </c>
      <c r="BP60" s="278">
        <v>0.81</v>
      </c>
      <c r="BQ60" s="278">
        <v>0</v>
      </c>
      <c r="BR60" s="278">
        <v>1.58</v>
      </c>
      <c r="BS60" s="278">
        <v>0</v>
      </c>
      <c r="BT60" s="278">
        <v>0</v>
      </c>
      <c r="BU60" s="278">
        <v>0</v>
      </c>
      <c r="BV60" s="278">
        <v>3.2</v>
      </c>
      <c r="BW60" s="278">
        <v>0</v>
      </c>
      <c r="BX60" s="278">
        <v>0</v>
      </c>
      <c r="BY60" s="278">
        <v>3.97</v>
      </c>
      <c r="BZ60" s="278">
        <v>0</v>
      </c>
      <c r="CA60" s="278">
        <v>0</v>
      </c>
      <c r="CB60" s="278">
        <v>0</v>
      </c>
      <c r="CC60" s="278">
        <v>0</v>
      </c>
      <c r="CD60" s="209" t="s">
        <v>247</v>
      </c>
      <c r="CE60" s="227">
        <v>131.35000000000002</v>
      </c>
      <c r="CF60" s="336">
        <v>0</v>
      </c>
    </row>
    <row r="61" spans="1:84" x14ac:dyDescent="0.25">
      <c r="A61" s="31" t="s">
        <v>262</v>
      </c>
      <c r="B61" s="16"/>
      <c r="C61" s="273">
        <v>0</v>
      </c>
      <c r="D61" s="273">
        <v>0</v>
      </c>
      <c r="E61" s="273">
        <v>182922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859430</v>
      </c>
      <c r="L61" s="273">
        <v>1475839</v>
      </c>
      <c r="M61" s="273">
        <v>0</v>
      </c>
      <c r="N61" s="273">
        <v>628673</v>
      </c>
      <c r="O61" s="273">
        <v>0</v>
      </c>
      <c r="P61" s="331">
        <v>0</v>
      </c>
      <c r="Q61" s="331">
        <v>0</v>
      </c>
      <c r="R61" s="331">
        <v>0</v>
      </c>
      <c r="S61" s="280">
        <v>0</v>
      </c>
      <c r="T61" s="280">
        <v>0</v>
      </c>
      <c r="U61" s="333">
        <v>686006</v>
      </c>
      <c r="V61" s="331">
        <v>10927</v>
      </c>
      <c r="W61" s="331">
        <v>90103</v>
      </c>
      <c r="X61" s="331">
        <v>270427</v>
      </c>
      <c r="Y61" s="331">
        <v>282280</v>
      </c>
      <c r="Z61" s="331">
        <v>0</v>
      </c>
      <c r="AA61" s="331">
        <v>0</v>
      </c>
      <c r="AB61" s="331">
        <v>33583</v>
      </c>
      <c r="AC61" s="331">
        <v>0</v>
      </c>
      <c r="AD61" s="331">
        <v>0</v>
      </c>
      <c r="AE61" s="331">
        <v>0</v>
      </c>
      <c r="AF61" s="331">
        <v>0</v>
      </c>
      <c r="AG61" s="331">
        <v>985034</v>
      </c>
      <c r="AH61" s="331">
        <v>0</v>
      </c>
      <c r="AI61" s="331">
        <v>0</v>
      </c>
      <c r="AJ61" s="331">
        <v>1928121</v>
      </c>
      <c r="AK61" s="331">
        <v>0</v>
      </c>
      <c r="AL61" s="331">
        <v>0</v>
      </c>
      <c r="AM61" s="331">
        <v>0</v>
      </c>
      <c r="AN61" s="331">
        <v>0</v>
      </c>
      <c r="AO61" s="331">
        <v>30655</v>
      </c>
      <c r="AP61" s="331">
        <v>0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0</v>
      </c>
      <c r="AW61" s="280">
        <v>0</v>
      </c>
      <c r="AX61" s="280">
        <v>0</v>
      </c>
      <c r="AY61" s="331">
        <v>522683</v>
      </c>
      <c r="AZ61" s="331">
        <v>0</v>
      </c>
      <c r="BA61" s="280">
        <v>221044</v>
      </c>
      <c r="BB61" s="280">
        <v>235811</v>
      </c>
      <c r="BC61" s="280">
        <v>0</v>
      </c>
      <c r="BD61" s="280">
        <v>101397</v>
      </c>
      <c r="BE61" s="331">
        <v>363732</v>
      </c>
      <c r="BF61" s="280">
        <v>406810</v>
      </c>
      <c r="BG61" s="280">
        <v>0</v>
      </c>
      <c r="BH61" s="280">
        <v>295295</v>
      </c>
      <c r="BI61" s="280">
        <v>0</v>
      </c>
      <c r="BJ61" s="280">
        <v>-55413</v>
      </c>
      <c r="BK61" s="280">
        <v>397289</v>
      </c>
      <c r="BL61" s="280">
        <v>173312</v>
      </c>
      <c r="BM61" s="280">
        <v>0</v>
      </c>
      <c r="BN61" s="280">
        <v>295492</v>
      </c>
      <c r="BO61" s="280">
        <v>0</v>
      </c>
      <c r="BP61" s="280">
        <v>100940</v>
      </c>
      <c r="BQ61" s="280">
        <v>0</v>
      </c>
      <c r="BR61" s="280">
        <v>190481</v>
      </c>
      <c r="BS61" s="280">
        <v>0</v>
      </c>
      <c r="BT61" s="280">
        <v>0</v>
      </c>
      <c r="BU61" s="280">
        <v>0</v>
      </c>
      <c r="BV61" s="280">
        <v>318423</v>
      </c>
      <c r="BW61" s="280">
        <v>0</v>
      </c>
      <c r="BX61" s="280">
        <v>0</v>
      </c>
      <c r="BY61" s="280">
        <v>423497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11454793</v>
      </c>
      <c r="CF61" s="329">
        <v>0</v>
      </c>
    </row>
    <row r="62" spans="1:84" x14ac:dyDescent="0.25">
      <c r="A62" s="31" t="s">
        <v>10</v>
      </c>
      <c r="B62" s="16"/>
      <c r="C62" s="25">
        <v>0</v>
      </c>
      <c r="D62" s="25">
        <v>0</v>
      </c>
      <c r="E62" s="25">
        <v>38246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179691</v>
      </c>
      <c r="L62" s="25">
        <v>308572</v>
      </c>
      <c r="M62" s="25">
        <v>0</v>
      </c>
      <c r="N62" s="25">
        <v>131444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143432</v>
      </c>
      <c r="V62" s="25">
        <v>2285</v>
      </c>
      <c r="W62" s="25">
        <v>18839</v>
      </c>
      <c r="X62" s="25">
        <v>56541</v>
      </c>
      <c r="Y62" s="25">
        <v>59020</v>
      </c>
      <c r="Z62" s="25">
        <v>0</v>
      </c>
      <c r="AA62" s="25">
        <v>0</v>
      </c>
      <c r="AB62" s="25">
        <v>7022</v>
      </c>
      <c r="AC62" s="25">
        <v>0</v>
      </c>
      <c r="AD62" s="25">
        <v>0</v>
      </c>
      <c r="AE62" s="25">
        <v>0</v>
      </c>
      <c r="AF62" s="25">
        <v>0</v>
      </c>
      <c r="AG62" s="25">
        <v>205953</v>
      </c>
      <c r="AH62" s="25">
        <v>0</v>
      </c>
      <c r="AI62" s="25">
        <v>0</v>
      </c>
      <c r="AJ62" s="25">
        <v>403136</v>
      </c>
      <c r="AK62" s="25">
        <v>0</v>
      </c>
      <c r="AL62" s="25">
        <v>0</v>
      </c>
      <c r="AM62" s="25">
        <v>0</v>
      </c>
      <c r="AN62" s="25">
        <v>0</v>
      </c>
      <c r="AO62" s="25">
        <v>6409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109284</v>
      </c>
      <c r="AZ62" s="25">
        <v>0</v>
      </c>
      <c r="BA62" s="25">
        <v>46216</v>
      </c>
      <c r="BB62" s="25">
        <v>49304</v>
      </c>
      <c r="BC62" s="25">
        <v>0</v>
      </c>
      <c r="BD62" s="25">
        <v>21200</v>
      </c>
      <c r="BE62" s="25">
        <v>76050</v>
      </c>
      <c r="BF62" s="25">
        <v>85057</v>
      </c>
      <c r="BG62" s="25">
        <v>0</v>
      </c>
      <c r="BH62" s="25">
        <v>61741</v>
      </c>
      <c r="BI62" s="25">
        <v>0</v>
      </c>
      <c r="BJ62" s="25">
        <v>-11586</v>
      </c>
      <c r="BK62" s="25">
        <v>83066</v>
      </c>
      <c r="BL62" s="25">
        <v>36236</v>
      </c>
      <c r="BM62" s="25">
        <v>0</v>
      </c>
      <c r="BN62" s="25">
        <v>61782</v>
      </c>
      <c r="BO62" s="25">
        <v>0</v>
      </c>
      <c r="BP62" s="25">
        <v>21105</v>
      </c>
      <c r="BQ62" s="25">
        <v>0</v>
      </c>
      <c r="BR62" s="25">
        <v>39826</v>
      </c>
      <c r="BS62" s="25">
        <v>0</v>
      </c>
      <c r="BT62" s="25">
        <v>0</v>
      </c>
      <c r="BU62" s="25">
        <v>0</v>
      </c>
      <c r="BV62" s="25">
        <v>66577</v>
      </c>
      <c r="BW62" s="25">
        <v>0</v>
      </c>
      <c r="BX62" s="25">
        <v>0</v>
      </c>
      <c r="BY62" s="25">
        <v>88546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2394994</v>
      </c>
      <c r="CF62" s="329">
        <v>0</v>
      </c>
    </row>
    <row r="63" spans="1:84" x14ac:dyDescent="0.25">
      <c r="A63" s="31" t="s">
        <v>263</v>
      </c>
      <c r="B63" s="16"/>
      <c r="C63" s="273">
        <v>0</v>
      </c>
      <c r="D63" s="273">
        <v>0</v>
      </c>
      <c r="E63" s="273">
        <v>82031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15995</v>
      </c>
      <c r="L63" s="273">
        <v>661838</v>
      </c>
      <c r="M63" s="273">
        <v>0</v>
      </c>
      <c r="N63" s="273">
        <v>42240</v>
      </c>
      <c r="O63" s="273">
        <v>0</v>
      </c>
      <c r="P63" s="331">
        <v>0</v>
      </c>
      <c r="Q63" s="331">
        <v>0</v>
      </c>
      <c r="R63" s="331">
        <v>0</v>
      </c>
      <c r="S63" s="280">
        <v>0</v>
      </c>
      <c r="T63" s="280">
        <v>0</v>
      </c>
      <c r="U63" s="333">
        <v>165071</v>
      </c>
      <c r="V63" s="331">
        <v>7230</v>
      </c>
      <c r="W63" s="331">
        <v>59623</v>
      </c>
      <c r="X63" s="331">
        <v>178948</v>
      </c>
      <c r="Y63" s="331">
        <v>186792</v>
      </c>
      <c r="Z63" s="331">
        <v>0</v>
      </c>
      <c r="AA63" s="337">
        <v>0</v>
      </c>
      <c r="AB63" s="331">
        <v>61637</v>
      </c>
      <c r="AC63" s="331">
        <v>0</v>
      </c>
      <c r="AD63" s="331">
        <v>0</v>
      </c>
      <c r="AE63" s="331">
        <v>880687</v>
      </c>
      <c r="AF63" s="331">
        <v>0</v>
      </c>
      <c r="AG63" s="331">
        <v>1333646</v>
      </c>
      <c r="AH63" s="331">
        <v>0</v>
      </c>
      <c r="AI63" s="331">
        <v>0</v>
      </c>
      <c r="AJ63" s="331">
        <v>264866</v>
      </c>
      <c r="AK63" s="331">
        <v>152506</v>
      </c>
      <c r="AL63" s="331">
        <v>31235</v>
      </c>
      <c r="AM63" s="331">
        <v>0</v>
      </c>
      <c r="AN63" s="331">
        <v>0</v>
      </c>
      <c r="AO63" s="331">
        <v>13747</v>
      </c>
      <c r="AP63" s="331">
        <v>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0</v>
      </c>
      <c r="AW63" s="280">
        <v>0</v>
      </c>
      <c r="AX63" s="280">
        <v>0</v>
      </c>
      <c r="AY63" s="331">
        <v>50741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245124</v>
      </c>
      <c r="BK63" s="280">
        <v>8368</v>
      </c>
      <c r="BL63" s="280">
        <v>0</v>
      </c>
      <c r="BM63" s="280">
        <v>0</v>
      </c>
      <c r="BN63" s="280">
        <v>-23222</v>
      </c>
      <c r="BO63" s="280">
        <v>0</v>
      </c>
      <c r="BP63" s="280">
        <v>0</v>
      </c>
      <c r="BQ63" s="280">
        <v>0</v>
      </c>
      <c r="BR63" s="280">
        <v>1925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4421028</v>
      </c>
      <c r="CF63" s="329">
        <v>0</v>
      </c>
    </row>
    <row r="64" spans="1:84" x14ac:dyDescent="0.25">
      <c r="A64" s="31" t="s">
        <v>264</v>
      </c>
      <c r="B64" s="16"/>
      <c r="C64" s="273">
        <v>0</v>
      </c>
      <c r="D64" s="273">
        <v>0</v>
      </c>
      <c r="E64" s="273">
        <v>9101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20055</v>
      </c>
      <c r="L64" s="273">
        <v>73431</v>
      </c>
      <c r="M64" s="273">
        <v>0</v>
      </c>
      <c r="N64" s="273">
        <v>31203</v>
      </c>
      <c r="O64" s="273">
        <v>0</v>
      </c>
      <c r="P64" s="331">
        <v>0</v>
      </c>
      <c r="Q64" s="331">
        <v>0</v>
      </c>
      <c r="R64" s="331">
        <v>0</v>
      </c>
      <c r="S64" s="280">
        <v>430</v>
      </c>
      <c r="T64" s="280">
        <v>0</v>
      </c>
      <c r="U64" s="333">
        <v>660766</v>
      </c>
      <c r="V64" s="331">
        <v>380</v>
      </c>
      <c r="W64" s="331">
        <v>3131</v>
      </c>
      <c r="X64" s="331">
        <v>9396</v>
      </c>
      <c r="Y64" s="331">
        <v>9808</v>
      </c>
      <c r="Z64" s="331">
        <v>0</v>
      </c>
      <c r="AA64" s="331">
        <v>0</v>
      </c>
      <c r="AB64" s="331">
        <v>341967</v>
      </c>
      <c r="AC64" s="331">
        <v>0</v>
      </c>
      <c r="AD64" s="331">
        <v>0</v>
      </c>
      <c r="AE64" s="331">
        <v>5391</v>
      </c>
      <c r="AF64" s="331">
        <v>0</v>
      </c>
      <c r="AG64" s="331">
        <v>121155</v>
      </c>
      <c r="AH64" s="331">
        <v>0</v>
      </c>
      <c r="AI64" s="331">
        <v>0</v>
      </c>
      <c r="AJ64" s="331">
        <v>174719</v>
      </c>
      <c r="AK64" s="331">
        <v>681</v>
      </c>
      <c r="AL64" s="331">
        <v>53</v>
      </c>
      <c r="AM64" s="331">
        <v>0</v>
      </c>
      <c r="AN64" s="331">
        <v>0</v>
      </c>
      <c r="AO64" s="331">
        <v>1525</v>
      </c>
      <c r="AP64" s="331">
        <v>0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0</v>
      </c>
      <c r="AW64" s="280">
        <v>0</v>
      </c>
      <c r="AX64" s="280">
        <v>0</v>
      </c>
      <c r="AY64" s="331">
        <v>300094</v>
      </c>
      <c r="AZ64" s="331">
        <v>0</v>
      </c>
      <c r="BA64" s="280">
        <v>17879</v>
      </c>
      <c r="BB64" s="280">
        <v>2248</v>
      </c>
      <c r="BC64" s="280">
        <v>0</v>
      </c>
      <c r="BD64" s="280">
        <v>35886</v>
      </c>
      <c r="BE64" s="331">
        <v>48826</v>
      </c>
      <c r="BF64" s="280">
        <v>45798</v>
      </c>
      <c r="BG64" s="280">
        <v>0</v>
      </c>
      <c r="BH64" s="280">
        <v>4737</v>
      </c>
      <c r="BI64" s="280">
        <v>0</v>
      </c>
      <c r="BJ64" s="280">
        <v>-13750</v>
      </c>
      <c r="BK64" s="280">
        <v>2137</v>
      </c>
      <c r="BL64" s="280">
        <v>1341</v>
      </c>
      <c r="BM64" s="280">
        <v>0</v>
      </c>
      <c r="BN64" s="280">
        <v>-9189</v>
      </c>
      <c r="BO64" s="280">
        <v>0</v>
      </c>
      <c r="BP64" s="280">
        <v>891</v>
      </c>
      <c r="BQ64" s="280">
        <v>0</v>
      </c>
      <c r="BR64" s="280">
        <v>5763</v>
      </c>
      <c r="BS64" s="280">
        <v>0</v>
      </c>
      <c r="BT64" s="280">
        <v>0</v>
      </c>
      <c r="BU64" s="280">
        <v>0</v>
      </c>
      <c r="BV64" s="280">
        <v>214</v>
      </c>
      <c r="BW64" s="280">
        <v>0</v>
      </c>
      <c r="BX64" s="280">
        <v>0</v>
      </c>
      <c r="BY64" s="280">
        <v>11353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1917420</v>
      </c>
      <c r="CF64" s="329">
        <v>0</v>
      </c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30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7651</v>
      </c>
      <c r="BE65" s="331">
        <v>151205</v>
      </c>
      <c r="BF65" s="280">
        <v>0</v>
      </c>
      <c r="BG65" s="280">
        <v>0</v>
      </c>
      <c r="BH65" s="280">
        <v>41795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200681</v>
      </c>
      <c r="CF65" s="329">
        <v>0</v>
      </c>
    </row>
    <row r="66" spans="1:84" x14ac:dyDescent="0.25">
      <c r="A66" s="31" t="s">
        <v>266</v>
      </c>
      <c r="B66" s="16"/>
      <c r="C66" s="273">
        <v>0</v>
      </c>
      <c r="D66" s="273">
        <v>0</v>
      </c>
      <c r="E66" s="273">
        <v>2787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1367</v>
      </c>
      <c r="L66" s="273">
        <v>22489</v>
      </c>
      <c r="M66" s="273">
        <v>0</v>
      </c>
      <c r="N66" s="273">
        <v>621</v>
      </c>
      <c r="O66" s="273">
        <v>0</v>
      </c>
      <c r="P66" s="331">
        <v>0</v>
      </c>
      <c r="Q66" s="331">
        <v>0</v>
      </c>
      <c r="R66" s="331">
        <v>0</v>
      </c>
      <c r="S66" s="280">
        <v>0</v>
      </c>
      <c r="T66" s="280">
        <v>0</v>
      </c>
      <c r="U66" s="333">
        <v>46703</v>
      </c>
      <c r="V66" s="331">
        <v>0</v>
      </c>
      <c r="W66" s="331">
        <v>185414</v>
      </c>
      <c r="X66" s="331">
        <v>83465</v>
      </c>
      <c r="Y66" s="331">
        <v>183704</v>
      </c>
      <c r="Z66" s="331">
        <v>0</v>
      </c>
      <c r="AA66" s="331">
        <v>0</v>
      </c>
      <c r="AB66" s="331">
        <v>229921</v>
      </c>
      <c r="AC66" s="331">
        <v>0</v>
      </c>
      <c r="AD66" s="331">
        <v>0</v>
      </c>
      <c r="AE66" s="331">
        <v>2217</v>
      </c>
      <c r="AF66" s="331">
        <v>0</v>
      </c>
      <c r="AG66" s="331">
        <v>13898</v>
      </c>
      <c r="AH66" s="331">
        <v>0</v>
      </c>
      <c r="AI66" s="331">
        <v>0</v>
      </c>
      <c r="AJ66" s="331">
        <v>2514</v>
      </c>
      <c r="AK66" s="331">
        <v>94</v>
      </c>
      <c r="AL66" s="331">
        <v>0</v>
      </c>
      <c r="AM66" s="331">
        <v>0</v>
      </c>
      <c r="AN66" s="331">
        <v>0</v>
      </c>
      <c r="AO66" s="331">
        <v>467</v>
      </c>
      <c r="AP66" s="331">
        <v>0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0</v>
      </c>
      <c r="AW66" s="280">
        <v>0</v>
      </c>
      <c r="AX66" s="280">
        <v>0</v>
      </c>
      <c r="AY66" s="331">
        <v>11615</v>
      </c>
      <c r="AZ66" s="331">
        <v>0</v>
      </c>
      <c r="BA66" s="280">
        <v>2649</v>
      </c>
      <c r="BB66" s="280">
        <v>0</v>
      </c>
      <c r="BC66" s="280">
        <v>0</v>
      </c>
      <c r="BD66" s="280">
        <v>-63994</v>
      </c>
      <c r="BE66" s="331">
        <v>130355</v>
      </c>
      <c r="BF66" s="280">
        <v>0</v>
      </c>
      <c r="BG66" s="280">
        <v>0</v>
      </c>
      <c r="BH66" s="280">
        <v>803618</v>
      </c>
      <c r="BI66" s="280">
        <v>0</v>
      </c>
      <c r="BJ66" s="280">
        <v>77061</v>
      </c>
      <c r="BK66" s="280">
        <v>19593</v>
      </c>
      <c r="BL66" s="280">
        <v>0</v>
      </c>
      <c r="BM66" s="280">
        <v>0</v>
      </c>
      <c r="BN66" s="280">
        <v>13788</v>
      </c>
      <c r="BO66" s="280">
        <v>0</v>
      </c>
      <c r="BP66" s="280">
        <v>33511</v>
      </c>
      <c r="BQ66" s="280">
        <v>0</v>
      </c>
      <c r="BR66" s="280">
        <v>22862</v>
      </c>
      <c r="BS66" s="280">
        <v>0</v>
      </c>
      <c r="BT66" s="280">
        <v>0</v>
      </c>
      <c r="BU66" s="280">
        <v>0</v>
      </c>
      <c r="BV66" s="280">
        <v>2325</v>
      </c>
      <c r="BW66" s="280">
        <v>0</v>
      </c>
      <c r="BX66" s="280">
        <v>0</v>
      </c>
      <c r="BY66" s="280">
        <v>9428</v>
      </c>
      <c r="BZ66" s="280">
        <v>0</v>
      </c>
      <c r="CA66" s="280">
        <v>0</v>
      </c>
      <c r="CB66" s="280">
        <v>0</v>
      </c>
      <c r="CC66" s="280">
        <v>0</v>
      </c>
      <c r="CD66" s="24" t="s">
        <v>247</v>
      </c>
      <c r="CE66" s="25">
        <v>1838472</v>
      </c>
      <c r="CF66" s="329">
        <v>0</v>
      </c>
    </row>
    <row r="67" spans="1:84" x14ac:dyDescent="0.25">
      <c r="A67" s="31" t="s">
        <v>15</v>
      </c>
      <c r="B67" s="16"/>
      <c r="C67" s="25">
        <v>0</v>
      </c>
      <c r="D67" s="25">
        <v>0</v>
      </c>
      <c r="E67" s="25">
        <v>34568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106541</v>
      </c>
      <c r="L67" s="25">
        <v>279039</v>
      </c>
      <c r="M67" s="25">
        <v>0</v>
      </c>
      <c r="N67" s="25">
        <v>281190</v>
      </c>
      <c r="O67" s="25">
        <v>0</v>
      </c>
      <c r="P67" s="25">
        <v>0</v>
      </c>
      <c r="Q67" s="25">
        <v>0</v>
      </c>
      <c r="R67" s="25">
        <v>0</v>
      </c>
      <c r="S67" s="25">
        <v>72957</v>
      </c>
      <c r="T67" s="25">
        <v>0</v>
      </c>
      <c r="U67" s="25">
        <v>27064</v>
      </c>
      <c r="V67" s="25">
        <v>732</v>
      </c>
      <c r="W67" s="25">
        <v>5994</v>
      </c>
      <c r="X67" s="25">
        <v>18051</v>
      </c>
      <c r="Y67" s="25">
        <v>18760</v>
      </c>
      <c r="Z67" s="25">
        <v>0</v>
      </c>
      <c r="AA67" s="25">
        <v>0</v>
      </c>
      <c r="AB67" s="25">
        <v>8488</v>
      </c>
      <c r="AC67" s="25">
        <v>0</v>
      </c>
      <c r="AD67" s="25">
        <v>0</v>
      </c>
      <c r="AE67" s="25">
        <v>65865</v>
      </c>
      <c r="AF67" s="25">
        <v>0</v>
      </c>
      <c r="AG67" s="25">
        <v>66437</v>
      </c>
      <c r="AH67" s="25">
        <v>0</v>
      </c>
      <c r="AI67" s="25">
        <v>0</v>
      </c>
      <c r="AJ67" s="25">
        <v>126811</v>
      </c>
      <c r="AK67" s="25">
        <v>15099</v>
      </c>
      <c r="AL67" s="25">
        <v>2059</v>
      </c>
      <c r="AM67" s="25">
        <v>0</v>
      </c>
      <c r="AN67" s="25">
        <v>0</v>
      </c>
      <c r="AO67" s="25">
        <v>5788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28826</v>
      </c>
      <c r="AZ67" s="25">
        <v>67832</v>
      </c>
      <c r="BA67" s="25">
        <v>32029</v>
      </c>
      <c r="BB67" s="25">
        <v>42530</v>
      </c>
      <c r="BC67" s="25">
        <v>0</v>
      </c>
      <c r="BD67" s="25">
        <v>0</v>
      </c>
      <c r="BE67" s="25">
        <v>82451</v>
      </c>
      <c r="BF67" s="25">
        <v>35003</v>
      </c>
      <c r="BG67" s="25">
        <v>0</v>
      </c>
      <c r="BH67" s="25">
        <v>17204</v>
      </c>
      <c r="BI67" s="25">
        <v>0</v>
      </c>
      <c r="BJ67" s="25">
        <v>0</v>
      </c>
      <c r="BK67" s="25">
        <v>32052</v>
      </c>
      <c r="BL67" s="25">
        <v>89818</v>
      </c>
      <c r="BM67" s="25">
        <v>0</v>
      </c>
      <c r="BN67" s="25">
        <v>137792</v>
      </c>
      <c r="BO67" s="25">
        <v>0</v>
      </c>
      <c r="BP67" s="25">
        <v>0</v>
      </c>
      <c r="BQ67" s="25">
        <v>0</v>
      </c>
      <c r="BR67" s="25">
        <v>27842</v>
      </c>
      <c r="BS67" s="25">
        <v>0</v>
      </c>
      <c r="BT67" s="25">
        <v>0</v>
      </c>
      <c r="BU67" s="25">
        <v>0</v>
      </c>
      <c r="BV67" s="25">
        <v>32235</v>
      </c>
      <c r="BW67" s="25">
        <v>0</v>
      </c>
      <c r="BX67" s="25">
        <v>0</v>
      </c>
      <c r="BY67" s="25">
        <v>16861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1777918</v>
      </c>
      <c r="CF67" s="329">
        <v>0</v>
      </c>
    </row>
    <row r="68" spans="1:84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1">
        <v>0</v>
      </c>
      <c r="Q68" s="331">
        <v>0</v>
      </c>
      <c r="R68" s="331">
        <v>0</v>
      </c>
      <c r="S68" s="280">
        <v>0</v>
      </c>
      <c r="T68" s="280">
        <v>0</v>
      </c>
      <c r="U68" s="333">
        <v>0</v>
      </c>
      <c r="V68" s="331">
        <v>0</v>
      </c>
      <c r="W68" s="331">
        <v>0</v>
      </c>
      <c r="X68" s="331">
        <v>0</v>
      </c>
      <c r="Y68" s="331">
        <v>1889</v>
      </c>
      <c r="Z68" s="331">
        <v>0</v>
      </c>
      <c r="AA68" s="331">
        <v>0</v>
      </c>
      <c r="AB68" s="281">
        <v>0</v>
      </c>
      <c r="AC68" s="331">
        <v>0</v>
      </c>
      <c r="AD68" s="331">
        <v>0</v>
      </c>
      <c r="AE68" s="331">
        <v>0</v>
      </c>
      <c r="AF68" s="331">
        <v>0</v>
      </c>
      <c r="AG68" s="331">
        <v>0</v>
      </c>
      <c r="AH68" s="331">
        <v>0</v>
      </c>
      <c r="AI68" s="331">
        <v>0</v>
      </c>
      <c r="AJ68" s="331">
        <v>0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0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0</v>
      </c>
      <c r="AZ68" s="331">
        <v>0</v>
      </c>
      <c r="BA68" s="280">
        <v>0</v>
      </c>
      <c r="BB68" s="280">
        <v>0</v>
      </c>
      <c r="BC68" s="280">
        <v>0</v>
      </c>
      <c r="BD68" s="280">
        <v>-1269</v>
      </c>
      <c r="BE68" s="331">
        <v>1938</v>
      </c>
      <c r="BF68" s="280">
        <v>0</v>
      </c>
      <c r="BG68" s="280">
        <v>0</v>
      </c>
      <c r="BH68" s="280">
        <v>22050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24608</v>
      </c>
      <c r="CF68" s="329">
        <v>0</v>
      </c>
    </row>
    <row r="69" spans="1:84" x14ac:dyDescent="0.25">
      <c r="A69" s="31" t="s">
        <v>268</v>
      </c>
      <c r="B69" s="16"/>
      <c r="C69" s="25">
        <v>0</v>
      </c>
      <c r="D69" s="25">
        <v>0</v>
      </c>
      <c r="E69" s="25">
        <v>436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31194</v>
      </c>
      <c r="L69" s="25">
        <v>3518</v>
      </c>
      <c r="M69" s="25">
        <v>0</v>
      </c>
      <c r="N69" s="25">
        <v>4393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18629</v>
      </c>
      <c r="V69" s="25">
        <v>-149</v>
      </c>
      <c r="W69" s="25">
        <v>-1231</v>
      </c>
      <c r="X69" s="25">
        <v>-3693</v>
      </c>
      <c r="Y69" s="25">
        <v>-3855</v>
      </c>
      <c r="Z69" s="25">
        <v>0</v>
      </c>
      <c r="AA69" s="25">
        <v>0</v>
      </c>
      <c r="AB69" s="25">
        <v>1452</v>
      </c>
      <c r="AC69" s="25">
        <v>0</v>
      </c>
      <c r="AD69" s="25">
        <v>0</v>
      </c>
      <c r="AE69" s="25">
        <v>320</v>
      </c>
      <c r="AF69" s="25">
        <v>0</v>
      </c>
      <c r="AG69" s="25">
        <v>2366</v>
      </c>
      <c r="AH69" s="25">
        <v>0</v>
      </c>
      <c r="AI69" s="25">
        <v>0</v>
      </c>
      <c r="AJ69" s="25">
        <v>34242</v>
      </c>
      <c r="AK69" s="25">
        <v>0</v>
      </c>
      <c r="AL69" s="25">
        <v>0</v>
      </c>
      <c r="AM69" s="25">
        <v>0</v>
      </c>
      <c r="AN69" s="25">
        <v>0</v>
      </c>
      <c r="AO69" s="25">
        <v>73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2071</v>
      </c>
      <c r="AZ69" s="25">
        <v>0</v>
      </c>
      <c r="BA69" s="25">
        <v>93</v>
      </c>
      <c r="BB69" s="25">
        <v>66</v>
      </c>
      <c r="BC69" s="25">
        <v>0</v>
      </c>
      <c r="BD69" s="25">
        <v>-31301</v>
      </c>
      <c r="BE69" s="25">
        <v>9827</v>
      </c>
      <c r="BF69" s="25">
        <v>498</v>
      </c>
      <c r="BG69" s="25">
        <v>0</v>
      </c>
      <c r="BH69" s="25">
        <v>195331</v>
      </c>
      <c r="BI69" s="25">
        <v>0</v>
      </c>
      <c r="BJ69" s="25">
        <v>64936</v>
      </c>
      <c r="BK69" s="25">
        <v>48645</v>
      </c>
      <c r="BL69" s="25">
        <v>546</v>
      </c>
      <c r="BM69" s="25">
        <v>0</v>
      </c>
      <c r="BN69" s="25">
        <v>153633</v>
      </c>
      <c r="BO69" s="25">
        <v>0</v>
      </c>
      <c r="BP69" s="25">
        <v>6</v>
      </c>
      <c r="BQ69" s="25">
        <v>0</v>
      </c>
      <c r="BR69" s="25">
        <v>2245</v>
      </c>
      <c r="BS69" s="25">
        <v>0</v>
      </c>
      <c r="BT69" s="25">
        <v>0</v>
      </c>
      <c r="BU69" s="25">
        <v>0</v>
      </c>
      <c r="BV69" s="25">
        <v>474</v>
      </c>
      <c r="BW69" s="25">
        <v>3147</v>
      </c>
      <c r="BX69" s="25">
        <v>0</v>
      </c>
      <c r="BY69" s="25">
        <v>3986</v>
      </c>
      <c r="BZ69" s="25">
        <v>0</v>
      </c>
      <c r="CA69" s="25">
        <v>0</v>
      </c>
      <c r="CB69" s="25">
        <v>0</v>
      </c>
      <c r="CC69" s="25">
        <v>0</v>
      </c>
      <c r="CD69" s="25">
        <v>884052</v>
      </c>
      <c r="CE69" s="25">
        <v>1425950</v>
      </c>
      <c r="CF69" s="329">
        <v>0</v>
      </c>
    </row>
    <row r="70" spans="1:84" x14ac:dyDescent="0.25">
      <c r="A70" s="26" t="s">
        <v>269</v>
      </c>
      <c r="B70" s="338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9">
        <v>0</v>
      </c>
    </row>
    <row r="71" spans="1:84" x14ac:dyDescent="0.25">
      <c r="A71" s="26" t="s">
        <v>270</v>
      </c>
      <c r="B71" s="338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9">
        <v>0</v>
      </c>
    </row>
    <row r="72" spans="1:84" x14ac:dyDescent="0.25">
      <c r="A72" s="26" t="s">
        <v>271</v>
      </c>
      <c r="B72" s="338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177123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177123</v>
      </c>
      <c r="CF72" s="329">
        <v>0</v>
      </c>
    </row>
    <row r="73" spans="1:84" x14ac:dyDescent="0.25">
      <c r="A73" s="26" t="s">
        <v>272</v>
      </c>
      <c r="B73" s="338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204692</v>
      </c>
      <c r="CE73" s="25">
        <v>204692</v>
      </c>
      <c r="CF73" s="329">
        <v>0</v>
      </c>
    </row>
    <row r="74" spans="1:84" x14ac:dyDescent="0.25">
      <c r="A74" s="26" t="s">
        <v>273</v>
      </c>
      <c r="B74" s="338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9">
        <v>0</v>
      </c>
    </row>
    <row r="75" spans="1:84" x14ac:dyDescent="0.25">
      <c r="A75" s="26" t="s">
        <v>274</v>
      </c>
      <c r="B75" s="338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9">
        <v>0</v>
      </c>
    </row>
    <row r="76" spans="1:84" x14ac:dyDescent="0.25">
      <c r="A76" s="26" t="s">
        <v>275</v>
      </c>
      <c r="B76" s="339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9">
        <v>0</v>
      </c>
    </row>
    <row r="77" spans="1:84" x14ac:dyDescent="0.25">
      <c r="A77" s="26" t="s">
        <v>276</v>
      </c>
      <c r="B77" s="338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9">
        <v>0</v>
      </c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9">
        <v>0</v>
      </c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  <c r="CF79" s="329">
        <v>0</v>
      </c>
    </row>
    <row r="80" spans="1:84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  <c r="CF80" s="329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v>0</v>
      </c>
      <c r="CF81" s="329">
        <v>0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0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0</v>
      </c>
      <c r="CF82" s="329">
        <v>0</v>
      </c>
    </row>
    <row r="83" spans="1:84" x14ac:dyDescent="0.25">
      <c r="A83" s="26" t="s">
        <v>282</v>
      </c>
      <c r="B83" s="16"/>
      <c r="C83" s="273">
        <v>0</v>
      </c>
      <c r="D83" s="273">
        <v>0</v>
      </c>
      <c r="E83" s="331">
        <v>436</v>
      </c>
      <c r="F83" s="331">
        <v>0</v>
      </c>
      <c r="G83" s="273">
        <v>0</v>
      </c>
      <c r="H83" s="273">
        <v>0</v>
      </c>
      <c r="I83" s="331">
        <v>0</v>
      </c>
      <c r="J83" s="331">
        <v>0</v>
      </c>
      <c r="K83" s="331">
        <v>31194</v>
      </c>
      <c r="L83" s="331">
        <v>3518</v>
      </c>
      <c r="M83" s="273">
        <v>0</v>
      </c>
      <c r="N83" s="273">
        <v>4393</v>
      </c>
      <c r="O83" s="273">
        <v>0</v>
      </c>
      <c r="P83" s="331">
        <v>0</v>
      </c>
      <c r="Q83" s="331">
        <v>0</v>
      </c>
      <c r="R83" s="333">
        <v>0</v>
      </c>
      <c r="S83" s="331">
        <v>0</v>
      </c>
      <c r="T83" s="273">
        <v>0</v>
      </c>
      <c r="U83" s="331">
        <v>18629</v>
      </c>
      <c r="V83" s="331">
        <v>-149</v>
      </c>
      <c r="W83" s="273">
        <v>-1231</v>
      </c>
      <c r="X83" s="331">
        <v>-3693</v>
      </c>
      <c r="Y83" s="331">
        <v>-3855</v>
      </c>
      <c r="Z83" s="331">
        <v>0</v>
      </c>
      <c r="AA83" s="331">
        <v>0</v>
      </c>
      <c r="AB83" s="331">
        <v>1452</v>
      </c>
      <c r="AC83" s="331">
        <v>0</v>
      </c>
      <c r="AD83" s="331">
        <v>0</v>
      </c>
      <c r="AE83" s="331">
        <v>320</v>
      </c>
      <c r="AF83" s="331">
        <v>0</v>
      </c>
      <c r="AG83" s="331">
        <v>2366</v>
      </c>
      <c r="AH83" s="331">
        <v>0</v>
      </c>
      <c r="AI83" s="331">
        <v>0</v>
      </c>
      <c r="AJ83" s="331">
        <v>34242</v>
      </c>
      <c r="AK83" s="331">
        <v>0</v>
      </c>
      <c r="AL83" s="331">
        <v>0</v>
      </c>
      <c r="AM83" s="331">
        <v>0</v>
      </c>
      <c r="AN83" s="331">
        <v>0</v>
      </c>
      <c r="AO83" s="273">
        <v>73</v>
      </c>
      <c r="AP83" s="331">
        <v>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0</v>
      </c>
      <c r="AW83" s="331">
        <v>0</v>
      </c>
      <c r="AX83" s="331">
        <v>0</v>
      </c>
      <c r="AY83" s="331">
        <v>2071</v>
      </c>
      <c r="AZ83" s="331">
        <v>0</v>
      </c>
      <c r="BA83" s="331">
        <v>93</v>
      </c>
      <c r="BB83" s="331">
        <v>66</v>
      </c>
      <c r="BC83" s="331">
        <v>0</v>
      </c>
      <c r="BD83" s="331">
        <v>-31301</v>
      </c>
      <c r="BE83" s="331">
        <v>9827</v>
      </c>
      <c r="BF83" s="331">
        <v>498</v>
      </c>
      <c r="BG83" s="331">
        <v>0</v>
      </c>
      <c r="BH83" s="333">
        <v>18208</v>
      </c>
      <c r="BI83" s="331">
        <v>0</v>
      </c>
      <c r="BJ83" s="331">
        <v>64936</v>
      </c>
      <c r="BK83" s="331">
        <v>48645</v>
      </c>
      <c r="BL83" s="331">
        <v>546</v>
      </c>
      <c r="BM83" s="331">
        <v>0</v>
      </c>
      <c r="BN83" s="331">
        <v>153633</v>
      </c>
      <c r="BO83" s="331">
        <v>0</v>
      </c>
      <c r="BP83" s="331">
        <v>6</v>
      </c>
      <c r="BQ83" s="331">
        <v>0</v>
      </c>
      <c r="BR83" s="331">
        <v>2245</v>
      </c>
      <c r="BS83" s="331">
        <v>0</v>
      </c>
      <c r="BT83" s="331">
        <v>0</v>
      </c>
      <c r="BU83" s="331">
        <v>0</v>
      </c>
      <c r="BV83" s="331">
        <v>474</v>
      </c>
      <c r="BW83" s="331">
        <v>3147</v>
      </c>
      <c r="BX83" s="331">
        <v>0</v>
      </c>
      <c r="BY83" s="331">
        <v>3986</v>
      </c>
      <c r="BZ83" s="331">
        <v>0</v>
      </c>
      <c r="CA83" s="331">
        <v>0</v>
      </c>
      <c r="CB83" s="331">
        <v>0</v>
      </c>
      <c r="CC83" s="331">
        <v>0</v>
      </c>
      <c r="CD83" s="282">
        <v>679360</v>
      </c>
      <c r="CE83" s="25">
        <v>1044135</v>
      </c>
      <c r="CF83" s="329">
        <v>0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9</v>
      </c>
      <c r="T84" s="273">
        <v>0</v>
      </c>
      <c r="U84" s="273">
        <v>4224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2027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53846</v>
      </c>
      <c r="AZ84" s="273">
        <v>0</v>
      </c>
      <c r="BA84" s="273">
        <v>0</v>
      </c>
      <c r="BB84" s="273">
        <v>0</v>
      </c>
      <c r="BC84" s="273">
        <v>0</v>
      </c>
      <c r="BD84" s="273">
        <v>26521</v>
      </c>
      <c r="BE84" s="273">
        <v>258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6750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6719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195742</v>
      </c>
      <c r="CE84" s="25">
        <v>296096</v>
      </c>
      <c r="CF84" s="329">
        <v>0</v>
      </c>
    </row>
    <row r="85" spans="1:84" x14ac:dyDescent="0.25">
      <c r="A85" s="31" t="s">
        <v>284</v>
      </c>
      <c r="B85" s="25"/>
      <c r="C85" s="25">
        <v>0</v>
      </c>
      <c r="D85" s="25">
        <v>0</v>
      </c>
      <c r="E85" s="25">
        <v>350091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1214273</v>
      </c>
      <c r="L85" s="25">
        <v>2824726</v>
      </c>
      <c r="M85" s="25">
        <v>0</v>
      </c>
      <c r="N85" s="25">
        <v>1119764</v>
      </c>
      <c r="O85" s="25">
        <v>0</v>
      </c>
      <c r="P85" s="25">
        <v>0</v>
      </c>
      <c r="Q85" s="25">
        <v>0</v>
      </c>
      <c r="R85" s="25">
        <v>0</v>
      </c>
      <c r="S85" s="25">
        <v>73378</v>
      </c>
      <c r="T85" s="25">
        <v>0</v>
      </c>
      <c r="U85" s="25">
        <v>1743447</v>
      </c>
      <c r="V85" s="25">
        <v>21405</v>
      </c>
      <c r="W85" s="25">
        <v>361873</v>
      </c>
      <c r="X85" s="25">
        <v>613135</v>
      </c>
      <c r="Y85" s="25">
        <v>738398</v>
      </c>
      <c r="Z85" s="25">
        <v>0</v>
      </c>
      <c r="AA85" s="25">
        <v>0</v>
      </c>
      <c r="AB85" s="25">
        <v>682043</v>
      </c>
      <c r="AC85" s="25">
        <v>0</v>
      </c>
      <c r="AD85" s="25">
        <v>0</v>
      </c>
      <c r="AE85" s="25">
        <v>954480</v>
      </c>
      <c r="AF85" s="25">
        <v>0</v>
      </c>
      <c r="AG85" s="25">
        <v>2728519</v>
      </c>
      <c r="AH85" s="25">
        <v>0</v>
      </c>
      <c r="AI85" s="25">
        <v>0</v>
      </c>
      <c r="AJ85" s="25">
        <v>2934409</v>
      </c>
      <c r="AK85" s="25">
        <v>168380</v>
      </c>
      <c r="AL85" s="25">
        <v>33347</v>
      </c>
      <c r="AM85" s="25">
        <v>0</v>
      </c>
      <c r="AN85" s="25">
        <v>0</v>
      </c>
      <c r="AO85" s="25">
        <v>58664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971468</v>
      </c>
      <c r="AZ85" s="25">
        <v>67832</v>
      </c>
      <c r="BA85" s="25">
        <v>319910</v>
      </c>
      <c r="BB85" s="25">
        <v>329959</v>
      </c>
      <c r="BC85" s="25">
        <v>0</v>
      </c>
      <c r="BD85" s="25">
        <v>43049</v>
      </c>
      <c r="BE85" s="25">
        <v>864126</v>
      </c>
      <c r="BF85" s="25">
        <v>573166</v>
      </c>
      <c r="BG85" s="25">
        <v>0</v>
      </c>
      <c r="BH85" s="25">
        <v>1441771</v>
      </c>
      <c r="BI85" s="25">
        <v>0</v>
      </c>
      <c r="BJ85" s="25">
        <v>306372</v>
      </c>
      <c r="BK85" s="25">
        <v>591150</v>
      </c>
      <c r="BL85" s="25">
        <v>301253</v>
      </c>
      <c r="BM85" s="25">
        <v>0</v>
      </c>
      <c r="BN85" s="25">
        <v>623326</v>
      </c>
      <c r="BO85" s="25">
        <v>0</v>
      </c>
      <c r="BP85" s="25">
        <v>156453</v>
      </c>
      <c r="BQ85" s="25">
        <v>0</v>
      </c>
      <c r="BR85" s="25">
        <v>290944</v>
      </c>
      <c r="BS85" s="25">
        <v>0</v>
      </c>
      <c r="BT85" s="25">
        <v>0</v>
      </c>
      <c r="BU85" s="25">
        <v>0</v>
      </c>
      <c r="BV85" s="25">
        <v>413529</v>
      </c>
      <c r="BW85" s="25">
        <v>3147</v>
      </c>
      <c r="BX85" s="25">
        <v>0</v>
      </c>
      <c r="BY85" s="25">
        <v>553671</v>
      </c>
      <c r="BZ85" s="25">
        <v>0</v>
      </c>
      <c r="CA85" s="25">
        <v>0</v>
      </c>
      <c r="CB85" s="25">
        <v>0</v>
      </c>
      <c r="CC85" s="25">
        <v>0</v>
      </c>
      <c r="CD85" s="25">
        <v>688310</v>
      </c>
      <c r="CE85" s="25">
        <v>25159768</v>
      </c>
      <c r="CF85" s="329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40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1731469</v>
      </c>
      <c r="CF86" s="329">
        <v>0</v>
      </c>
    </row>
    <row r="87" spans="1:84" x14ac:dyDescent="0.25">
      <c r="A87" s="21" t="s">
        <v>286</v>
      </c>
      <c r="B87" s="16"/>
      <c r="C87" s="273">
        <v>0</v>
      </c>
      <c r="D87" s="273">
        <v>0</v>
      </c>
      <c r="E87" s="273">
        <v>1155953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1096634</v>
      </c>
      <c r="L87" s="273">
        <v>1488566</v>
      </c>
      <c r="M87" s="273">
        <v>0</v>
      </c>
      <c r="N87" s="273">
        <v>1056262</v>
      </c>
      <c r="O87" s="273">
        <v>0</v>
      </c>
      <c r="P87" s="273">
        <v>0</v>
      </c>
      <c r="Q87" s="273">
        <v>0</v>
      </c>
      <c r="R87" s="273">
        <v>0</v>
      </c>
      <c r="S87" s="273">
        <v>28321</v>
      </c>
      <c r="T87" s="273">
        <v>0</v>
      </c>
      <c r="U87" s="273">
        <v>472422</v>
      </c>
      <c r="V87" s="273">
        <v>2777</v>
      </c>
      <c r="W87" s="273">
        <v>16488</v>
      </c>
      <c r="X87" s="273">
        <v>90733</v>
      </c>
      <c r="Y87" s="273">
        <v>99405</v>
      </c>
      <c r="Z87" s="273">
        <v>0</v>
      </c>
      <c r="AA87" s="273">
        <v>0</v>
      </c>
      <c r="AB87" s="273">
        <v>778700</v>
      </c>
      <c r="AC87" s="273">
        <v>0</v>
      </c>
      <c r="AD87" s="273">
        <v>0</v>
      </c>
      <c r="AE87" s="273">
        <v>394380</v>
      </c>
      <c r="AF87" s="273">
        <v>0</v>
      </c>
      <c r="AG87" s="273">
        <v>109864</v>
      </c>
      <c r="AH87" s="273">
        <v>0</v>
      </c>
      <c r="AI87" s="273">
        <v>0</v>
      </c>
      <c r="AJ87" s="273">
        <v>8105</v>
      </c>
      <c r="AK87" s="273">
        <v>217682</v>
      </c>
      <c r="AL87" s="273">
        <v>28240</v>
      </c>
      <c r="AM87" s="273">
        <v>0</v>
      </c>
      <c r="AN87" s="273">
        <v>0</v>
      </c>
      <c r="AO87" s="273">
        <v>12017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7056549</v>
      </c>
      <c r="CF87" s="329">
        <v>0</v>
      </c>
    </row>
    <row r="88" spans="1:84" x14ac:dyDescent="0.25">
      <c r="A88" s="21" t="s">
        <v>287</v>
      </c>
      <c r="B88" s="16"/>
      <c r="C88" s="273">
        <v>0</v>
      </c>
      <c r="D88" s="273">
        <v>0</v>
      </c>
      <c r="E88" s="273">
        <v>0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3">
        <v>0</v>
      </c>
      <c r="R88" s="273">
        <v>0</v>
      </c>
      <c r="S88" s="273">
        <v>94825</v>
      </c>
      <c r="T88" s="273">
        <v>0</v>
      </c>
      <c r="U88" s="273">
        <v>3886685</v>
      </c>
      <c r="V88" s="273">
        <v>94934</v>
      </c>
      <c r="W88" s="273">
        <v>789260</v>
      </c>
      <c r="X88" s="273">
        <v>2327572</v>
      </c>
      <c r="Y88" s="273">
        <v>2424899</v>
      </c>
      <c r="Z88" s="273">
        <v>0</v>
      </c>
      <c r="AA88" s="273">
        <v>0</v>
      </c>
      <c r="AB88" s="273">
        <v>1008595</v>
      </c>
      <c r="AC88" s="273">
        <v>0</v>
      </c>
      <c r="AD88" s="273">
        <v>0</v>
      </c>
      <c r="AE88" s="273">
        <v>1403122</v>
      </c>
      <c r="AF88" s="273">
        <v>0</v>
      </c>
      <c r="AG88" s="273">
        <v>6210087</v>
      </c>
      <c r="AH88" s="273">
        <v>0</v>
      </c>
      <c r="AI88" s="273">
        <v>0</v>
      </c>
      <c r="AJ88" s="273">
        <v>3826424</v>
      </c>
      <c r="AK88" s="273">
        <v>123273</v>
      </c>
      <c r="AL88" s="273">
        <v>19060</v>
      </c>
      <c r="AM88" s="273">
        <v>0</v>
      </c>
      <c r="AN88" s="273">
        <v>0</v>
      </c>
      <c r="AO88" s="273">
        <v>208747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22417483</v>
      </c>
      <c r="CF88" s="329">
        <v>0</v>
      </c>
    </row>
    <row r="89" spans="1:84" x14ac:dyDescent="0.25">
      <c r="A89" s="21" t="s">
        <v>288</v>
      </c>
      <c r="B89" s="16"/>
      <c r="C89" s="25">
        <v>0</v>
      </c>
      <c r="D89" s="25">
        <v>0</v>
      </c>
      <c r="E89" s="25">
        <v>1155953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1096634</v>
      </c>
      <c r="L89" s="25">
        <v>1488566</v>
      </c>
      <c r="M89" s="25">
        <v>0</v>
      </c>
      <c r="N89" s="25">
        <v>1056262</v>
      </c>
      <c r="O89" s="25">
        <v>0</v>
      </c>
      <c r="P89" s="25">
        <v>0</v>
      </c>
      <c r="Q89" s="25">
        <v>0</v>
      </c>
      <c r="R89" s="25">
        <v>0</v>
      </c>
      <c r="S89" s="25">
        <v>123146</v>
      </c>
      <c r="T89" s="25">
        <v>0</v>
      </c>
      <c r="U89" s="25">
        <v>4359107</v>
      </c>
      <c r="V89" s="25">
        <v>97711</v>
      </c>
      <c r="W89" s="25">
        <v>805748</v>
      </c>
      <c r="X89" s="25">
        <v>2418305</v>
      </c>
      <c r="Y89" s="25">
        <v>2524304</v>
      </c>
      <c r="Z89" s="25">
        <v>0</v>
      </c>
      <c r="AA89" s="25">
        <v>0</v>
      </c>
      <c r="AB89" s="25">
        <v>1787295</v>
      </c>
      <c r="AC89" s="25">
        <v>0</v>
      </c>
      <c r="AD89" s="25">
        <v>0</v>
      </c>
      <c r="AE89" s="25">
        <v>1797502</v>
      </c>
      <c r="AF89" s="25">
        <v>0</v>
      </c>
      <c r="AG89" s="25">
        <v>6319951</v>
      </c>
      <c r="AH89" s="25">
        <v>0</v>
      </c>
      <c r="AI89" s="25">
        <v>0</v>
      </c>
      <c r="AJ89" s="25">
        <v>3834529</v>
      </c>
      <c r="AK89" s="25">
        <v>340955</v>
      </c>
      <c r="AL89" s="25">
        <v>47300</v>
      </c>
      <c r="AM89" s="25">
        <v>0</v>
      </c>
      <c r="AN89" s="25">
        <v>0</v>
      </c>
      <c r="AO89" s="25">
        <v>220764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29474032</v>
      </c>
      <c r="CF89" s="329">
        <v>0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1511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4657</v>
      </c>
      <c r="L90" s="273">
        <v>12197</v>
      </c>
      <c r="M90" s="273">
        <v>0</v>
      </c>
      <c r="N90" s="273">
        <v>12291</v>
      </c>
      <c r="O90" s="273">
        <v>0</v>
      </c>
      <c r="P90" s="273">
        <v>0</v>
      </c>
      <c r="Q90" s="273">
        <v>0</v>
      </c>
      <c r="R90" s="273">
        <v>0</v>
      </c>
      <c r="S90" s="273">
        <v>3189</v>
      </c>
      <c r="T90" s="273">
        <v>0</v>
      </c>
      <c r="U90" s="273">
        <v>1183</v>
      </c>
      <c r="V90" s="273">
        <v>32</v>
      </c>
      <c r="W90" s="273">
        <v>262</v>
      </c>
      <c r="X90" s="273">
        <v>789</v>
      </c>
      <c r="Y90" s="273">
        <v>820</v>
      </c>
      <c r="Z90" s="273">
        <v>0</v>
      </c>
      <c r="AA90" s="273">
        <v>0</v>
      </c>
      <c r="AB90" s="273">
        <v>371</v>
      </c>
      <c r="AC90" s="273">
        <v>0</v>
      </c>
      <c r="AD90" s="273">
        <v>0</v>
      </c>
      <c r="AE90" s="273">
        <v>2879</v>
      </c>
      <c r="AF90" s="273">
        <v>0</v>
      </c>
      <c r="AG90" s="273">
        <v>2904</v>
      </c>
      <c r="AH90" s="273">
        <v>0</v>
      </c>
      <c r="AI90" s="273">
        <v>0</v>
      </c>
      <c r="AJ90" s="273">
        <v>5543</v>
      </c>
      <c r="AK90" s="273">
        <v>660</v>
      </c>
      <c r="AL90" s="273">
        <v>90</v>
      </c>
      <c r="AM90" s="273">
        <v>0</v>
      </c>
      <c r="AN90" s="273">
        <v>0</v>
      </c>
      <c r="AO90" s="273">
        <v>253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1260</v>
      </c>
      <c r="AZ90" s="273">
        <v>2965</v>
      </c>
      <c r="BA90" s="273">
        <v>1400</v>
      </c>
      <c r="BB90" s="273">
        <v>1859</v>
      </c>
      <c r="BC90" s="273">
        <v>0</v>
      </c>
      <c r="BD90" s="273">
        <v>0</v>
      </c>
      <c r="BE90" s="273">
        <v>3604</v>
      </c>
      <c r="BF90" s="273">
        <v>1530</v>
      </c>
      <c r="BG90" s="273">
        <v>0</v>
      </c>
      <c r="BH90" s="273">
        <v>752</v>
      </c>
      <c r="BI90" s="273">
        <v>0</v>
      </c>
      <c r="BJ90" s="273">
        <v>0</v>
      </c>
      <c r="BK90" s="273">
        <v>1401</v>
      </c>
      <c r="BL90" s="273">
        <v>3926</v>
      </c>
      <c r="BM90" s="273">
        <v>0</v>
      </c>
      <c r="BN90" s="273">
        <v>6023</v>
      </c>
      <c r="BO90" s="273">
        <v>0</v>
      </c>
      <c r="BP90" s="273">
        <v>0</v>
      </c>
      <c r="BQ90" s="273">
        <v>0</v>
      </c>
      <c r="BR90" s="273">
        <v>1217</v>
      </c>
      <c r="BS90" s="273">
        <v>0</v>
      </c>
      <c r="BT90" s="273">
        <v>0</v>
      </c>
      <c r="BU90" s="273">
        <v>0</v>
      </c>
      <c r="BV90" s="273">
        <v>1409</v>
      </c>
      <c r="BW90" s="273">
        <v>0</v>
      </c>
      <c r="BX90" s="273">
        <v>0</v>
      </c>
      <c r="BY90" s="273">
        <v>737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77714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1634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11208</v>
      </c>
      <c r="L91" s="273">
        <v>13181</v>
      </c>
      <c r="M91" s="273">
        <v>0</v>
      </c>
      <c r="N91" s="273">
        <v>26487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49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274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52833</v>
      </c>
      <c r="CF91" s="25">
        <v>7668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534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1608</v>
      </c>
      <c r="L92" s="273">
        <v>4311</v>
      </c>
      <c r="M92" s="273">
        <v>0</v>
      </c>
      <c r="N92" s="273">
        <v>4344</v>
      </c>
      <c r="O92" s="273">
        <v>0</v>
      </c>
      <c r="P92" s="273">
        <v>0</v>
      </c>
      <c r="Q92" s="273">
        <v>0</v>
      </c>
      <c r="R92" s="273">
        <v>0</v>
      </c>
      <c r="S92" s="273">
        <v>1127</v>
      </c>
      <c r="T92" s="273">
        <v>0</v>
      </c>
      <c r="U92" s="273">
        <v>418</v>
      </c>
      <c r="V92" s="273">
        <v>11</v>
      </c>
      <c r="W92" s="273">
        <v>92</v>
      </c>
      <c r="X92" s="273">
        <v>278</v>
      </c>
      <c r="Y92" s="273">
        <v>290</v>
      </c>
      <c r="Z92" s="273">
        <v>0</v>
      </c>
      <c r="AA92" s="273">
        <v>0</v>
      </c>
      <c r="AB92" s="273">
        <v>131</v>
      </c>
      <c r="AC92" s="273">
        <v>0</v>
      </c>
      <c r="AD92" s="273">
        <v>0</v>
      </c>
      <c r="AE92" s="273">
        <v>1018</v>
      </c>
      <c r="AF92" s="273">
        <v>0</v>
      </c>
      <c r="AG92" s="273">
        <v>1026</v>
      </c>
      <c r="AH92" s="273">
        <v>0</v>
      </c>
      <c r="AI92" s="273">
        <v>0</v>
      </c>
      <c r="AJ92" s="273">
        <v>1959</v>
      </c>
      <c r="AK92" s="273">
        <v>233</v>
      </c>
      <c r="AL92" s="273">
        <v>32</v>
      </c>
      <c r="AM92" s="273">
        <v>0</v>
      </c>
      <c r="AN92" s="273">
        <v>0</v>
      </c>
      <c r="AO92" s="273">
        <v>90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495</v>
      </c>
      <c r="BB92" s="273">
        <v>657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266</v>
      </c>
      <c r="BI92" s="273">
        <v>0</v>
      </c>
      <c r="BJ92" s="24" t="s">
        <v>247</v>
      </c>
      <c r="BK92" s="273">
        <v>495</v>
      </c>
      <c r="BL92" s="273">
        <v>1388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498</v>
      </c>
      <c r="BW92" s="273">
        <v>0</v>
      </c>
      <c r="BX92" s="273">
        <v>0</v>
      </c>
      <c r="BY92" s="273">
        <v>298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21599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1909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10222</v>
      </c>
      <c r="L93" s="273">
        <v>15404</v>
      </c>
      <c r="M93" s="273">
        <v>0</v>
      </c>
      <c r="N93" s="273">
        <v>7161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91</v>
      </c>
      <c r="W93" s="273">
        <v>748</v>
      </c>
      <c r="X93" s="273">
        <v>2245</v>
      </c>
      <c r="Y93" s="273">
        <v>2344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556</v>
      </c>
      <c r="AF93" s="273">
        <v>0</v>
      </c>
      <c r="AG93" s="273">
        <v>15103</v>
      </c>
      <c r="AH93" s="273">
        <v>0</v>
      </c>
      <c r="AI93" s="273">
        <v>0</v>
      </c>
      <c r="AJ93" s="273">
        <v>669</v>
      </c>
      <c r="AK93" s="273">
        <v>0</v>
      </c>
      <c r="AL93" s="273">
        <v>0</v>
      </c>
      <c r="AM93" s="273">
        <v>0</v>
      </c>
      <c r="AN93" s="273">
        <v>0</v>
      </c>
      <c r="AO93" s="273">
        <v>320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56772</v>
      </c>
      <c r="CF93" s="25">
        <v>0</v>
      </c>
    </row>
    <row r="94" spans="1:84" x14ac:dyDescent="0.25">
      <c r="A94" s="21" t="s">
        <v>293</v>
      </c>
      <c r="B94" s="16"/>
      <c r="C94" s="277">
        <v>0</v>
      </c>
      <c r="D94" s="277">
        <v>0</v>
      </c>
      <c r="E94" s="277">
        <v>2.23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11.54</v>
      </c>
      <c r="L94" s="277">
        <v>18.010000000000002</v>
      </c>
      <c r="M94" s="277">
        <v>0</v>
      </c>
      <c r="N94" s="277">
        <v>7.99</v>
      </c>
      <c r="O94" s="277">
        <v>0</v>
      </c>
      <c r="P94" s="334">
        <v>0</v>
      </c>
      <c r="Q94" s="334">
        <v>0</v>
      </c>
      <c r="R94" s="334">
        <v>0</v>
      </c>
      <c r="S94" s="278">
        <v>0</v>
      </c>
      <c r="T94" s="278">
        <v>0</v>
      </c>
      <c r="U94" s="335">
        <v>0</v>
      </c>
      <c r="V94" s="334">
        <v>0</v>
      </c>
      <c r="W94" s="334">
        <v>0</v>
      </c>
      <c r="X94" s="334">
        <v>0</v>
      </c>
      <c r="Y94" s="334">
        <v>0</v>
      </c>
      <c r="Z94" s="334">
        <v>0</v>
      </c>
      <c r="AA94" s="334">
        <v>0</v>
      </c>
      <c r="AB94" s="278">
        <v>0</v>
      </c>
      <c r="AC94" s="334">
        <v>0</v>
      </c>
      <c r="AD94" s="334">
        <v>0</v>
      </c>
      <c r="AE94" s="334">
        <v>0</v>
      </c>
      <c r="AF94" s="334">
        <v>0</v>
      </c>
      <c r="AG94" s="334">
        <v>6.04</v>
      </c>
      <c r="AH94" s="334">
        <v>0</v>
      </c>
      <c r="AI94" s="334">
        <v>0</v>
      </c>
      <c r="AJ94" s="334">
        <v>3.58</v>
      </c>
      <c r="AK94" s="334">
        <v>0</v>
      </c>
      <c r="AL94" s="334">
        <v>0</v>
      </c>
      <c r="AM94" s="334">
        <v>0</v>
      </c>
      <c r="AN94" s="334">
        <v>0</v>
      </c>
      <c r="AO94" s="334">
        <v>0.37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49.76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341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341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342" t="s">
        <v>310</v>
      </c>
      <c r="D102" s="284" t="s">
        <v>297</v>
      </c>
      <c r="E102" s="285" t="s">
        <v>297</v>
      </c>
      <c r="F102" s="12"/>
    </row>
    <row r="103" spans="1:6" x14ac:dyDescent="0.25">
      <c r="A103" s="25" t="s">
        <v>311</v>
      </c>
      <c r="B103" s="32" t="s">
        <v>299</v>
      </c>
      <c r="C103" s="287" t="s">
        <v>312</v>
      </c>
      <c r="D103" s="284" t="s">
        <v>297</v>
      </c>
      <c r="E103" s="285" t="s">
        <v>297</v>
      </c>
      <c r="F103" s="12"/>
    </row>
    <row r="104" spans="1:6" x14ac:dyDescent="0.25">
      <c r="A104" s="25" t="s">
        <v>313</v>
      </c>
      <c r="B104" s="32" t="s">
        <v>299</v>
      </c>
      <c r="C104" s="343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314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315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316</v>
      </c>
      <c r="B107" s="32" t="s">
        <v>299</v>
      </c>
      <c r="C107" s="344" t="s">
        <v>317</v>
      </c>
      <c r="D107" s="284" t="s">
        <v>297</v>
      </c>
      <c r="E107" s="285" t="s">
        <v>297</v>
      </c>
      <c r="F107" s="12"/>
    </row>
    <row r="108" spans="1:6" x14ac:dyDescent="0.25">
      <c r="A108" s="25" t="s">
        <v>318</v>
      </c>
      <c r="B108" s="32" t="s">
        <v>299</v>
      </c>
      <c r="C108" s="344" t="s">
        <v>319</v>
      </c>
      <c r="D108" s="284" t="s">
        <v>297</v>
      </c>
      <c r="E108" s="285" t="s">
        <v>297</v>
      </c>
      <c r="F108" s="12"/>
    </row>
    <row r="109" spans="1:6" x14ac:dyDescent="0.25">
      <c r="A109" s="33" t="s">
        <v>320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321</v>
      </c>
      <c r="B110" s="32" t="s">
        <v>299</v>
      </c>
      <c r="C110" s="345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322</v>
      </c>
      <c r="B111" s="30"/>
      <c r="C111" s="30"/>
      <c r="D111" s="30"/>
      <c r="E111" s="30"/>
    </row>
    <row r="112" spans="1:6" x14ac:dyDescent="0.25">
      <c r="A112" s="34" t="s">
        <v>323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311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324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325</v>
      </c>
      <c r="B116" s="34"/>
      <c r="C116" s="34"/>
      <c r="D116" s="34"/>
      <c r="E116" s="34"/>
    </row>
    <row r="117" spans="1:5" x14ac:dyDescent="0.25">
      <c r="A117" s="16" t="s">
        <v>326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327</v>
      </c>
      <c r="B119" s="34"/>
      <c r="C119" s="34"/>
      <c r="D119" s="34"/>
      <c r="E119" s="34"/>
    </row>
    <row r="120" spans="1:5" x14ac:dyDescent="0.25">
      <c r="A120" s="16" t="s">
        <v>328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329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330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331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332</v>
      </c>
      <c r="B126" s="16"/>
      <c r="C126" s="17" t="s">
        <v>333</v>
      </c>
      <c r="D126" s="18" t="s">
        <v>241</v>
      </c>
      <c r="E126" s="16"/>
    </row>
    <row r="127" spans="1:5" x14ac:dyDescent="0.25">
      <c r="A127" s="16" t="s">
        <v>334</v>
      </c>
      <c r="B127" s="35" t="s">
        <v>299</v>
      </c>
      <c r="C127" s="292">
        <v>152</v>
      </c>
      <c r="D127" s="295">
        <v>543</v>
      </c>
      <c r="E127" s="16"/>
    </row>
    <row r="128" spans="1:5" x14ac:dyDescent="0.25">
      <c r="A128" s="16" t="s">
        <v>335</v>
      </c>
      <c r="B128" s="35" t="s">
        <v>299</v>
      </c>
      <c r="C128" s="292">
        <v>168</v>
      </c>
      <c r="D128" s="295">
        <v>8449</v>
      </c>
      <c r="E128" s="16"/>
    </row>
    <row r="129" spans="1:5" x14ac:dyDescent="0.25">
      <c r="A129" s="16" t="s">
        <v>336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337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338</v>
      </c>
      <c r="B131" s="16"/>
      <c r="C131" s="17" t="s">
        <v>193</v>
      </c>
      <c r="D131" s="16"/>
      <c r="E131" s="16"/>
    </row>
    <row r="132" spans="1:5" x14ac:dyDescent="0.25">
      <c r="A132" s="16" t="s">
        <v>339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340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341</v>
      </c>
      <c r="B134" s="35" t="s">
        <v>299</v>
      </c>
      <c r="C134" s="292">
        <v>25</v>
      </c>
      <c r="D134" s="16"/>
      <c r="E134" s="16"/>
    </row>
    <row r="135" spans="1:5" x14ac:dyDescent="0.25">
      <c r="A135" s="16" t="s">
        <v>342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343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344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345</v>
      </c>
      <c r="B139" s="35" t="s">
        <v>299</v>
      </c>
      <c r="C139" s="292">
        <v>12</v>
      </c>
      <c r="D139" s="16"/>
      <c r="E139" s="16"/>
    </row>
    <row r="140" spans="1:5" x14ac:dyDescent="0.25">
      <c r="A140" s="16" t="s">
        <v>346</v>
      </c>
      <c r="B140" s="35"/>
      <c r="C140" s="292">
        <v>0</v>
      </c>
      <c r="D140" s="16"/>
      <c r="E140" s="16"/>
    </row>
    <row r="141" spans="1:5" x14ac:dyDescent="0.25">
      <c r="A141" s="16" t="s">
        <v>336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347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348</v>
      </c>
      <c r="B143" s="16"/>
      <c r="C143" s="22"/>
      <c r="D143" s="16"/>
      <c r="E143" s="25">
        <v>37</v>
      </c>
    </row>
    <row r="144" spans="1:5" x14ac:dyDescent="0.25">
      <c r="A144" s="16" t="s">
        <v>349</v>
      </c>
      <c r="B144" s="35" t="s">
        <v>299</v>
      </c>
      <c r="C144" s="292">
        <v>37</v>
      </c>
      <c r="D144" s="16"/>
      <c r="E144" s="16"/>
    </row>
    <row r="145" spans="1:6" x14ac:dyDescent="0.25">
      <c r="A145" s="16" t="s">
        <v>350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351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352</v>
      </c>
      <c r="B152" s="37"/>
      <c r="C152" s="37"/>
      <c r="D152" s="37"/>
      <c r="E152" s="37"/>
    </row>
    <row r="153" spans="1:6" x14ac:dyDescent="0.25">
      <c r="A153" s="38" t="s">
        <v>353</v>
      </c>
      <c r="B153" s="39" t="s">
        <v>354</v>
      </c>
      <c r="C153" s="40" t="s">
        <v>355</v>
      </c>
      <c r="D153" s="39" t="s">
        <v>158</v>
      </c>
      <c r="E153" s="39" t="s">
        <v>229</v>
      </c>
    </row>
    <row r="154" spans="1:6" x14ac:dyDescent="0.25">
      <c r="A154" s="16" t="s">
        <v>333</v>
      </c>
      <c r="B154" s="295">
        <v>106</v>
      </c>
      <c r="C154" s="295">
        <v>19</v>
      </c>
      <c r="D154" s="295">
        <v>27</v>
      </c>
      <c r="E154" s="25">
        <v>152</v>
      </c>
    </row>
    <row r="155" spans="1:6" x14ac:dyDescent="0.25">
      <c r="A155" s="16" t="s">
        <v>241</v>
      </c>
      <c r="B155" s="272">
        <v>368</v>
      </c>
      <c r="C155" s="272">
        <v>71</v>
      </c>
      <c r="D155" s="272">
        <v>104</v>
      </c>
      <c r="E155" s="25">
        <v>543</v>
      </c>
      <c r="F155" s="12"/>
    </row>
    <row r="156" spans="1:6" x14ac:dyDescent="0.25">
      <c r="A156" s="16" t="s">
        <v>356</v>
      </c>
      <c r="B156" s="295">
        <v>0</v>
      </c>
      <c r="C156" s="295">
        <v>0</v>
      </c>
      <c r="D156" s="295">
        <v>0</v>
      </c>
      <c r="E156" s="25">
        <v>0</v>
      </c>
    </row>
    <row r="157" spans="1:6" x14ac:dyDescent="0.25">
      <c r="A157" s="16" t="s">
        <v>286</v>
      </c>
      <c r="B157" s="295">
        <v>2568203</v>
      </c>
      <c r="C157" s="295">
        <v>1087335</v>
      </c>
      <c r="D157" s="295">
        <v>815811</v>
      </c>
      <c r="E157" s="25">
        <v>4471349</v>
      </c>
      <c r="F157" s="14"/>
    </row>
    <row r="158" spans="1:6" x14ac:dyDescent="0.25">
      <c r="A158" s="16" t="s">
        <v>287</v>
      </c>
      <c r="B158" s="295">
        <v>10097643</v>
      </c>
      <c r="C158" s="295">
        <v>5238377</v>
      </c>
      <c r="D158" s="295">
        <v>7081463</v>
      </c>
      <c r="E158" s="25">
        <v>22417483</v>
      </c>
      <c r="F158" s="14"/>
    </row>
    <row r="159" spans="1:6" x14ac:dyDescent="0.25">
      <c r="A159" s="38" t="s">
        <v>357</v>
      </c>
      <c r="B159" s="39" t="s">
        <v>354</v>
      </c>
      <c r="C159" s="40" t="s">
        <v>355</v>
      </c>
      <c r="D159" s="39" t="s">
        <v>158</v>
      </c>
      <c r="E159" s="39" t="s">
        <v>229</v>
      </c>
    </row>
    <row r="160" spans="1:6" x14ac:dyDescent="0.25">
      <c r="A160" s="16" t="s">
        <v>333</v>
      </c>
      <c r="B160" s="295">
        <v>118</v>
      </c>
      <c r="C160" s="295">
        <v>14</v>
      </c>
      <c r="D160" s="295">
        <v>36</v>
      </c>
      <c r="E160" s="25">
        <v>168</v>
      </c>
    </row>
    <row r="161" spans="1:5" x14ac:dyDescent="0.25">
      <c r="A161" s="16" t="s">
        <v>241</v>
      </c>
      <c r="B161" s="295">
        <v>1723</v>
      </c>
      <c r="C161" s="295">
        <v>4609</v>
      </c>
      <c r="D161" s="295">
        <v>2117</v>
      </c>
      <c r="E161" s="25">
        <v>8449</v>
      </c>
    </row>
    <row r="162" spans="1:5" x14ac:dyDescent="0.25">
      <c r="A162" s="16" t="s">
        <v>356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775270</v>
      </c>
      <c r="C163" s="295">
        <v>1486444</v>
      </c>
      <c r="D163" s="295">
        <v>323486</v>
      </c>
      <c r="E163" s="25">
        <v>2585200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358</v>
      </c>
      <c r="B165" s="39" t="s">
        <v>354</v>
      </c>
      <c r="C165" s="40" t="s">
        <v>355</v>
      </c>
      <c r="D165" s="39" t="s">
        <v>158</v>
      </c>
      <c r="E165" s="39" t="s">
        <v>229</v>
      </c>
    </row>
    <row r="166" spans="1:5" x14ac:dyDescent="0.25">
      <c r="A166" s="16" t="s">
        <v>333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356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359</v>
      </c>
      <c r="B172" s="39" t="s">
        <v>360</v>
      </c>
      <c r="C172" s="40" t="s">
        <v>361</v>
      </c>
      <c r="D172" s="16"/>
      <c r="E172" s="16"/>
    </row>
    <row r="173" spans="1:5" x14ac:dyDescent="0.25">
      <c r="A173" s="20" t="s">
        <v>362</v>
      </c>
      <c r="B173" s="295">
        <v>3357643</v>
      </c>
      <c r="C173" s="295">
        <v>1129574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363</v>
      </c>
      <c r="B179" s="30"/>
      <c r="C179" s="30"/>
      <c r="D179" s="30"/>
      <c r="E179" s="30"/>
    </row>
    <row r="180" spans="1:5" x14ac:dyDescent="0.25">
      <c r="A180" s="34" t="s">
        <v>364</v>
      </c>
      <c r="B180" s="34"/>
      <c r="C180" s="34"/>
      <c r="D180" s="34"/>
      <c r="E180" s="34"/>
    </row>
    <row r="181" spans="1:5" x14ac:dyDescent="0.25">
      <c r="A181" s="16" t="s">
        <v>365</v>
      </c>
      <c r="B181" s="35" t="s">
        <v>299</v>
      </c>
      <c r="C181" s="292">
        <v>857924</v>
      </c>
      <c r="D181" s="16"/>
      <c r="E181" s="16"/>
    </row>
    <row r="182" spans="1:5" x14ac:dyDescent="0.25">
      <c r="A182" s="16" t="s">
        <v>366</v>
      </c>
      <c r="B182" s="35" t="s">
        <v>299</v>
      </c>
      <c r="C182" s="292">
        <v>39307</v>
      </c>
      <c r="D182" s="16"/>
      <c r="E182" s="16"/>
    </row>
    <row r="183" spans="1:5" x14ac:dyDescent="0.25">
      <c r="A183" s="20" t="s">
        <v>367</v>
      </c>
      <c r="B183" s="35" t="s">
        <v>299</v>
      </c>
      <c r="C183" s="292">
        <v>116249</v>
      </c>
      <c r="D183" s="16"/>
      <c r="E183" s="16"/>
    </row>
    <row r="184" spans="1:5" x14ac:dyDescent="0.25">
      <c r="A184" s="16" t="s">
        <v>368</v>
      </c>
      <c r="B184" s="35" t="s">
        <v>299</v>
      </c>
      <c r="C184" s="292">
        <v>938664</v>
      </c>
      <c r="D184" s="16"/>
      <c r="E184" s="16"/>
    </row>
    <row r="185" spans="1:5" x14ac:dyDescent="0.25">
      <c r="A185" s="16" t="s">
        <v>369</v>
      </c>
      <c r="B185" s="35" t="s">
        <v>299</v>
      </c>
      <c r="C185" s="292">
        <v>11552</v>
      </c>
      <c r="D185" s="16"/>
      <c r="E185" s="16"/>
    </row>
    <row r="186" spans="1:5" x14ac:dyDescent="0.25">
      <c r="A186" s="16" t="s">
        <v>370</v>
      </c>
      <c r="B186" s="35" t="s">
        <v>299</v>
      </c>
      <c r="C186" s="292">
        <v>410274</v>
      </c>
      <c r="D186" s="16"/>
      <c r="E186" s="16"/>
    </row>
    <row r="187" spans="1:5" x14ac:dyDescent="0.25">
      <c r="A187" s="16" t="s">
        <v>371</v>
      </c>
      <c r="B187" s="35" t="s">
        <v>299</v>
      </c>
      <c r="C187" s="292">
        <v>21023</v>
      </c>
      <c r="D187" s="16"/>
      <c r="E187" s="16"/>
    </row>
    <row r="188" spans="1:5" x14ac:dyDescent="0.25">
      <c r="A188" s="16" t="s">
        <v>371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2394993</v>
      </c>
      <c r="E189" s="16"/>
    </row>
    <row r="190" spans="1:5" x14ac:dyDescent="0.25">
      <c r="A190" s="34" t="s">
        <v>372</v>
      </c>
      <c r="B190" s="34"/>
      <c r="C190" s="34"/>
      <c r="D190" s="34"/>
      <c r="E190" s="34"/>
    </row>
    <row r="191" spans="1:5" x14ac:dyDescent="0.25">
      <c r="A191" s="16" t="s">
        <v>373</v>
      </c>
      <c r="B191" s="35" t="s">
        <v>299</v>
      </c>
      <c r="C191" s="292">
        <v>1938</v>
      </c>
      <c r="D191" s="16"/>
      <c r="E191" s="16"/>
    </row>
    <row r="192" spans="1:5" x14ac:dyDescent="0.25">
      <c r="A192" s="16" t="s">
        <v>374</v>
      </c>
      <c r="B192" s="35" t="s">
        <v>299</v>
      </c>
      <c r="C192" s="292">
        <v>22670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24608</v>
      </c>
      <c r="E193" s="16"/>
    </row>
    <row r="194" spans="1:5" x14ac:dyDescent="0.25">
      <c r="A194" s="34" t="s">
        <v>375</v>
      </c>
      <c r="B194" s="34"/>
      <c r="C194" s="34"/>
      <c r="D194" s="34"/>
      <c r="E194" s="34"/>
    </row>
    <row r="195" spans="1:5" x14ac:dyDescent="0.25">
      <c r="A195" s="16" t="s">
        <v>376</v>
      </c>
      <c r="B195" s="35" t="s">
        <v>299</v>
      </c>
      <c r="C195" s="292">
        <v>131754</v>
      </c>
      <c r="D195" s="16"/>
      <c r="E195" s="16"/>
    </row>
    <row r="196" spans="1:5" x14ac:dyDescent="0.25">
      <c r="A196" s="16" t="s">
        <v>377</v>
      </c>
      <c r="B196" s="35" t="s">
        <v>299</v>
      </c>
      <c r="C196" s="292">
        <v>72938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204692</v>
      </c>
      <c r="E197" s="16"/>
    </row>
    <row r="198" spans="1:5" x14ac:dyDescent="0.25">
      <c r="A198" s="34" t="s">
        <v>378</v>
      </c>
      <c r="B198" s="34"/>
      <c r="C198" s="34"/>
      <c r="D198" s="34"/>
      <c r="E198" s="34"/>
    </row>
    <row r="199" spans="1:5" x14ac:dyDescent="0.25">
      <c r="A199" s="16" t="s">
        <v>379</v>
      </c>
      <c r="B199" s="35" t="s">
        <v>299</v>
      </c>
      <c r="C199" s="292">
        <v>169505</v>
      </c>
      <c r="D199" s="16"/>
      <c r="E199" s="16"/>
    </row>
    <row r="200" spans="1:5" x14ac:dyDescent="0.25">
      <c r="A200" s="16" t="s">
        <v>380</v>
      </c>
      <c r="B200" s="35" t="s">
        <v>299</v>
      </c>
      <c r="C200" s="292">
        <v>73500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243005</v>
      </c>
      <c r="E202" s="16"/>
    </row>
    <row r="203" spans="1:5" x14ac:dyDescent="0.25">
      <c r="A203" s="34" t="s">
        <v>381</v>
      </c>
      <c r="B203" s="34"/>
      <c r="C203" s="34"/>
      <c r="D203" s="34"/>
      <c r="E203" s="34"/>
    </row>
    <row r="204" spans="1:5" x14ac:dyDescent="0.25">
      <c r="A204" s="16" t="s">
        <v>382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383</v>
      </c>
      <c r="B205" s="35" t="s">
        <v>299</v>
      </c>
      <c r="C205" s="292">
        <v>679360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679360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384</v>
      </c>
      <c r="B208" s="30"/>
      <c r="C208" s="30"/>
      <c r="D208" s="30"/>
      <c r="E208" s="30"/>
    </row>
    <row r="209" spans="1:5" x14ac:dyDescent="0.25">
      <c r="A209" s="37" t="s">
        <v>385</v>
      </c>
      <c r="B209" s="30"/>
      <c r="C209" s="30"/>
      <c r="D209" s="30"/>
      <c r="E209" s="30"/>
    </row>
    <row r="210" spans="1:5" x14ac:dyDescent="0.25">
      <c r="A210" s="21"/>
      <c r="B210" s="18" t="s">
        <v>386</v>
      </c>
      <c r="C210" s="17" t="s">
        <v>387</v>
      </c>
      <c r="D210" s="18" t="s">
        <v>388</v>
      </c>
      <c r="E210" s="18" t="s">
        <v>389</v>
      </c>
    </row>
    <row r="211" spans="1:5" x14ac:dyDescent="0.25">
      <c r="A211" s="16" t="s">
        <v>390</v>
      </c>
      <c r="B211" s="295">
        <v>99457</v>
      </c>
      <c r="C211" s="292">
        <v>0</v>
      </c>
      <c r="D211" s="295">
        <v>0</v>
      </c>
      <c r="E211" s="25">
        <v>99457</v>
      </c>
    </row>
    <row r="212" spans="1:5" x14ac:dyDescent="0.25">
      <c r="A212" s="16" t="s">
        <v>391</v>
      </c>
      <c r="B212" s="295">
        <v>384512</v>
      </c>
      <c r="C212" s="292">
        <v>0</v>
      </c>
      <c r="D212" s="295">
        <v>0</v>
      </c>
      <c r="E212" s="25">
        <v>384512</v>
      </c>
    </row>
    <row r="213" spans="1:5" x14ac:dyDescent="0.25">
      <c r="A213" s="16" t="s">
        <v>392</v>
      </c>
      <c r="B213" s="295">
        <v>24710566</v>
      </c>
      <c r="C213" s="292">
        <v>27330</v>
      </c>
      <c r="D213" s="295">
        <v>0</v>
      </c>
      <c r="E213" s="25">
        <v>24737896</v>
      </c>
    </row>
    <row r="214" spans="1:5" x14ac:dyDescent="0.25">
      <c r="A214" s="16" t="s">
        <v>393</v>
      </c>
      <c r="B214" s="295">
        <v>4900033</v>
      </c>
      <c r="C214" s="292">
        <v>0</v>
      </c>
      <c r="D214" s="295">
        <v>0</v>
      </c>
      <c r="E214" s="25">
        <v>4900033</v>
      </c>
    </row>
    <row r="215" spans="1:5" x14ac:dyDescent="0.25">
      <c r="A215" s="16" t="s">
        <v>394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395</v>
      </c>
      <c r="B216" s="295">
        <v>4631767</v>
      </c>
      <c r="C216" s="292">
        <v>631184</v>
      </c>
      <c r="D216" s="295">
        <v>0</v>
      </c>
      <c r="E216" s="25">
        <v>5262951</v>
      </c>
    </row>
    <row r="217" spans="1:5" x14ac:dyDescent="0.25">
      <c r="A217" s="16" t="s">
        <v>396</v>
      </c>
      <c r="B217" s="295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397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398</v>
      </c>
      <c r="B219" s="295">
        <v>630623</v>
      </c>
      <c r="C219" s="292">
        <v>350355</v>
      </c>
      <c r="D219" s="295">
        <v>0</v>
      </c>
      <c r="E219" s="25">
        <v>980978</v>
      </c>
    </row>
    <row r="220" spans="1:5" x14ac:dyDescent="0.25">
      <c r="A220" s="16" t="s">
        <v>229</v>
      </c>
      <c r="B220" s="25">
        <v>35356958</v>
      </c>
      <c r="C220" s="225">
        <v>1008869</v>
      </c>
      <c r="D220" s="25">
        <v>0</v>
      </c>
      <c r="E220" s="25">
        <v>36365827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399</v>
      </c>
      <c r="B222" s="37"/>
      <c r="C222" s="37"/>
      <c r="D222" s="37"/>
      <c r="E222" s="37"/>
    </row>
    <row r="223" spans="1:5" x14ac:dyDescent="0.25">
      <c r="A223" s="21"/>
      <c r="B223" s="18" t="s">
        <v>386</v>
      </c>
      <c r="C223" s="17" t="s">
        <v>387</v>
      </c>
      <c r="D223" s="18" t="s">
        <v>388</v>
      </c>
      <c r="E223" s="18" t="s">
        <v>389</v>
      </c>
    </row>
    <row r="224" spans="1:5" x14ac:dyDescent="0.25">
      <c r="A224" s="16" t="s">
        <v>390</v>
      </c>
      <c r="B224" s="42"/>
      <c r="C224" s="41"/>
      <c r="D224" s="42"/>
      <c r="E224" s="16"/>
    </row>
    <row r="225" spans="1:5" x14ac:dyDescent="0.25">
      <c r="A225" s="16" t="s">
        <v>391</v>
      </c>
      <c r="B225" s="295">
        <v>190744</v>
      </c>
      <c r="C225" s="292">
        <v>30570</v>
      </c>
      <c r="D225" s="295">
        <v>0</v>
      </c>
      <c r="E225" s="25">
        <v>221314</v>
      </c>
    </row>
    <row r="226" spans="1:5" x14ac:dyDescent="0.25">
      <c r="A226" s="16" t="s">
        <v>392</v>
      </c>
      <c r="B226" s="295">
        <v>13190477</v>
      </c>
      <c r="C226" s="292">
        <v>987070</v>
      </c>
      <c r="D226" s="295">
        <v>0</v>
      </c>
      <c r="E226" s="25">
        <v>14177547</v>
      </c>
    </row>
    <row r="227" spans="1:5" x14ac:dyDescent="0.25">
      <c r="A227" s="16" t="s">
        <v>393</v>
      </c>
      <c r="B227" s="295">
        <v>6460506</v>
      </c>
      <c r="C227" s="292">
        <v>760278</v>
      </c>
      <c r="D227" s="295">
        <v>0</v>
      </c>
      <c r="E227" s="25">
        <v>7220784</v>
      </c>
    </row>
    <row r="228" spans="1:5" x14ac:dyDescent="0.25">
      <c r="A228" s="16" t="s">
        <v>394</v>
      </c>
      <c r="B228" s="295">
        <v>0</v>
      </c>
      <c r="C228" s="292">
        <v>0</v>
      </c>
      <c r="D228" s="295">
        <v>0</v>
      </c>
      <c r="E228" s="25">
        <v>0</v>
      </c>
    </row>
    <row r="229" spans="1:5" x14ac:dyDescent="0.25">
      <c r="A229" s="16" t="s">
        <v>395</v>
      </c>
      <c r="B229" s="295">
        <v>0</v>
      </c>
      <c r="C229" s="292">
        <v>0</v>
      </c>
      <c r="D229" s="295">
        <v>0</v>
      </c>
      <c r="E229" s="25">
        <v>0</v>
      </c>
    </row>
    <row r="230" spans="1:5" x14ac:dyDescent="0.25">
      <c r="A230" s="16" t="s">
        <v>396</v>
      </c>
      <c r="B230" s="295">
        <v>0</v>
      </c>
      <c r="C230" s="292">
        <v>0</v>
      </c>
      <c r="D230" s="295">
        <v>0</v>
      </c>
      <c r="E230" s="25">
        <v>0</v>
      </c>
    </row>
    <row r="231" spans="1:5" x14ac:dyDescent="0.25">
      <c r="A231" s="16" t="s">
        <v>397</v>
      </c>
      <c r="B231" s="295">
        <v>0</v>
      </c>
      <c r="C231" s="292">
        <v>0</v>
      </c>
      <c r="D231" s="295">
        <v>0</v>
      </c>
      <c r="E231" s="25">
        <v>0</v>
      </c>
    </row>
    <row r="232" spans="1:5" x14ac:dyDescent="0.25">
      <c r="A232" s="16" t="s">
        <v>398</v>
      </c>
      <c r="B232" s="295">
        <v>0</v>
      </c>
      <c r="C232" s="292">
        <v>0</v>
      </c>
      <c r="D232" s="295">
        <v>0</v>
      </c>
      <c r="E232" s="25">
        <v>0</v>
      </c>
    </row>
    <row r="233" spans="1:5" x14ac:dyDescent="0.25">
      <c r="A233" s="16" t="s">
        <v>229</v>
      </c>
      <c r="B233" s="25">
        <v>19841727</v>
      </c>
      <c r="C233" s="225">
        <v>1777918</v>
      </c>
      <c r="D233" s="25">
        <v>0</v>
      </c>
      <c r="E233" s="25">
        <v>21619645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400</v>
      </c>
      <c r="B235" s="30"/>
      <c r="C235" s="30"/>
      <c r="D235" s="30"/>
      <c r="E235" s="30"/>
    </row>
    <row r="236" spans="1:5" x14ac:dyDescent="0.25">
      <c r="A236" s="30"/>
      <c r="B236" s="350" t="s">
        <v>401</v>
      </c>
      <c r="C236" s="350"/>
      <c r="D236" s="30"/>
      <c r="E236" s="30"/>
    </row>
    <row r="237" spans="1:5" x14ac:dyDescent="0.25">
      <c r="A237" s="43" t="s">
        <v>401</v>
      </c>
      <c r="B237" s="30"/>
      <c r="C237" s="292">
        <v>1274209</v>
      </c>
      <c r="D237" s="32">
        <v>1274209</v>
      </c>
      <c r="E237" s="30"/>
    </row>
    <row r="238" spans="1:5" x14ac:dyDescent="0.25">
      <c r="A238" s="34" t="s">
        <v>402</v>
      </c>
      <c r="B238" s="34"/>
      <c r="C238" s="34"/>
      <c r="D238" s="34"/>
      <c r="E238" s="34"/>
    </row>
    <row r="239" spans="1:5" x14ac:dyDescent="0.25">
      <c r="A239" s="16" t="s">
        <v>403</v>
      </c>
      <c r="B239" s="35" t="s">
        <v>299</v>
      </c>
      <c r="C239" s="292">
        <v>3133588</v>
      </c>
      <c r="D239" s="16"/>
      <c r="E239" s="16"/>
    </row>
    <row r="240" spans="1:5" x14ac:dyDescent="0.25">
      <c r="A240" s="16" t="s">
        <v>404</v>
      </c>
      <c r="B240" s="35" t="s">
        <v>299</v>
      </c>
      <c r="C240" s="292">
        <v>2840898</v>
      </c>
      <c r="D240" s="16"/>
      <c r="E240" s="16"/>
    </row>
    <row r="241" spans="1:5" x14ac:dyDescent="0.25">
      <c r="A241" s="16" t="s">
        <v>405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406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407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408</v>
      </c>
      <c r="B244" s="35" t="s">
        <v>299</v>
      </c>
      <c r="C244" s="292">
        <v>1031267</v>
      </c>
      <c r="D244" s="16"/>
      <c r="E244" s="16"/>
    </row>
    <row r="245" spans="1:5" x14ac:dyDescent="0.25">
      <c r="A245" s="16" t="s">
        <v>409</v>
      </c>
      <c r="B245" s="16"/>
      <c r="C245" s="22"/>
      <c r="D245" s="25">
        <v>7005753</v>
      </c>
      <c r="E245" s="16"/>
    </row>
    <row r="246" spans="1:5" x14ac:dyDescent="0.25">
      <c r="A246" s="34" t="s">
        <v>410</v>
      </c>
      <c r="B246" s="34"/>
      <c r="C246" s="34"/>
      <c r="D246" s="34"/>
      <c r="E246" s="34"/>
    </row>
    <row r="247" spans="1:5" x14ac:dyDescent="0.25">
      <c r="A247" s="21" t="s">
        <v>411</v>
      </c>
      <c r="B247" s="35" t="s">
        <v>299</v>
      </c>
      <c r="C247" s="292">
        <v>139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412</v>
      </c>
      <c r="B249" s="35" t="s">
        <v>299</v>
      </c>
      <c r="C249" s="292">
        <v>55026</v>
      </c>
      <c r="D249" s="16"/>
      <c r="E249" s="16"/>
    </row>
    <row r="250" spans="1:5" x14ac:dyDescent="0.25">
      <c r="A250" s="21" t="s">
        <v>413</v>
      </c>
      <c r="B250" s="35" t="s">
        <v>299</v>
      </c>
      <c r="C250" s="292">
        <v>176162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414</v>
      </c>
      <c r="B252" s="16"/>
      <c r="C252" s="22"/>
      <c r="D252" s="25">
        <v>231188</v>
      </c>
      <c r="E252" s="16"/>
    </row>
    <row r="253" spans="1:5" x14ac:dyDescent="0.25">
      <c r="A253" s="34" t="s">
        <v>415</v>
      </c>
      <c r="B253" s="34"/>
      <c r="C253" s="34"/>
      <c r="D253" s="34"/>
      <c r="E253" s="34"/>
    </row>
    <row r="254" spans="1:5" x14ac:dyDescent="0.25">
      <c r="A254" s="16" t="s">
        <v>416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415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417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418</v>
      </c>
      <c r="B258" s="16"/>
      <c r="C258" s="22"/>
      <c r="D258" s="25">
        <v>8511150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419</v>
      </c>
      <c r="B264" s="30"/>
      <c r="C264" s="30"/>
      <c r="D264" s="30"/>
      <c r="E264" s="30"/>
    </row>
    <row r="265" spans="1:5" x14ac:dyDescent="0.25">
      <c r="A265" s="34" t="s">
        <v>420</v>
      </c>
      <c r="B265" s="34"/>
      <c r="C265" s="34"/>
      <c r="D265" s="34"/>
      <c r="E265" s="34"/>
    </row>
    <row r="266" spans="1:5" x14ac:dyDescent="0.25">
      <c r="A266" s="16" t="s">
        <v>421</v>
      </c>
      <c r="B266" s="35" t="s">
        <v>299</v>
      </c>
      <c r="C266" s="292">
        <v>2063916</v>
      </c>
      <c r="D266" s="16"/>
      <c r="E266" s="16"/>
    </row>
    <row r="267" spans="1:5" x14ac:dyDescent="0.25">
      <c r="A267" s="16" t="s">
        <v>422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423</v>
      </c>
      <c r="B268" s="35" t="s">
        <v>299</v>
      </c>
      <c r="C268" s="292">
        <v>5842546</v>
      </c>
      <c r="D268" s="16"/>
      <c r="E268" s="16"/>
    </row>
    <row r="269" spans="1:5" x14ac:dyDescent="0.25">
      <c r="A269" s="16" t="s">
        <v>424</v>
      </c>
      <c r="B269" s="35" t="s">
        <v>299</v>
      </c>
      <c r="C269" s="292">
        <v>2335000</v>
      </c>
      <c r="D269" s="16"/>
      <c r="E269" s="16"/>
    </row>
    <row r="270" spans="1:5" x14ac:dyDescent="0.25">
      <c r="A270" s="16" t="s">
        <v>425</v>
      </c>
      <c r="B270" s="35" t="s">
        <v>299</v>
      </c>
      <c r="C270" s="292">
        <v>404314</v>
      </c>
      <c r="D270" s="16"/>
      <c r="E270" s="16"/>
    </row>
    <row r="271" spans="1:5" x14ac:dyDescent="0.25">
      <c r="A271" s="16" t="s">
        <v>426</v>
      </c>
      <c r="B271" s="35" t="s">
        <v>299</v>
      </c>
      <c r="C271" s="292">
        <v>51911</v>
      </c>
      <c r="D271" s="16"/>
      <c r="E271" s="16"/>
    </row>
    <row r="272" spans="1:5" x14ac:dyDescent="0.25">
      <c r="A272" s="16" t="s">
        <v>427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428</v>
      </c>
      <c r="B273" s="35" t="s">
        <v>299</v>
      </c>
      <c r="C273" s="292">
        <v>252566</v>
      </c>
      <c r="D273" s="16"/>
      <c r="E273" s="16"/>
    </row>
    <row r="274" spans="1:5" x14ac:dyDescent="0.25">
      <c r="A274" s="16" t="s">
        <v>429</v>
      </c>
      <c r="B274" s="35" t="s">
        <v>299</v>
      </c>
      <c r="C274" s="292">
        <v>521965</v>
      </c>
      <c r="D274" s="16"/>
      <c r="E274" s="16"/>
    </row>
    <row r="275" spans="1:5" x14ac:dyDescent="0.25">
      <c r="A275" s="16" t="s">
        <v>430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431</v>
      </c>
      <c r="B276" s="16"/>
      <c r="C276" s="22"/>
      <c r="D276" s="25">
        <v>6802218</v>
      </c>
      <c r="E276" s="16"/>
    </row>
    <row r="277" spans="1:5" x14ac:dyDescent="0.25">
      <c r="A277" s="34" t="s">
        <v>432</v>
      </c>
      <c r="B277" s="34"/>
      <c r="C277" s="34"/>
      <c r="D277" s="34"/>
      <c r="E277" s="34"/>
    </row>
    <row r="278" spans="1:5" x14ac:dyDescent="0.25">
      <c r="A278" s="16" t="s">
        <v>421</v>
      </c>
      <c r="B278" s="35" t="s">
        <v>299</v>
      </c>
      <c r="C278" s="292">
        <v>6515433</v>
      </c>
      <c r="D278" s="16"/>
      <c r="E278" s="16"/>
    </row>
    <row r="279" spans="1:5" x14ac:dyDescent="0.25">
      <c r="A279" s="16" t="s">
        <v>422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433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434</v>
      </c>
      <c r="B281" s="16"/>
      <c r="C281" s="22"/>
      <c r="D281" s="25">
        <v>6515433</v>
      </c>
      <c r="E281" s="16"/>
    </row>
    <row r="282" spans="1:5" x14ac:dyDescent="0.25">
      <c r="A282" s="34" t="s">
        <v>435</v>
      </c>
      <c r="B282" s="34"/>
      <c r="C282" s="34"/>
      <c r="D282" s="34"/>
      <c r="E282" s="34"/>
    </row>
    <row r="283" spans="1:5" x14ac:dyDescent="0.25">
      <c r="A283" s="16" t="s">
        <v>390</v>
      </c>
      <c r="B283" s="35" t="s">
        <v>299</v>
      </c>
      <c r="C283" s="292">
        <v>99457</v>
      </c>
      <c r="D283" s="16"/>
      <c r="E283" s="16"/>
    </row>
    <row r="284" spans="1:5" x14ac:dyDescent="0.25">
      <c r="A284" s="16" t="s">
        <v>391</v>
      </c>
      <c r="B284" s="35" t="s">
        <v>299</v>
      </c>
      <c r="C284" s="292">
        <v>384512</v>
      </c>
      <c r="D284" s="16"/>
      <c r="E284" s="16"/>
    </row>
    <row r="285" spans="1:5" x14ac:dyDescent="0.25">
      <c r="A285" s="16" t="s">
        <v>392</v>
      </c>
      <c r="B285" s="35" t="s">
        <v>299</v>
      </c>
      <c r="C285" s="292">
        <v>24737896</v>
      </c>
      <c r="D285" s="16"/>
      <c r="E285" s="16"/>
    </row>
    <row r="286" spans="1:5" x14ac:dyDescent="0.25">
      <c r="A286" s="16" t="s">
        <v>436</v>
      </c>
      <c r="B286" s="35" t="s">
        <v>299</v>
      </c>
      <c r="C286" s="292">
        <v>4884293</v>
      </c>
      <c r="D286" s="16"/>
      <c r="E286" s="16"/>
    </row>
    <row r="287" spans="1:5" x14ac:dyDescent="0.25">
      <c r="A287" s="16" t="s">
        <v>437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438</v>
      </c>
      <c r="B288" s="35" t="s">
        <v>299</v>
      </c>
      <c r="C288" s="292">
        <v>5278691</v>
      </c>
      <c r="D288" s="16"/>
      <c r="E288" s="16"/>
    </row>
    <row r="289" spans="1:5" x14ac:dyDescent="0.25">
      <c r="A289" s="16" t="s">
        <v>397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398</v>
      </c>
      <c r="B290" s="35" t="s">
        <v>299</v>
      </c>
      <c r="C290" s="292">
        <v>980978</v>
      </c>
      <c r="D290" s="16"/>
      <c r="E290" s="16"/>
    </row>
    <row r="291" spans="1:5" x14ac:dyDescent="0.25">
      <c r="A291" s="16" t="s">
        <v>439</v>
      </c>
      <c r="B291" s="16"/>
      <c r="C291" s="22"/>
      <c r="D291" s="25">
        <v>36365827</v>
      </c>
      <c r="E291" s="16"/>
    </row>
    <row r="292" spans="1:5" x14ac:dyDescent="0.25">
      <c r="A292" s="16" t="s">
        <v>440</v>
      </c>
      <c r="B292" s="35" t="s">
        <v>299</v>
      </c>
      <c r="C292" s="292">
        <v>21619645</v>
      </c>
      <c r="D292" s="16"/>
      <c r="E292" s="16"/>
    </row>
    <row r="293" spans="1:5" x14ac:dyDescent="0.25">
      <c r="A293" s="16" t="s">
        <v>441</v>
      </c>
      <c r="B293" s="16"/>
      <c r="C293" s="22"/>
      <c r="D293" s="25">
        <v>14746182</v>
      </c>
      <c r="E293" s="16"/>
    </row>
    <row r="294" spans="1:5" x14ac:dyDescent="0.25">
      <c r="A294" s="34" t="s">
        <v>442</v>
      </c>
      <c r="B294" s="34"/>
      <c r="C294" s="34"/>
      <c r="D294" s="34"/>
      <c r="E294" s="34"/>
    </row>
    <row r="295" spans="1:5" x14ac:dyDescent="0.25">
      <c r="A295" s="16" t="s">
        <v>443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444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445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433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446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447</v>
      </c>
      <c r="B301" s="34"/>
      <c r="C301" s="34"/>
      <c r="D301" s="34"/>
      <c r="E301" s="34"/>
    </row>
    <row r="302" spans="1:5" x14ac:dyDescent="0.25">
      <c r="A302" s="16" t="s">
        <v>448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449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450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451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452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453</v>
      </c>
      <c r="B308" s="16"/>
      <c r="C308" s="22"/>
      <c r="D308" s="25">
        <v>28063833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454</v>
      </c>
      <c r="B312" s="30"/>
      <c r="C312" s="30"/>
      <c r="D312" s="30"/>
      <c r="E312" s="30"/>
    </row>
    <row r="313" spans="1:5" x14ac:dyDescent="0.25">
      <c r="A313" s="34" t="s">
        <v>455</v>
      </c>
      <c r="B313" s="34"/>
      <c r="C313" s="34"/>
      <c r="D313" s="34"/>
      <c r="E313" s="34"/>
    </row>
    <row r="314" spans="1:5" x14ac:dyDescent="0.25">
      <c r="A314" s="16" t="s">
        <v>456</v>
      </c>
      <c r="B314" s="35" t="s">
        <v>299</v>
      </c>
      <c r="C314" s="292">
        <v>0</v>
      </c>
      <c r="D314" s="16"/>
      <c r="E314" s="16"/>
    </row>
    <row r="315" spans="1:5" x14ac:dyDescent="0.25">
      <c r="A315" s="16" t="s">
        <v>457</v>
      </c>
      <c r="B315" s="35" t="s">
        <v>299</v>
      </c>
      <c r="C315" s="292">
        <v>506845</v>
      </c>
      <c r="D315" s="16"/>
      <c r="E315" s="16"/>
    </row>
    <row r="316" spans="1:5" x14ac:dyDescent="0.25">
      <c r="A316" s="16" t="s">
        <v>458</v>
      </c>
      <c r="B316" s="35" t="s">
        <v>299</v>
      </c>
      <c r="C316" s="292">
        <v>890672</v>
      </c>
      <c r="D316" s="16"/>
      <c r="E316" s="16"/>
    </row>
    <row r="317" spans="1:5" x14ac:dyDescent="0.25">
      <c r="A317" s="16" t="s">
        <v>459</v>
      </c>
      <c r="B317" s="35" t="s">
        <v>299</v>
      </c>
      <c r="C317" s="292">
        <v>58076</v>
      </c>
      <c r="D317" s="16"/>
      <c r="E317" s="16"/>
    </row>
    <row r="318" spans="1:5" x14ac:dyDescent="0.25">
      <c r="A318" s="16" t="s">
        <v>460</v>
      </c>
      <c r="B318" s="35" t="s">
        <v>299</v>
      </c>
      <c r="C318" s="292">
        <v>0</v>
      </c>
      <c r="D318" s="16"/>
      <c r="E318" s="16"/>
    </row>
    <row r="319" spans="1:5" x14ac:dyDescent="0.25">
      <c r="A319" s="16" t="s">
        <v>461</v>
      </c>
      <c r="B319" s="35" t="s">
        <v>299</v>
      </c>
      <c r="C319" s="292">
        <v>0</v>
      </c>
      <c r="D319" s="16"/>
      <c r="E319" s="16"/>
    </row>
    <row r="320" spans="1:5" x14ac:dyDescent="0.25">
      <c r="A320" s="16" t="s">
        <v>462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463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464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465</v>
      </c>
      <c r="B323" s="35" t="s">
        <v>299</v>
      </c>
      <c r="C323" s="292">
        <v>786484</v>
      </c>
      <c r="D323" s="16"/>
      <c r="E323" s="16"/>
    </row>
    <row r="324" spans="1:5" x14ac:dyDescent="0.25">
      <c r="A324" s="16" t="s">
        <v>466</v>
      </c>
      <c r="B324" s="16"/>
      <c r="C324" s="22"/>
      <c r="D324" s="25">
        <v>2242077</v>
      </c>
      <c r="E324" s="16"/>
    </row>
    <row r="325" spans="1:5" x14ac:dyDescent="0.25">
      <c r="A325" s="34" t="s">
        <v>467</v>
      </c>
      <c r="B325" s="34"/>
      <c r="C325" s="34"/>
      <c r="D325" s="34"/>
      <c r="E325" s="34"/>
    </row>
    <row r="326" spans="1:5" x14ac:dyDescent="0.25">
      <c r="A326" s="16" t="s">
        <v>468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469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470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471</v>
      </c>
      <c r="B329" s="16"/>
      <c r="C329" s="22"/>
      <c r="D329" s="25">
        <v>0</v>
      </c>
      <c r="E329" s="16"/>
    </row>
    <row r="330" spans="1:5" x14ac:dyDescent="0.25">
      <c r="A330" s="34" t="s">
        <v>472</v>
      </c>
      <c r="B330" s="34"/>
      <c r="C330" s="34"/>
      <c r="D330" s="34"/>
      <c r="E330" s="34"/>
    </row>
    <row r="331" spans="1:5" x14ac:dyDescent="0.25">
      <c r="A331" s="16" t="s">
        <v>473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474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475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476</v>
      </c>
      <c r="B334" s="35" t="s">
        <v>299</v>
      </c>
      <c r="C334" s="292">
        <v>74312</v>
      </c>
      <c r="D334" s="16"/>
      <c r="E334" s="16"/>
    </row>
    <row r="335" spans="1:5" x14ac:dyDescent="0.25">
      <c r="A335" s="16" t="s">
        <v>477</v>
      </c>
      <c r="B335" s="35" t="s">
        <v>299</v>
      </c>
      <c r="C335" s="292">
        <v>13765288</v>
      </c>
      <c r="D335" s="16"/>
      <c r="E335" s="16"/>
    </row>
    <row r="336" spans="1:5" x14ac:dyDescent="0.25">
      <c r="A336" s="21" t="s">
        <v>478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479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480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13839600</v>
      </c>
      <c r="E339" s="16"/>
    </row>
    <row r="340" spans="1:5" x14ac:dyDescent="0.25">
      <c r="A340" s="16" t="s">
        <v>481</v>
      </c>
      <c r="B340" s="16"/>
      <c r="C340" s="22"/>
      <c r="D340" s="25">
        <v>786484</v>
      </c>
      <c r="E340" s="16"/>
    </row>
    <row r="341" spans="1:5" x14ac:dyDescent="0.25">
      <c r="A341" s="16" t="s">
        <v>482</v>
      </c>
      <c r="B341" s="16"/>
      <c r="C341" s="22"/>
      <c r="D341" s="25">
        <v>13053116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483</v>
      </c>
      <c r="B343" s="35" t="s">
        <v>299</v>
      </c>
      <c r="C343" s="297">
        <v>12768640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484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485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486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487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488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489</v>
      </c>
      <c r="B350" s="16"/>
      <c r="C350" s="22"/>
      <c r="D350" s="25">
        <v>28063833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490</v>
      </c>
      <c r="B352" s="16"/>
      <c r="C352" s="22"/>
      <c r="D352" s="25">
        <v>28063833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491</v>
      </c>
      <c r="B356" s="30"/>
      <c r="C356" s="30"/>
      <c r="D356" s="30"/>
      <c r="E356" s="30"/>
    </row>
    <row r="357" spans="1:5" x14ac:dyDescent="0.25">
      <c r="A357" s="34" t="s">
        <v>492</v>
      </c>
      <c r="B357" s="34"/>
      <c r="C357" s="34"/>
      <c r="D357" s="34"/>
      <c r="E357" s="34"/>
    </row>
    <row r="358" spans="1:5" x14ac:dyDescent="0.25">
      <c r="A358" s="16" t="s">
        <v>493</v>
      </c>
      <c r="B358" s="35" t="s">
        <v>299</v>
      </c>
      <c r="C358" s="293">
        <v>7056549</v>
      </c>
      <c r="D358" s="16"/>
      <c r="E358" s="16"/>
    </row>
    <row r="359" spans="1:5" x14ac:dyDescent="0.25">
      <c r="A359" s="16" t="s">
        <v>494</v>
      </c>
      <c r="B359" s="35" t="s">
        <v>299</v>
      </c>
      <c r="C359" s="293">
        <v>22417483</v>
      </c>
      <c r="D359" s="16"/>
      <c r="E359" s="16"/>
    </row>
    <row r="360" spans="1:5" x14ac:dyDescent="0.25">
      <c r="A360" s="16" t="s">
        <v>495</v>
      </c>
      <c r="B360" s="16"/>
      <c r="C360" s="22"/>
      <c r="D360" s="25">
        <v>29474032</v>
      </c>
      <c r="E360" s="16"/>
    </row>
    <row r="361" spans="1:5" x14ac:dyDescent="0.25">
      <c r="A361" s="34" t="s">
        <v>496</v>
      </c>
      <c r="B361" s="34"/>
      <c r="C361" s="34"/>
      <c r="D361" s="34"/>
      <c r="E361" s="34"/>
    </row>
    <row r="362" spans="1:5" x14ac:dyDescent="0.25">
      <c r="A362" s="16" t="s">
        <v>401</v>
      </c>
      <c r="B362" s="34"/>
      <c r="C362" s="292">
        <v>1274209</v>
      </c>
      <c r="D362" s="16"/>
      <c r="E362" s="34"/>
    </row>
    <row r="363" spans="1:5" x14ac:dyDescent="0.25">
      <c r="A363" s="16" t="s">
        <v>497</v>
      </c>
      <c r="B363" s="35" t="s">
        <v>299</v>
      </c>
      <c r="C363" s="292">
        <v>7005753</v>
      </c>
      <c r="D363" s="16"/>
      <c r="E363" s="16"/>
    </row>
    <row r="364" spans="1:5" x14ac:dyDescent="0.25">
      <c r="A364" s="16" t="s">
        <v>498</v>
      </c>
      <c r="B364" s="35" t="s">
        <v>299</v>
      </c>
      <c r="C364" s="292">
        <v>231188</v>
      </c>
      <c r="D364" s="16"/>
      <c r="E364" s="16"/>
    </row>
    <row r="365" spans="1:5" x14ac:dyDescent="0.25">
      <c r="A365" s="16" t="s">
        <v>499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418</v>
      </c>
      <c r="B366" s="16"/>
      <c r="C366" s="22"/>
      <c r="D366" s="25">
        <v>8511150</v>
      </c>
      <c r="E366" s="16"/>
    </row>
    <row r="367" spans="1:5" x14ac:dyDescent="0.25">
      <c r="A367" s="16" t="s">
        <v>500</v>
      </c>
      <c r="B367" s="16"/>
      <c r="C367" s="22"/>
      <c r="D367" s="25">
        <v>20962882</v>
      </c>
      <c r="E367" s="16"/>
    </row>
    <row r="368" spans="1:5" x14ac:dyDescent="0.25">
      <c r="A368" s="45" t="s">
        <v>501</v>
      </c>
      <c r="B368" s="34"/>
      <c r="C368" s="34"/>
      <c r="D368" s="34"/>
      <c r="E368" s="34"/>
    </row>
    <row r="369" spans="1:6" x14ac:dyDescent="0.25">
      <c r="A369" s="25" t="s">
        <v>502</v>
      </c>
      <c r="B369" s="16"/>
      <c r="C369" s="16"/>
      <c r="D369" s="16"/>
      <c r="E369" s="16"/>
    </row>
    <row r="370" spans="1:6" x14ac:dyDescent="0.25">
      <c r="A370" s="46" t="s">
        <v>503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504</v>
      </c>
      <c r="B371" s="32" t="s">
        <v>299</v>
      </c>
      <c r="C371" s="292">
        <v>72213</v>
      </c>
      <c r="D371" s="25">
        <v>0</v>
      </c>
      <c r="E371" s="25"/>
    </row>
    <row r="372" spans="1:6" x14ac:dyDescent="0.25">
      <c r="A372" s="46" t="s">
        <v>505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506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507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508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509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510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511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512</v>
      </c>
      <c r="B379" s="32" t="s">
        <v>299</v>
      </c>
      <c r="C379" s="292">
        <v>53846</v>
      </c>
      <c r="D379" s="25">
        <v>0</v>
      </c>
      <c r="E379" s="25"/>
    </row>
    <row r="380" spans="1:6" x14ac:dyDescent="0.25">
      <c r="A380" s="46" t="s">
        <v>513</v>
      </c>
      <c r="B380" s="32" t="s">
        <v>299</v>
      </c>
      <c r="C380" s="294">
        <v>242250</v>
      </c>
      <c r="D380" s="25">
        <v>0</v>
      </c>
      <c r="E380" s="204"/>
      <c r="F380" s="47"/>
    </row>
    <row r="381" spans="1:6" x14ac:dyDescent="0.25">
      <c r="A381" s="48" t="s">
        <v>514</v>
      </c>
      <c r="B381" s="35"/>
      <c r="C381" s="35"/>
      <c r="D381" s="25">
        <v>368309</v>
      </c>
      <c r="E381" s="25"/>
      <c r="F381" s="47"/>
    </row>
    <row r="382" spans="1:6" x14ac:dyDescent="0.25">
      <c r="A382" s="43" t="s">
        <v>515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516</v>
      </c>
      <c r="B383" s="16"/>
      <c r="C383" s="22"/>
      <c r="D383" s="25">
        <v>368309</v>
      </c>
      <c r="E383" s="16"/>
    </row>
    <row r="384" spans="1:6" x14ac:dyDescent="0.25">
      <c r="A384" s="16" t="s">
        <v>517</v>
      </c>
      <c r="B384" s="16"/>
      <c r="C384" s="22"/>
      <c r="D384" s="25">
        <v>21331191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518</v>
      </c>
      <c r="B388" s="34"/>
      <c r="C388" s="34"/>
      <c r="D388" s="34"/>
      <c r="E388" s="34"/>
    </row>
    <row r="389" spans="1:5" x14ac:dyDescent="0.25">
      <c r="A389" s="16" t="s">
        <v>519</v>
      </c>
      <c r="B389" s="35" t="s">
        <v>299</v>
      </c>
      <c r="C389" s="292">
        <v>11454792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2394993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4421030</v>
      </c>
      <c r="D391" s="16"/>
      <c r="E391" s="16"/>
    </row>
    <row r="392" spans="1:5" x14ac:dyDescent="0.25">
      <c r="A392" s="16" t="s">
        <v>520</v>
      </c>
      <c r="B392" s="35" t="s">
        <v>299</v>
      </c>
      <c r="C392" s="292">
        <v>1917420</v>
      </c>
      <c r="D392" s="16"/>
      <c r="E392" s="16"/>
    </row>
    <row r="393" spans="1:5" x14ac:dyDescent="0.25">
      <c r="A393" s="16" t="s">
        <v>521</v>
      </c>
      <c r="B393" s="35" t="s">
        <v>299</v>
      </c>
      <c r="C393" s="292">
        <v>200681</v>
      </c>
      <c r="D393" s="16"/>
      <c r="E393" s="16"/>
    </row>
    <row r="394" spans="1:5" x14ac:dyDescent="0.25">
      <c r="A394" s="16" t="s">
        <v>522</v>
      </c>
      <c r="B394" s="35" t="s">
        <v>299</v>
      </c>
      <c r="C394" s="292">
        <v>1674088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1777918</v>
      </c>
      <c r="D395" s="16"/>
      <c r="E395" s="16"/>
    </row>
    <row r="396" spans="1:5" x14ac:dyDescent="0.25">
      <c r="A396" s="16" t="s">
        <v>523</v>
      </c>
      <c r="B396" s="35" t="s">
        <v>299</v>
      </c>
      <c r="C396" s="292">
        <v>24608</v>
      </c>
      <c r="D396" s="16"/>
      <c r="E396" s="16"/>
    </row>
    <row r="397" spans="1:5" x14ac:dyDescent="0.25">
      <c r="A397" s="16" t="s">
        <v>524</v>
      </c>
      <c r="B397" s="35" t="s">
        <v>299</v>
      </c>
      <c r="C397" s="292">
        <v>204692</v>
      </c>
      <c r="D397" s="16"/>
      <c r="E397" s="16"/>
    </row>
    <row r="398" spans="1:5" x14ac:dyDescent="0.25">
      <c r="A398" s="16" t="s">
        <v>525</v>
      </c>
      <c r="B398" s="35" t="s">
        <v>299</v>
      </c>
      <c r="C398" s="292">
        <v>65882</v>
      </c>
      <c r="D398" s="16"/>
      <c r="E398" s="16"/>
    </row>
    <row r="399" spans="1:5" x14ac:dyDescent="0.25">
      <c r="A399" s="16" t="s">
        <v>526</v>
      </c>
      <c r="B399" s="35" t="s">
        <v>299</v>
      </c>
      <c r="C399" s="292">
        <v>679360</v>
      </c>
      <c r="D399" s="16"/>
      <c r="E399" s="16"/>
    </row>
    <row r="400" spans="1:5" x14ac:dyDescent="0.25">
      <c r="A400" s="25" t="s">
        <v>527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528</v>
      </c>
      <c r="B403" s="32" t="s">
        <v>299</v>
      </c>
      <c r="C403" s="292">
        <v>177123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341507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64835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56935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529</v>
      </c>
      <c r="B415" s="35"/>
      <c r="C415" s="35"/>
      <c r="D415" s="25">
        <v>640400</v>
      </c>
      <c r="E415" s="25"/>
      <c r="F415" s="47"/>
      <c r="G415" s="47"/>
      <c r="H415" s="47"/>
      <c r="I415" s="47"/>
    </row>
    <row r="416" spans="1:9" x14ac:dyDescent="0.25">
      <c r="A416" s="25" t="s">
        <v>530</v>
      </c>
      <c r="B416" s="16"/>
      <c r="C416" s="22"/>
      <c r="D416" s="25">
        <v>25455864</v>
      </c>
      <c r="E416" s="25"/>
    </row>
    <row r="417" spans="1:13" x14ac:dyDescent="0.25">
      <c r="A417" s="25" t="s">
        <v>531</v>
      </c>
      <c r="B417" s="16"/>
      <c r="C417" s="22"/>
      <c r="D417" s="25">
        <v>-4124673</v>
      </c>
      <c r="E417" s="25"/>
    </row>
    <row r="418" spans="1:13" x14ac:dyDescent="0.25">
      <c r="A418" s="25" t="s">
        <v>532</v>
      </c>
      <c r="B418" s="16"/>
      <c r="C418" s="294">
        <v>1731469</v>
      </c>
      <c r="D418" s="25">
        <v>0</v>
      </c>
      <c r="E418" s="25"/>
    </row>
    <row r="419" spans="1:13" x14ac:dyDescent="0.25">
      <c r="A419" s="46" t="s">
        <v>533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534</v>
      </c>
      <c r="B420" s="16"/>
      <c r="C420" s="16"/>
      <c r="D420" s="25">
        <v>1731469</v>
      </c>
      <c r="E420" s="25"/>
    </row>
    <row r="421" spans="1:13" x14ac:dyDescent="0.25">
      <c r="A421" s="25" t="s">
        <v>535</v>
      </c>
      <c r="B421" s="16"/>
      <c r="C421" s="22"/>
      <c r="D421" s="25">
        <v>-2393204</v>
      </c>
      <c r="E421" s="25"/>
      <c r="F421" s="50"/>
    </row>
    <row r="422" spans="1:13" x14ac:dyDescent="0.25">
      <c r="A422" s="25" t="s">
        <v>536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537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538</v>
      </c>
      <c r="B424" s="16"/>
      <c r="C424" s="22"/>
      <c r="D424" s="25">
        <v>-2393204</v>
      </c>
      <c r="E424" s="16"/>
    </row>
    <row r="426" spans="1:13" ht="29.1" customHeight="1" x14ac:dyDescent="0.25">
      <c r="A426" s="352" t="s">
        <v>539</v>
      </c>
      <c r="B426" s="352"/>
      <c r="C426" s="352"/>
      <c r="D426" s="352"/>
      <c r="E426" s="35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540</v>
      </c>
      <c r="D612" s="217">
        <f>CE90-(BE90+CD90)</f>
        <v>74110</v>
      </c>
      <c r="E612" s="219">
        <f>SUM(C624:D647)+SUM(C668:D713)</f>
        <v>23947448.844177574</v>
      </c>
      <c r="F612" s="219">
        <f>CE64-(AX64+BD64+BE64+BG64+BJ64+BN64+BP64+BQ64+CB64+CC64+CD64)</f>
        <v>1854756</v>
      </c>
      <c r="G612" s="217">
        <f>CE91-(AX91+AY91+BD91+BE91+BG91+BJ91+BN91+BP91+BQ91+CB91+CC91+CD91)</f>
        <v>52833</v>
      </c>
      <c r="H612" s="222">
        <f>CE60-(AX60+AY60+AZ60+BD60+BE60+BG60+BJ60+BN60+BO60+BP60+BQ60+BR60+CB60+CC60+CD60)</f>
        <v>110.05000000000003</v>
      </c>
      <c r="I612" s="217">
        <f>CE92-(AX92+AY92+AZ92+BD92+BE92+BF92+BG92+BJ92+BN92+BO92+BP92+BQ92+BR92+CB92+CC92+CD92)</f>
        <v>21599</v>
      </c>
      <c r="J612" s="217">
        <f>CE93-(AX93+AY93+AZ93+BA93+BD93+BE93+BF93+BG93+BJ93+BN93+BO93+BP93+BQ93+BR93+CB93+CC93+CD93)</f>
        <v>56772</v>
      </c>
      <c r="K612" s="217">
        <f>CE89-(AW89+AX89+AY89+AZ89+BA89+BB89+BC89+BD89+BE89+BF89+BG89+BH89+BI89+BJ89+BK89+BL89+BM89+BN89+BO89+BP89+BQ89+BR89+BS89+BT89+BU89+BV89+BW89+BX89+CB89+CC89+CD89)</f>
        <v>29474032</v>
      </c>
      <c r="L612" s="223">
        <f>CE94-(AW94+AX94+AY94+AZ94+BA94+BB94+BC94+BD94+BE94+BF94+BG94+BH94+BI94+BJ94+BK94+BL94+BM94+BN94+BO94+BP94+BQ94+BR94+BS94+BT94+BU94+BV94+BW94+BX94+BY94+BZ94+CA94+CB94+CC94+CD94)</f>
        <v>49.76</v>
      </c>
    </row>
    <row r="613" spans="1:14" s="202" customFormat="1" ht="12.6" customHeight="1" x14ac:dyDescent="0.2">
      <c r="A613" s="212"/>
      <c r="C613" s="210" t="s">
        <v>541</v>
      </c>
      <c r="D613" s="218" t="s">
        <v>542</v>
      </c>
      <c r="E613" s="220" t="s">
        <v>543</v>
      </c>
      <c r="F613" s="221" t="s">
        <v>544</v>
      </c>
      <c r="G613" s="218" t="s">
        <v>545</v>
      </c>
      <c r="H613" s="221" t="s">
        <v>546</v>
      </c>
      <c r="I613" s="218" t="s">
        <v>547</v>
      </c>
      <c r="J613" s="218" t="s">
        <v>548</v>
      </c>
      <c r="K613" s="210" t="s">
        <v>549</v>
      </c>
      <c r="L613" s="211" t="s">
        <v>550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864126</v>
      </c>
      <c r="D614" s="217"/>
      <c r="E614" s="219"/>
      <c r="F614" s="219"/>
      <c r="G614" s="217"/>
      <c r="H614" s="219"/>
      <c r="I614" s="217"/>
      <c r="J614" s="217"/>
      <c r="N614" s="213" t="s">
        <v>551</v>
      </c>
    </row>
    <row r="615" spans="1:14" s="202" customFormat="1" ht="12.6" customHeight="1" x14ac:dyDescent="0.2">
      <c r="A615" s="212"/>
      <c r="B615" s="211" t="s">
        <v>552</v>
      </c>
      <c r="C615" s="217">
        <f>CD69-CD84</f>
        <v>688310</v>
      </c>
      <c r="D615" s="217">
        <f>SUM(C614:C615)</f>
        <v>1552436</v>
      </c>
      <c r="E615" s="219"/>
      <c r="F615" s="219"/>
      <c r="G615" s="217"/>
      <c r="H615" s="219"/>
      <c r="I615" s="217"/>
      <c r="J615" s="217"/>
      <c r="N615" s="213" t="s">
        <v>553</v>
      </c>
    </row>
    <row r="616" spans="1:14" s="202" customFormat="1" ht="12.6" customHeight="1" x14ac:dyDescent="0.2">
      <c r="A616" s="212">
        <v>8310</v>
      </c>
      <c r="B616" s="216" t="s">
        <v>554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555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306372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556</v>
      </c>
    </row>
    <row r="618" spans="1:14" s="202" customFormat="1" ht="12.6" customHeight="1" x14ac:dyDescent="0.2">
      <c r="A618" s="212">
        <v>8470</v>
      </c>
      <c r="B618" s="216" t="s">
        <v>557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558</v>
      </c>
    </row>
    <row r="619" spans="1:14" s="202" customFormat="1" ht="12.6" customHeight="1" x14ac:dyDescent="0.2">
      <c r="A619" s="212">
        <v>8610</v>
      </c>
      <c r="B619" s="216" t="s">
        <v>559</v>
      </c>
      <c r="C619" s="217">
        <f>BN85</f>
        <v>623326</v>
      </c>
      <c r="D619" s="217">
        <f>(D615/D612)*BN90</f>
        <v>126168.15582242612</v>
      </c>
      <c r="E619" s="219"/>
      <c r="F619" s="219"/>
      <c r="G619" s="217"/>
      <c r="H619" s="219"/>
      <c r="I619" s="217"/>
      <c r="J619" s="217"/>
      <c r="N619" s="213" t="s">
        <v>560</v>
      </c>
    </row>
    <row r="620" spans="1:14" s="202" customFormat="1" ht="12.6" customHeight="1" x14ac:dyDescent="0.2">
      <c r="A620" s="212">
        <v>8790</v>
      </c>
      <c r="B620" s="216" t="s">
        <v>561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562</v>
      </c>
    </row>
    <row r="621" spans="1:14" s="202" customFormat="1" ht="12.6" customHeight="1" x14ac:dyDescent="0.2">
      <c r="A621" s="212">
        <v>8630</v>
      </c>
      <c r="B621" s="216" t="s">
        <v>563</v>
      </c>
      <c r="C621" s="217">
        <f>BP85</f>
        <v>156453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564</v>
      </c>
    </row>
    <row r="622" spans="1:14" s="202" customFormat="1" ht="12.6" customHeight="1" x14ac:dyDescent="0.2">
      <c r="A622" s="212">
        <v>8770</v>
      </c>
      <c r="B622" s="211" t="s">
        <v>565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566</v>
      </c>
    </row>
    <row r="623" spans="1:14" s="202" customFormat="1" ht="12.6" customHeight="1" x14ac:dyDescent="0.2">
      <c r="A623" s="212">
        <v>8640</v>
      </c>
      <c r="B623" s="216" t="s">
        <v>567</v>
      </c>
      <c r="C623" s="217">
        <f>BQ85</f>
        <v>0</v>
      </c>
      <c r="D623" s="217">
        <f>(D615/D612)*BQ90</f>
        <v>0</v>
      </c>
      <c r="E623" s="219">
        <f>SUM(C616:D623)</f>
        <v>1212319.1558224261</v>
      </c>
      <c r="F623" s="219"/>
      <c r="G623" s="217"/>
      <c r="H623" s="219"/>
      <c r="I623" s="217"/>
      <c r="J623" s="217"/>
      <c r="N623" s="213" t="s">
        <v>568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43049</v>
      </c>
      <c r="D624" s="217">
        <f>(D615/D612)*BD90</f>
        <v>0</v>
      </c>
      <c r="E624" s="219">
        <f>(E623/E612)*SUM(C624:D624)</f>
        <v>2179.318877705361</v>
      </c>
      <c r="F624" s="219">
        <f>SUM(C624:E624)</f>
        <v>45228.318877705358</v>
      </c>
      <c r="G624" s="217"/>
      <c r="H624" s="219"/>
      <c r="I624" s="217"/>
      <c r="J624" s="217"/>
      <c r="N624" s="213" t="s">
        <v>569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971468</v>
      </c>
      <c r="D625" s="217">
        <f>(D615/D612)*AY90</f>
        <v>26394.135204425853</v>
      </c>
      <c r="E625" s="219">
        <f>(E623/E612)*SUM(C625:D625)</f>
        <v>50515.918804115885</v>
      </c>
      <c r="F625" s="219">
        <f>(F624/F612)*AY64</f>
        <v>7317.8073694254717</v>
      </c>
      <c r="G625" s="217">
        <f>SUM(C625:F625)</f>
        <v>1055695.8613779673</v>
      </c>
      <c r="H625" s="219"/>
      <c r="I625" s="217"/>
      <c r="J625" s="217"/>
      <c r="N625" s="213" t="s">
        <v>570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290944</v>
      </c>
      <c r="D626" s="217">
        <f>(D615/D612)*BR90</f>
        <v>25493.38297125894</v>
      </c>
      <c r="E626" s="219">
        <f>(E623/E612)*SUM(C626:D626)</f>
        <v>16019.372397057901</v>
      </c>
      <c r="F626" s="219">
        <f>(F624/F612)*BR64</f>
        <v>140.53104650542494</v>
      </c>
      <c r="G626" s="217">
        <f>(G625/G612)*BR91</f>
        <v>0</v>
      </c>
      <c r="H626" s="219"/>
      <c r="I626" s="217"/>
      <c r="J626" s="217"/>
      <c r="N626" s="213" t="s">
        <v>571</v>
      </c>
    </row>
    <row r="627" spans="1:14" s="202" customFormat="1" ht="12.6" customHeight="1" x14ac:dyDescent="0.2">
      <c r="A627" s="212">
        <v>8620</v>
      </c>
      <c r="B627" s="211" t="s">
        <v>572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573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67832</v>
      </c>
      <c r="D628" s="217">
        <f>(D615/D612)*AZ90</f>
        <v>62110.008635811631</v>
      </c>
      <c r="E628" s="219">
        <f>(E623/E612)*SUM(C628:D628)</f>
        <v>6578.2032666723344</v>
      </c>
      <c r="F628" s="219">
        <f>(F624/F612)*AZ64</f>
        <v>0</v>
      </c>
      <c r="G628" s="217">
        <f>(G625/G612)*AZ91</f>
        <v>0</v>
      </c>
      <c r="H628" s="219">
        <f>SUM(C626:G628)</f>
        <v>469117.49831730622</v>
      </c>
      <c r="I628" s="217"/>
      <c r="J628" s="217"/>
      <c r="N628" s="213" t="s">
        <v>574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573166</v>
      </c>
      <c r="D629" s="217">
        <f>(D615/D612)*BF90</f>
        <v>32050.021319659965</v>
      </c>
      <c r="E629" s="219">
        <f>(E623/E612)*SUM(C629:D629)</f>
        <v>30638.544457517371</v>
      </c>
      <c r="F629" s="219">
        <f>(F624/F612)*BF64</f>
        <v>1116.7865465652355</v>
      </c>
      <c r="G629" s="217">
        <f>(G625/G612)*BF91</f>
        <v>0</v>
      </c>
      <c r="H629" s="219">
        <f>(H628/H612)*BF60</f>
        <v>32056.00715444018</v>
      </c>
      <c r="I629" s="217">
        <f>SUM(C629:H629)</f>
        <v>669027.35947818274</v>
      </c>
      <c r="J629" s="217"/>
      <c r="N629" s="213" t="s">
        <v>575</v>
      </c>
    </row>
    <row r="630" spans="1:14" s="202" customFormat="1" ht="12.6" customHeight="1" x14ac:dyDescent="0.2">
      <c r="A630" s="212">
        <v>8350</v>
      </c>
      <c r="B630" s="216" t="s">
        <v>576</v>
      </c>
      <c r="C630" s="217">
        <f>BA85</f>
        <v>319910</v>
      </c>
      <c r="D630" s="217">
        <f>(D615/D612)*BA90</f>
        <v>29326.816893806503</v>
      </c>
      <c r="E630" s="219">
        <f>(E623/E612)*SUM(C630:D630)</f>
        <v>17679.815741280938</v>
      </c>
      <c r="F630" s="219">
        <f>(F624/F612)*BA64</f>
        <v>435.98031935979401</v>
      </c>
      <c r="G630" s="217">
        <f>(G625/G612)*BA91</f>
        <v>0</v>
      </c>
      <c r="H630" s="219">
        <f>(H628/H612)*BA60</f>
        <v>16624.790944457007</v>
      </c>
      <c r="I630" s="217">
        <f>(I629/I612)*BA92</f>
        <v>15332.58683002456</v>
      </c>
      <c r="J630" s="217">
        <f>SUM(C630:I630)</f>
        <v>399309.99072892882</v>
      </c>
      <c r="N630" s="213" t="s">
        <v>577</v>
      </c>
    </row>
    <row r="631" spans="1:14" s="202" customFormat="1" ht="12.6" customHeight="1" x14ac:dyDescent="0.2">
      <c r="A631" s="212">
        <v>8200</v>
      </c>
      <c r="B631" s="216" t="s">
        <v>578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579</v>
      </c>
    </row>
    <row r="632" spans="1:14" s="202" customFormat="1" ht="12.6" customHeight="1" x14ac:dyDescent="0.2">
      <c r="A632" s="212">
        <v>8360</v>
      </c>
      <c r="B632" s="216" t="s">
        <v>580</v>
      </c>
      <c r="C632" s="217">
        <f>BB85</f>
        <v>329959</v>
      </c>
      <c r="D632" s="217">
        <f>(D615/D612)*BB90</f>
        <v>38941.823289704495</v>
      </c>
      <c r="E632" s="219">
        <f>(E623/E612)*SUM(C632:D632)</f>
        <v>18675.289279572175</v>
      </c>
      <c r="F632" s="219">
        <f>(F624/F612)*BB64</f>
        <v>54.817593708866092</v>
      </c>
      <c r="G632" s="217">
        <f>(G625/G612)*BB91</f>
        <v>0</v>
      </c>
      <c r="H632" s="219">
        <f>(H628/H612)*BB60</f>
        <v>15047.56718818801</v>
      </c>
      <c r="I632" s="217">
        <f>(I629/I612)*BB92</f>
        <v>20350.524338032599</v>
      </c>
      <c r="J632" s="217">
        <f>(J630/J612)*BB93</f>
        <v>0</v>
      </c>
      <c r="N632" s="213" t="s">
        <v>581</v>
      </c>
    </row>
    <row r="633" spans="1:14" s="202" customFormat="1" ht="12.6" customHeight="1" x14ac:dyDescent="0.2">
      <c r="A633" s="212">
        <v>8370</v>
      </c>
      <c r="B633" s="216" t="s">
        <v>582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583</v>
      </c>
    </row>
    <row r="634" spans="1:14" s="202" customFormat="1" ht="12.6" customHeight="1" x14ac:dyDescent="0.2">
      <c r="A634" s="212">
        <v>8490</v>
      </c>
      <c r="B634" s="216" t="s">
        <v>584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585</v>
      </c>
    </row>
    <row r="635" spans="1:14" s="202" customFormat="1" ht="12.6" customHeight="1" x14ac:dyDescent="0.2">
      <c r="A635" s="212">
        <v>8530</v>
      </c>
      <c r="B635" s="216" t="s">
        <v>586</v>
      </c>
      <c r="C635" s="217">
        <f>BK85</f>
        <v>591150</v>
      </c>
      <c r="D635" s="217">
        <f>(D615/D612)*BK90</f>
        <v>29347.764620159222</v>
      </c>
      <c r="E635" s="219">
        <f>(E623/E612)*SUM(C635:D635)</f>
        <v>31412.169667371847</v>
      </c>
      <c r="F635" s="219">
        <f>(F624/F612)*BK64</f>
        <v>52.110853094237918</v>
      </c>
      <c r="G635" s="217">
        <f>(G625/G612)*BK91</f>
        <v>0</v>
      </c>
      <c r="H635" s="219">
        <f>(H628/H612)*BK60</f>
        <v>21953.249580500924</v>
      </c>
      <c r="I635" s="217">
        <f>(I629/I612)*BK92</f>
        <v>15332.58683002456</v>
      </c>
      <c r="J635" s="217">
        <f>(J630/J612)*BK93</f>
        <v>0</v>
      </c>
      <c r="N635" s="213" t="s">
        <v>587</v>
      </c>
    </row>
    <row r="636" spans="1:14" s="202" customFormat="1" ht="12.6" customHeight="1" x14ac:dyDescent="0.2">
      <c r="A636" s="212">
        <v>8480</v>
      </c>
      <c r="B636" s="216" t="s">
        <v>588</v>
      </c>
      <c r="C636" s="217">
        <f>BH85</f>
        <v>1441771</v>
      </c>
      <c r="D636" s="217">
        <f>(D615/D612)*BH90</f>
        <v>15752.690217244635</v>
      </c>
      <c r="E636" s="219">
        <f>(E623/E612)*SUM(C636:D636)</f>
        <v>73785.892652401264</v>
      </c>
      <c r="F636" s="219">
        <f>(F624/F612)*BH64</f>
        <v>115.51198460805101</v>
      </c>
      <c r="G636" s="217">
        <f>(G625/G612)*BH91</f>
        <v>0</v>
      </c>
      <c r="H636" s="219">
        <f>(H628/H612)*BH60</f>
        <v>10912.683286617934</v>
      </c>
      <c r="I636" s="217">
        <f>(I629/I612)*BH92</f>
        <v>8239.3294884576426</v>
      </c>
      <c r="J636" s="217">
        <f>(J630/J612)*BH93</f>
        <v>0</v>
      </c>
      <c r="N636" s="213" t="s">
        <v>589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301253</v>
      </c>
      <c r="D637" s="217">
        <f>(D615/D612)*BL90</f>
        <v>82240.773660774517</v>
      </c>
      <c r="E637" s="219">
        <f>(E623/E612)*SUM(C637:D637)</f>
        <v>19414.044935338636</v>
      </c>
      <c r="F637" s="219">
        <f>(F624/F612)*BL64</f>
        <v>32.700352830778215</v>
      </c>
      <c r="G637" s="217">
        <f>(G625/G612)*BL91</f>
        <v>0</v>
      </c>
      <c r="H637" s="219">
        <f>(H628/H612)*BL60</f>
        <v>10870.055617529582</v>
      </c>
      <c r="I637" s="217">
        <f>(I629/I612)*BL92</f>
        <v>42993.192969846641</v>
      </c>
      <c r="J637" s="217">
        <f>(J630/J612)*BL93</f>
        <v>0</v>
      </c>
      <c r="N637" s="213" t="s">
        <v>590</v>
      </c>
    </row>
    <row r="638" spans="1:14" s="202" customFormat="1" ht="12.6" customHeight="1" x14ac:dyDescent="0.2">
      <c r="A638" s="212">
        <v>8590</v>
      </c>
      <c r="B638" s="216" t="s">
        <v>591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592</v>
      </c>
    </row>
    <row r="639" spans="1:14" s="202" customFormat="1" ht="12.6" customHeight="1" x14ac:dyDescent="0.2">
      <c r="A639" s="212">
        <v>8660</v>
      </c>
      <c r="B639" s="216" t="s">
        <v>593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594</v>
      </c>
    </row>
    <row r="640" spans="1:14" s="202" customFormat="1" ht="12.6" customHeight="1" x14ac:dyDescent="0.2">
      <c r="A640" s="212">
        <v>8670</v>
      </c>
      <c r="B640" s="216" t="s">
        <v>595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596</v>
      </c>
    </row>
    <row r="641" spans="1:14" s="202" customFormat="1" ht="12.6" customHeight="1" x14ac:dyDescent="0.2">
      <c r="A641" s="212">
        <v>8680</v>
      </c>
      <c r="B641" s="216" t="s">
        <v>597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598</v>
      </c>
    </row>
    <row r="642" spans="1:14" s="202" customFormat="1" ht="12.6" customHeight="1" x14ac:dyDescent="0.2">
      <c r="A642" s="212">
        <v>8690</v>
      </c>
      <c r="B642" s="216" t="s">
        <v>599</v>
      </c>
      <c r="C642" s="217">
        <f>BV85</f>
        <v>413529</v>
      </c>
      <c r="D642" s="217">
        <f>(D615/D612)*BV90</f>
        <v>29515.346430980975</v>
      </c>
      <c r="E642" s="219">
        <f>(E623/E612)*SUM(C642:D642)</f>
        <v>22428.741848537029</v>
      </c>
      <c r="F642" s="219">
        <f>(F624/F612)*BV64</f>
        <v>5.2184008245984623</v>
      </c>
      <c r="G642" s="217">
        <f>(G625/G612)*BV91</f>
        <v>0</v>
      </c>
      <c r="H642" s="219">
        <f>(H628/H612)*BV60</f>
        <v>13640.854108272419</v>
      </c>
      <c r="I642" s="217">
        <f>(I629/I612)*BV92</f>
        <v>15425.511598691375</v>
      </c>
      <c r="J642" s="217">
        <f>(J630/J612)*BV93</f>
        <v>0</v>
      </c>
      <c r="N642" s="213" t="s">
        <v>600</v>
      </c>
    </row>
    <row r="643" spans="1:14" s="202" customFormat="1" ht="12.6" customHeight="1" x14ac:dyDescent="0.2">
      <c r="A643" s="212">
        <v>8700</v>
      </c>
      <c r="B643" s="216" t="s">
        <v>601</v>
      </c>
      <c r="C643" s="217">
        <f>BW85</f>
        <v>3147</v>
      </c>
      <c r="D643" s="217">
        <f>(D615/D612)*BW90</f>
        <v>0</v>
      </c>
      <c r="E643" s="219">
        <f>(E623/E612)*SUM(C643:D643)</f>
        <v>159.31418867194992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602</v>
      </c>
    </row>
    <row r="644" spans="1:14" s="202" customFormat="1" ht="12.6" customHeight="1" x14ac:dyDescent="0.2">
      <c r="A644" s="212">
        <v>8710</v>
      </c>
      <c r="B644" s="216" t="s">
        <v>603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3617508.7649819846</v>
      </c>
      <c r="L644" s="219"/>
      <c r="N644" s="213" t="s">
        <v>604</v>
      </c>
    </row>
    <row r="645" spans="1:14" s="202" customFormat="1" ht="12.6" customHeight="1" x14ac:dyDescent="0.2">
      <c r="A645" s="212">
        <v>8720</v>
      </c>
      <c r="B645" s="216" t="s">
        <v>605</v>
      </c>
      <c r="C645" s="217">
        <f>BY85</f>
        <v>553671</v>
      </c>
      <c r="D645" s="217">
        <f>(D615/D612)*BY90</f>
        <v>15438.474321953852</v>
      </c>
      <c r="E645" s="219">
        <f>(E623/E612)*SUM(C645:D645)</f>
        <v>28810.681336867488</v>
      </c>
      <c r="F645" s="219">
        <f>(F624/F612)*BY64</f>
        <v>276.8434792601231</v>
      </c>
      <c r="G645" s="217">
        <f>(G625/G612)*BY91</f>
        <v>0</v>
      </c>
      <c r="H645" s="219">
        <f>(H628/H612)*BY60</f>
        <v>16923.184628075469</v>
      </c>
      <c r="I645" s="217">
        <f>(I629/I612)*BY92</f>
        <v>9230.5270209036735</v>
      </c>
      <c r="J645" s="217">
        <f>(J630/J612)*BY93</f>
        <v>0</v>
      </c>
      <c r="K645" s="219">
        <v>0</v>
      </c>
      <c r="L645" s="219"/>
      <c r="N645" s="213" t="s">
        <v>606</v>
      </c>
    </row>
    <row r="646" spans="1:14" s="202" customFormat="1" ht="12.6" customHeight="1" x14ac:dyDescent="0.2">
      <c r="A646" s="212">
        <v>8730</v>
      </c>
      <c r="B646" s="216" t="s">
        <v>607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608</v>
      </c>
    </row>
    <row r="647" spans="1:14" s="202" customFormat="1" ht="12.6" customHeight="1" x14ac:dyDescent="0.2">
      <c r="A647" s="212">
        <v>8740</v>
      </c>
      <c r="B647" s="216" t="s">
        <v>609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624350.71078706055</v>
      </c>
      <c r="N647" s="213" t="s">
        <v>610</v>
      </c>
    </row>
    <row r="648" spans="1:14" s="202" customFormat="1" ht="12.6" customHeight="1" x14ac:dyDescent="0.2">
      <c r="A648" s="212"/>
      <c r="B648" s="212"/>
      <c r="C648" s="202">
        <f>SUM(C614:C647)</f>
        <v>8539436</v>
      </c>
      <c r="L648" s="215"/>
    </row>
    <row r="666" spans="1:14" s="202" customFormat="1" ht="12.6" customHeight="1" x14ac:dyDescent="0.2">
      <c r="C666" s="210" t="s">
        <v>611</v>
      </c>
      <c r="M666" s="210" t="s">
        <v>612</v>
      </c>
    </row>
    <row r="667" spans="1:14" s="202" customFormat="1" ht="12.6" customHeight="1" x14ac:dyDescent="0.2">
      <c r="C667" s="210" t="s">
        <v>541</v>
      </c>
      <c r="D667" s="210" t="s">
        <v>542</v>
      </c>
      <c r="E667" s="211" t="s">
        <v>543</v>
      </c>
      <c r="F667" s="210" t="s">
        <v>544</v>
      </c>
      <c r="G667" s="210" t="s">
        <v>545</v>
      </c>
      <c r="H667" s="210" t="s">
        <v>546</v>
      </c>
      <c r="I667" s="210" t="s">
        <v>547</v>
      </c>
      <c r="J667" s="210" t="s">
        <v>548</v>
      </c>
      <c r="K667" s="210" t="s">
        <v>549</v>
      </c>
      <c r="L667" s="211" t="s">
        <v>550</v>
      </c>
      <c r="M667" s="210" t="s">
        <v>613</v>
      </c>
    </row>
    <row r="668" spans="1:14" s="202" customFormat="1" ht="12.6" customHeight="1" x14ac:dyDescent="0.2">
      <c r="A668" s="212">
        <v>6010</v>
      </c>
      <c r="B668" s="211" t="s">
        <v>339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614</v>
      </c>
    </row>
    <row r="669" spans="1:14" s="202" customFormat="1" ht="12.6" customHeight="1" x14ac:dyDescent="0.2">
      <c r="A669" s="212">
        <v>6030</v>
      </c>
      <c r="B669" s="211" t="s">
        <v>340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615</v>
      </c>
    </row>
    <row r="670" spans="1:14" s="202" customFormat="1" ht="12.6" customHeight="1" x14ac:dyDescent="0.2">
      <c r="A670" s="212">
        <v>6070</v>
      </c>
      <c r="B670" s="211" t="s">
        <v>616</v>
      </c>
      <c r="C670" s="217">
        <f>E85</f>
        <v>350091</v>
      </c>
      <c r="D670" s="217">
        <f>(D615/D612)*E90</f>
        <v>31652.014518958305</v>
      </c>
      <c r="E670" s="219">
        <f>(E623/E612)*SUM(C670:D670)</f>
        <v>19325.414248259367</v>
      </c>
      <c r="F670" s="219">
        <f>(F624/F612)*E64</f>
        <v>221.92834534892808</v>
      </c>
      <c r="G670" s="217">
        <f>(G625/G612)*E91</f>
        <v>32650.181467862858</v>
      </c>
      <c r="H670" s="219">
        <f>(H628/H612)*E60</f>
        <v>9974.8745666742052</v>
      </c>
      <c r="I670" s="217">
        <f>(I629/I612)*E92</f>
        <v>16540.608822693161</v>
      </c>
      <c r="J670" s="217">
        <f>(J630/J612)*E93</f>
        <v>13427.090331528309</v>
      </c>
      <c r="K670" s="217">
        <f>(K644/K612)*E89</f>
        <v>141876.41885600248</v>
      </c>
      <c r="L670" s="217">
        <f>(L647/L612)*E94</f>
        <v>27980.347368471565</v>
      </c>
      <c r="M670" s="202">
        <f t="shared" si="0"/>
        <v>293649</v>
      </c>
      <c r="N670" s="211" t="s">
        <v>617</v>
      </c>
    </row>
    <row r="671" spans="1:14" s="202" customFormat="1" ht="12.6" customHeight="1" x14ac:dyDescent="0.2">
      <c r="A671" s="212">
        <v>6100</v>
      </c>
      <c r="B671" s="211" t="s">
        <v>618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619</v>
      </c>
    </row>
    <row r="672" spans="1:14" s="202" customFormat="1" ht="12.6" customHeight="1" x14ac:dyDescent="0.2">
      <c r="A672" s="212">
        <v>6120</v>
      </c>
      <c r="B672" s="211" t="s">
        <v>620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621</v>
      </c>
    </row>
    <row r="673" spans="1:14" s="202" customFormat="1" ht="12.6" customHeight="1" x14ac:dyDescent="0.2">
      <c r="A673" s="212">
        <v>6140</v>
      </c>
      <c r="B673" s="211" t="s">
        <v>622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623</v>
      </c>
    </row>
    <row r="674" spans="1:14" s="202" customFormat="1" ht="12.6" customHeight="1" x14ac:dyDescent="0.2">
      <c r="A674" s="212">
        <v>6150</v>
      </c>
      <c r="B674" s="211" t="s">
        <v>624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625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626</v>
      </c>
    </row>
    <row r="676" spans="1:14" s="202" customFormat="1" ht="12.6" customHeight="1" x14ac:dyDescent="0.2">
      <c r="A676" s="212">
        <v>6200</v>
      </c>
      <c r="B676" s="211" t="s">
        <v>345</v>
      </c>
      <c r="C676" s="217">
        <f>K85</f>
        <v>1214273</v>
      </c>
      <c r="D676" s="217">
        <f>(D615/D612)*K90</f>
        <v>97553.561624612063</v>
      </c>
      <c r="E676" s="219">
        <f>(E623/E612)*SUM(C676:D676)</f>
        <v>66410.099886729819</v>
      </c>
      <c r="F676" s="219">
        <f>(F624/F612)*K64</f>
        <v>489.04218942673913</v>
      </c>
      <c r="G676" s="217">
        <f>(G625/G612)*K91</f>
        <v>223955.46749804585</v>
      </c>
      <c r="H676" s="219">
        <f>(H628/H612)*K60</f>
        <v>49192.330127957401</v>
      </c>
      <c r="I676" s="217">
        <f>(I629/I612)*K92</f>
        <v>49807.676005413115</v>
      </c>
      <c r="J676" s="217">
        <f>(J630/J612)*K93</f>
        <v>71897.180392290407</v>
      </c>
      <c r="K676" s="217">
        <f>(K644/K612)*K89</f>
        <v>134595.87432683975</v>
      </c>
      <c r="L676" s="217">
        <f>(L647/L612)*K94</f>
        <v>144795.16082159724</v>
      </c>
      <c r="M676" s="202">
        <f t="shared" si="0"/>
        <v>838696</v>
      </c>
      <c r="N676" s="211" t="s">
        <v>627</v>
      </c>
    </row>
    <row r="677" spans="1:14" s="202" customFormat="1" ht="12.6" customHeight="1" x14ac:dyDescent="0.2">
      <c r="A677" s="212">
        <v>6210</v>
      </c>
      <c r="B677" s="211" t="s">
        <v>346</v>
      </c>
      <c r="C677" s="217">
        <f>L85</f>
        <v>2824726</v>
      </c>
      <c r="D677" s="217">
        <f>(D615/D612)*L90</f>
        <v>255499.4183241128</v>
      </c>
      <c r="E677" s="219">
        <f>(E623/E612)*SUM(C677:D677)</f>
        <v>155933.78247442757</v>
      </c>
      <c r="F677" s="219">
        <f>(F624/F612)*L64</f>
        <v>1790.6186493041575</v>
      </c>
      <c r="G677" s="217">
        <f>(G625/G612)*L91</f>
        <v>263379.46262417402</v>
      </c>
      <c r="H677" s="219">
        <f>(H628/H612)*L60</f>
        <v>80310.528562453852</v>
      </c>
      <c r="I677" s="217">
        <f>(I629/I612)*L92</f>
        <v>133532.89257421388</v>
      </c>
      <c r="J677" s="217">
        <f>(J630/J612)*L93</f>
        <v>108345.15425189213</v>
      </c>
      <c r="K677" s="217">
        <f>(K644/K612)*L89</f>
        <v>182699.82716494889</v>
      </c>
      <c r="L677" s="217">
        <f>(L647/L612)*L94</f>
        <v>225975.80991308205</v>
      </c>
      <c r="M677" s="202">
        <f t="shared" si="0"/>
        <v>1407467</v>
      </c>
      <c r="N677" s="211" t="s">
        <v>628</v>
      </c>
    </row>
    <row r="678" spans="1:14" s="202" customFormat="1" ht="12.6" customHeight="1" x14ac:dyDescent="0.2">
      <c r="A678" s="212">
        <v>6330</v>
      </c>
      <c r="B678" s="211" t="s">
        <v>629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630</v>
      </c>
    </row>
    <row r="679" spans="1:14" s="202" customFormat="1" ht="12.6" customHeight="1" x14ac:dyDescent="0.2">
      <c r="A679" s="212">
        <v>6400</v>
      </c>
      <c r="B679" s="211" t="s">
        <v>631</v>
      </c>
      <c r="C679" s="217">
        <f>N85</f>
        <v>1119764</v>
      </c>
      <c r="D679" s="217">
        <f>(D615/D612)*N90</f>
        <v>257468.50460126839</v>
      </c>
      <c r="E679" s="219">
        <f>(E623/E612)*SUM(C679:D679)</f>
        <v>69721.21991839484</v>
      </c>
      <c r="F679" s="219">
        <f>(F624/F612)*N64</f>
        <v>760.88673331750385</v>
      </c>
      <c r="G679" s="217">
        <f>(G625/G612)*N91</f>
        <v>529256.6441488883</v>
      </c>
      <c r="H679" s="219">
        <f>(H628/H612)*N60</f>
        <v>34144.762939769396</v>
      </c>
      <c r="I679" s="217">
        <f>(I629/I612)*N92</f>
        <v>134555.06502954886</v>
      </c>
      <c r="J679" s="217">
        <f>(J630/J612)*N93</f>
        <v>50367.41428186182</v>
      </c>
      <c r="K679" s="217">
        <f>(K644/K612)*N89</f>
        <v>129640.79848720395</v>
      </c>
      <c r="L679" s="217">
        <f>(L647/L612)*N94</f>
        <v>100252.45536954611</v>
      </c>
      <c r="M679" s="202">
        <f t="shared" si="0"/>
        <v>1306168</v>
      </c>
      <c r="N679" s="211" t="s">
        <v>632</v>
      </c>
    </row>
    <row r="680" spans="1:14" s="202" customFormat="1" ht="12.6" customHeight="1" x14ac:dyDescent="0.2">
      <c r="A680" s="212">
        <v>7010</v>
      </c>
      <c r="B680" s="211" t="s">
        <v>633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634</v>
      </c>
    </row>
    <row r="681" spans="1:14" s="202" customFormat="1" ht="12.6" customHeight="1" x14ac:dyDescent="0.2">
      <c r="A681" s="212">
        <v>7020</v>
      </c>
      <c r="B681" s="211" t="s">
        <v>635</v>
      </c>
      <c r="C681" s="217">
        <f>P85</f>
        <v>0</v>
      </c>
      <c r="D681" s="217">
        <f>(D615/D612)*P90</f>
        <v>0</v>
      </c>
      <c r="E681" s="219">
        <f>(E623/E612)*SUM(C681:D681)</f>
        <v>0</v>
      </c>
      <c r="F681" s="219">
        <f>(F624/F612)*P64</f>
        <v>0</v>
      </c>
      <c r="G681" s="217">
        <f>(G625/G612)*P91</f>
        <v>0</v>
      </c>
      <c r="H681" s="219">
        <f>(H628/H612)*P60</f>
        <v>0</v>
      </c>
      <c r="I681" s="217">
        <f>(I629/I612)*P92</f>
        <v>0</v>
      </c>
      <c r="J681" s="217">
        <f>(J630/J612)*P93</f>
        <v>0</v>
      </c>
      <c r="K681" s="217">
        <f>(K644/K612)*P89</f>
        <v>0</v>
      </c>
      <c r="L681" s="217">
        <f>(L647/L612)*P94</f>
        <v>0</v>
      </c>
      <c r="M681" s="202">
        <f t="shared" si="0"/>
        <v>0</v>
      </c>
      <c r="N681" s="211" t="s">
        <v>636</v>
      </c>
    </row>
    <row r="682" spans="1:14" s="202" customFormat="1" ht="12.6" customHeight="1" x14ac:dyDescent="0.2">
      <c r="A682" s="212">
        <v>7030</v>
      </c>
      <c r="B682" s="211" t="s">
        <v>637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638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0"/>
        <v>0</v>
      </c>
      <c r="N683" s="211" t="s">
        <v>639</v>
      </c>
    </row>
    <row r="684" spans="1:14" s="202" customFormat="1" ht="12.6" customHeight="1" x14ac:dyDescent="0.2">
      <c r="A684" s="212">
        <v>7050</v>
      </c>
      <c r="B684" s="211" t="s">
        <v>640</v>
      </c>
      <c r="C684" s="217">
        <f>S85</f>
        <v>73378</v>
      </c>
      <c r="D684" s="217">
        <f>(D615/D612)*S90</f>
        <v>66802.299338820667</v>
      </c>
      <c r="E684" s="219">
        <f>(E623/E612)*SUM(C684:D684)</f>
        <v>7096.5079939482976</v>
      </c>
      <c r="F684" s="219">
        <f>(F624/F612)*S64</f>
        <v>10.485571750361396</v>
      </c>
      <c r="G684" s="217">
        <f>(G625/G612)*S91</f>
        <v>0</v>
      </c>
      <c r="H684" s="219">
        <f>(H628/H612)*S60</f>
        <v>0</v>
      </c>
      <c r="I684" s="217">
        <f>(I629/I612)*S92</f>
        <v>34908.738095833694</v>
      </c>
      <c r="J684" s="217">
        <f>(J630/J612)*S93</f>
        <v>0</v>
      </c>
      <c r="K684" s="217">
        <f>(K644/K612)*S89</f>
        <v>15114.38049509044</v>
      </c>
      <c r="L684" s="217">
        <f>(L647/L612)*S94</f>
        <v>0</v>
      </c>
      <c r="M684" s="202">
        <f t="shared" si="0"/>
        <v>123932</v>
      </c>
      <c r="N684" s="211" t="s">
        <v>641</v>
      </c>
    </row>
    <row r="685" spans="1:14" s="202" customFormat="1" ht="12.6" customHeight="1" x14ac:dyDescent="0.2">
      <c r="A685" s="212">
        <v>7060</v>
      </c>
      <c r="B685" s="211" t="s">
        <v>642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643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1743447</v>
      </c>
      <c r="D686" s="217">
        <f>(D615/D612)*U90</f>
        <v>24781.160275266495</v>
      </c>
      <c r="E686" s="219">
        <f>(E623/E612)*SUM(C686:D686)</f>
        <v>89515.04122693</v>
      </c>
      <c r="F686" s="219">
        <f>(F624/F612)*U64</f>
        <v>16112.812333021626</v>
      </c>
      <c r="G686" s="217">
        <f>(G625/G612)*U91</f>
        <v>0</v>
      </c>
      <c r="H686" s="219">
        <f>(H628/H612)*U60</f>
        <v>29072.070318255592</v>
      </c>
      <c r="I686" s="217">
        <f>(I629/I612)*U92</f>
        <v>12947.517767576295</v>
      </c>
      <c r="J686" s="217">
        <f>(J630/J612)*U93</f>
        <v>0</v>
      </c>
      <c r="K686" s="217">
        <f>(K644/K612)*U89</f>
        <v>535016.98647793836</v>
      </c>
      <c r="L686" s="217">
        <f>(L647/L612)*U94</f>
        <v>0</v>
      </c>
      <c r="M686" s="202">
        <f t="shared" si="0"/>
        <v>707446</v>
      </c>
      <c r="N686" s="211" t="s">
        <v>644</v>
      </c>
    </row>
    <row r="687" spans="1:14" s="202" customFormat="1" ht="12.6" customHeight="1" x14ac:dyDescent="0.2">
      <c r="A687" s="212">
        <v>7110</v>
      </c>
      <c r="B687" s="211" t="s">
        <v>645</v>
      </c>
      <c r="C687" s="217">
        <f>V85</f>
        <v>21405</v>
      </c>
      <c r="D687" s="217">
        <f>(D615/D612)*V90</f>
        <v>670.32724328700579</v>
      </c>
      <c r="E687" s="219">
        <f>(E623/E612)*SUM(C687:D687)</f>
        <v>1117.5445978494001</v>
      </c>
      <c r="F687" s="219">
        <f>(F624/F612)*V64</f>
        <v>9.2663192212496064</v>
      </c>
      <c r="G687" s="217">
        <f>(G625/G612)*V91</f>
        <v>0</v>
      </c>
      <c r="H687" s="219">
        <f>(H628/H612)*V60</f>
        <v>341.02135270681043</v>
      </c>
      <c r="I687" s="217">
        <f>(I629/I612)*V92</f>
        <v>340.72415177832357</v>
      </c>
      <c r="J687" s="217">
        <f>(J630/J612)*V93</f>
        <v>640.05511795132327</v>
      </c>
      <c r="K687" s="217">
        <f>(K644/K612)*V89</f>
        <v>11992.604165427882</v>
      </c>
      <c r="L687" s="217">
        <f>(L647/L612)*V94</f>
        <v>0</v>
      </c>
      <c r="M687" s="202">
        <f t="shared" si="0"/>
        <v>15112</v>
      </c>
      <c r="N687" s="211" t="s">
        <v>646</v>
      </c>
    </row>
    <row r="688" spans="1:14" s="202" customFormat="1" ht="12.6" customHeight="1" x14ac:dyDescent="0.2">
      <c r="A688" s="212">
        <v>7120</v>
      </c>
      <c r="B688" s="211" t="s">
        <v>647</v>
      </c>
      <c r="C688" s="217">
        <f>W85</f>
        <v>361873</v>
      </c>
      <c r="D688" s="217">
        <f>(D615/D612)*W90</f>
        <v>5488.3043044123597</v>
      </c>
      <c r="E688" s="219">
        <f>(E623/E612)*SUM(C688:D688)</f>
        <v>18597.352445099063</v>
      </c>
      <c r="F688" s="219">
        <f>(F624/F612)*W64</f>
        <v>76.349593372980308</v>
      </c>
      <c r="G688" s="217">
        <f>(G625/G612)*W91</f>
        <v>0</v>
      </c>
      <c r="H688" s="219">
        <f>(H628/H612)*W60</f>
        <v>2813.4261598311864</v>
      </c>
      <c r="I688" s="217">
        <f>(I629/I612)*W92</f>
        <v>2849.6929057823422</v>
      </c>
      <c r="J688" s="217">
        <f>(J630/J612)*W93</f>
        <v>5261.1123981053825</v>
      </c>
      <c r="K688" s="217">
        <f>(K644/K612)*W89</f>
        <v>98893.848400744901</v>
      </c>
      <c r="L688" s="217">
        <f>(L647/L612)*W94</f>
        <v>0</v>
      </c>
      <c r="M688" s="202">
        <f t="shared" si="0"/>
        <v>133980</v>
      </c>
      <c r="N688" s="211" t="s">
        <v>648</v>
      </c>
    </row>
    <row r="689" spans="1:14" s="202" customFormat="1" ht="12.6" customHeight="1" x14ac:dyDescent="0.2">
      <c r="A689" s="212">
        <v>7130</v>
      </c>
      <c r="B689" s="211" t="s">
        <v>649</v>
      </c>
      <c r="C689" s="217">
        <f>X85</f>
        <v>613135</v>
      </c>
      <c r="D689" s="217">
        <f>(D615/D612)*X90</f>
        <v>16527.756092295236</v>
      </c>
      <c r="E689" s="219">
        <f>(E623/E612)*SUM(C689:D689)</f>
        <v>31876.139537269752</v>
      </c>
      <c r="F689" s="219">
        <f>(F624/F612)*X64</f>
        <v>229.12193527068763</v>
      </c>
      <c r="G689" s="217">
        <f>(G625/G612)*X91</f>
        <v>0</v>
      </c>
      <c r="H689" s="219">
        <f>(H628/H612)*X60</f>
        <v>8482.9061485819093</v>
      </c>
      <c r="I689" s="217">
        <f>(I629/I612)*X92</f>
        <v>8611.0285631249044</v>
      </c>
      <c r="J689" s="217">
        <f>(J630/J612)*X93</f>
        <v>15790.370767040888</v>
      </c>
      <c r="K689" s="217">
        <f>(K644/K612)*X89</f>
        <v>296811.76752131362</v>
      </c>
      <c r="L689" s="217">
        <f>(L647/L612)*X94</f>
        <v>0</v>
      </c>
      <c r="M689" s="202">
        <f t="shared" si="0"/>
        <v>378329</v>
      </c>
      <c r="N689" s="211" t="s">
        <v>650</v>
      </c>
    </row>
    <row r="690" spans="1:14" s="202" customFormat="1" ht="12.6" customHeight="1" x14ac:dyDescent="0.2">
      <c r="A690" s="212">
        <v>7140</v>
      </c>
      <c r="B690" s="211" t="s">
        <v>651</v>
      </c>
      <c r="C690" s="217">
        <f>Y85</f>
        <v>738398</v>
      </c>
      <c r="D690" s="217">
        <f>(D615/D612)*Y90</f>
        <v>17177.135609229525</v>
      </c>
      <c r="E690" s="219">
        <f>(E623/E612)*SUM(C690:D690)</f>
        <v>38250.346269552887</v>
      </c>
      <c r="F690" s="219">
        <f>(F624/F612)*Y64</f>
        <v>239.16857611056878</v>
      </c>
      <c r="G690" s="217">
        <f>(G625/G612)*Y91</f>
        <v>0</v>
      </c>
      <c r="H690" s="219">
        <f>(H628/H612)*Y60</f>
        <v>8866.5551703770707</v>
      </c>
      <c r="I690" s="217">
        <f>(I629/I612)*Y92</f>
        <v>8982.7276377921662</v>
      </c>
      <c r="J690" s="217">
        <f>(J630/J612)*Y93</f>
        <v>16486.69446679013</v>
      </c>
      <c r="K690" s="217">
        <f>(K644/K612)*Y89</f>
        <v>309821.60314812319</v>
      </c>
      <c r="L690" s="217">
        <f>(L647/L612)*Y94</f>
        <v>0</v>
      </c>
      <c r="M690" s="202">
        <f t="shared" si="0"/>
        <v>399824</v>
      </c>
      <c r="N690" s="211" t="s">
        <v>652</v>
      </c>
    </row>
    <row r="691" spans="1:14" s="202" customFormat="1" ht="12.6" customHeight="1" x14ac:dyDescent="0.2">
      <c r="A691" s="212">
        <v>7150</v>
      </c>
      <c r="B691" s="211" t="s">
        <v>653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654</v>
      </c>
    </row>
    <row r="692" spans="1:14" s="202" customFormat="1" ht="12.6" customHeight="1" x14ac:dyDescent="0.2">
      <c r="A692" s="212">
        <v>7160</v>
      </c>
      <c r="B692" s="211" t="s">
        <v>655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656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682043</v>
      </c>
      <c r="D693" s="217">
        <f>(D615/D612)*AB90</f>
        <v>7771.606476858723</v>
      </c>
      <c r="E693" s="219">
        <f>(E623/E612)*SUM(C693:D693)</f>
        <v>34921.275616435065</v>
      </c>
      <c r="F693" s="219">
        <f>(F624/F612)*AB64</f>
        <v>8338.8825924554312</v>
      </c>
      <c r="G693" s="217">
        <f>(G625/G612)*AB91</f>
        <v>0</v>
      </c>
      <c r="H693" s="219">
        <f>(H628/H612)*AB60</f>
        <v>1747.7344326224033</v>
      </c>
      <c r="I693" s="217">
        <f>(I629/I612)*AB92</f>
        <v>4057.714898450944</v>
      </c>
      <c r="J693" s="217">
        <f>(J630/J612)*AB93</f>
        <v>0</v>
      </c>
      <c r="K693" s="217">
        <f>(K644/K612)*AB89</f>
        <v>219364.46727439517</v>
      </c>
      <c r="L693" s="217">
        <f>(L647/L612)*AB94</f>
        <v>0</v>
      </c>
      <c r="M693" s="202">
        <f t="shared" si="0"/>
        <v>276202</v>
      </c>
      <c r="N693" s="211" t="s">
        <v>657</v>
      </c>
    </row>
    <row r="694" spans="1:14" s="202" customFormat="1" ht="12.6" customHeight="1" x14ac:dyDescent="0.2">
      <c r="A694" s="212">
        <v>7180</v>
      </c>
      <c r="B694" s="211" t="s">
        <v>658</v>
      </c>
      <c r="C694" s="217">
        <f>AC85</f>
        <v>0</v>
      </c>
      <c r="D694" s="217">
        <f>(D615/D612)*AC90</f>
        <v>0</v>
      </c>
      <c r="E694" s="219">
        <f>(E623/E612)*SUM(C694:D694)</f>
        <v>0</v>
      </c>
      <c r="F694" s="219">
        <f>(F624/F612)*AC64</f>
        <v>0</v>
      </c>
      <c r="G694" s="217">
        <f>(G625/G612)*AC91</f>
        <v>0</v>
      </c>
      <c r="H694" s="219">
        <f>(H628/H612)*AC60</f>
        <v>0</v>
      </c>
      <c r="I694" s="217">
        <f>(I629/I612)*AC92</f>
        <v>0</v>
      </c>
      <c r="J694" s="217">
        <f>(J630/J612)*AC93</f>
        <v>0</v>
      </c>
      <c r="K694" s="217">
        <f>(K644/K612)*AC89</f>
        <v>0</v>
      </c>
      <c r="L694" s="217">
        <f>(L647/L612)*AC94</f>
        <v>0</v>
      </c>
      <c r="M694" s="202">
        <f t="shared" si="0"/>
        <v>0</v>
      </c>
      <c r="N694" s="211" t="s">
        <v>659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660</v>
      </c>
    </row>
    <row r="696" spans="1:14" s="202" customFormat="1" ht="12.6" customHeight="1" x14ac:dyDescent="0.2">
      <c r="A696" s="212">
        <v>7200</v>
      </c>
      <c r="B696" s="211" t="s">
        <v>661</v>
      </c>
      <c r="C696" s="217">
        <f>AE85</f>
        <v>954480</v>
      </c>
      <c r="D696" s="217">
        <f>(D615/D612)*AE90</f>
        <v>60308.504169477805</v>
      </c>
      <c r="E696" s="219">
        <f>(E623/E612)*SUM(C696:D696)</f>
        <v>51372.801784360352</v>
      </c>
      <c r="F696" s="219">
        <f>(F624/F612)*AE64</f>
        <v>131.45980768883322</v>
      </c>
      <c r="G696" s="217">
        <f>(G625/G612)*AE91</f>
        <v>0</v>
      </c>
      <c r="H696" s="219">
        <f>(H628/H612)*AE60</f>
        <v>0</v>
      </c>
      <c r="I696" s="217">
        <f>(I629/I612)*AE92</f>
        <v>31532.471500939399</v>
      </c>
      <c r="J696" s="217">
        <f>(J630/J612)*AE93</f>
        <v>3910.6664349553375</v>
      </c>
      <c r="K696" s="217">
        <f>(K644/K612)*AE89</f>
        <v>220617.22807631639</v>
      </c>
      <c r="L696" s="217">
        <f>(L647/L612)*AE94</f>
        <v>0</v>
      </c>
      <c r="M696" s="202">
        <f t="shared" si="0"/>
        <v>367873</v>
      </c>
      <c r="N696" s="211" t="s">
        <v>662</v>
      </c>
    </row>
    <row r="697" spans="1:14" s="202" customFormat="1" ht="12.6" customHeight="1" x14ac:dyDescent="0.2">
      <c r="A697" s="212">
        <v>7220</v>
      </c>
      <c r="B697" s="211" t="s">
        <v>663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664</v>
      </c>
    </row>
    <row r="698" spans="1:14" s="202" customFormat="1" ht="12.6" customHeight="1" x14ac:dyDescent="0.2">
      <c r="A698" s="212">
        <v>7230</v>
      </c>
      <c r="B698" s="211" t="s">
        <v>665</v>
      </c>
      <c r="C698" s="217">
        <f>AG85</f>
        <v>2728519</v>
      </c>
      <c r="D698" s="217">
        <f>(D615/D612)*AG90</f>
        <v>60832.197328295777</v>
      </c>
      <c r="E698" s="219">
        <f>(E623/E612)*SUM(C698:D698)</f>
        <v>141208.52333126453</v>
      </c>
      <c r="F698" s="219">
        <f>(F624/F612)*AG64</f>
        <v>2954.3708032907793</v>
      </c>
      <c r="G698" s="217">
        <f>(G625/G612)*AG91</f>
        <v>979.10580901179935</v>
      </c>
      <c r="H698" s="219">
        <f>(H628/H612)*AG60</f>
        <v>45611.605924535892</v>
      </c>
      <c r="I698" s="217">
        <f>(I629/I612)*AG92</f>
        <v>31780.270884050904</v>
      </c>
      <c r="J698" s="217">
        <f>(J630/J612)*AG93</f>
        <v>106228.04886174544</v>
      </c>
      <c r="K698" s="217">
        <f>(K644/K612)*AG89</f>
        <v>775682.06944868143</v>
      </c>
      <c r="L698" s="217">
        <f>(L647/L612)*AG94</f>
        <v>75785.335473348998</v>
      </c>
      <c r="M698" s="202">
        <f t="shared" si="0"/>
        <v>1241062</v>
      </c>
      <c r="N698" s="211" t="s">
        <v>666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667</v>
      </c>
    </row>
    <row r="700" spans="1:14" s="202" customFormat="1" ht="12.6" customHeight="1" x14ac:dyDescent="0.2">
      <c r="A700" s="212">
        <v>7250</v>
      </c>
      <c r="B700" s="211" t="s">
        <v>668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669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2934409</v>
      </c>
      <c r="D701" s="217">
        <f>(D615/D612)*AJ90</f>
        <v>116113.24717312104</v>
      </c>
      <c r="E701" s="219">
        <f>(E623/E612)*SUM(C701:D701)</f>
        <v>154430.08478999659</v>
      </c>
      <c r="F701" s="219">
        <f>(F624/F612)*AJ64</f>
        <v>4260.5316526776578</v>
      </c>
      <c r="G701" s="217">
        <f>(G625/G612)*AJ91</f>
        <v>0</v>
      </c>
      <c r="H701" s="219">
        <f>(H628/H612)*AJ60</f>
        <v>58868.811011013153</v>
      </c>
      <c r="I701" s="217">
        <f>(I629/I612)*AJ92</f>
        <v>60679.87393943053</v>
      </c>
      <c r="J701" s="217">
        <f>(J630/J612)*AJ93</f>
        <v>4705.4601528509365</v>
      </c>
      <c r="K701" s="217">
        <f>(K644/K612)*AJ89</f>
        <v>470632.66631038481</v>
      </c>
      <c r="L701" s="217">
        <f>(L647/L612)*AJ94</f>
        <v>44919.122681223409</v>
      </c>
      <c r="M701" s="202">
        <f t="shared" si="0"/>
        <v>914610</v>
      </c>
      <c r="N701" s="211" t="s">
        <v>670</v>
      </c>
    </row>
    <row r="702" spans="1:14" s="202" customFormat="1" ht="12.6" customHeight="1" x14ac:dyDescent="0.2">
      <c r="A702" s="212">
        <v>7310</v>
      </c>
      <c r="B702" s="211" t="s">
        <v>671</v>
      </c>
      <c r="C702" s="217">
        <f>AK85</f>
        <v>168380</v>
      </c>
      <c r="D702" s="217">
        <f>(D615/D612)*AK90</f>
        <v>13825.499392794494</v>
      </c>
      <c r="E702" s="219">
        <f>(E623/E612)*SUM(C702:D702)</f>
        <v>9223.9978733176104</v>
      </c>
      <c r="F702" s="219">
        <f>(F624/F612)*AK64</f>
        <v>16.606219446502585</v>
      </c>
      <c r="G702" s="217">
        <f>(G625/G612)*AK91</f>
        <v>0</v>
      </c>
      <c r="H702" s="219">
        <f>(H628/H612)*AK60</f>
        <v>0</v>
      </c>
      <c r="I702" s="217">
        <f>(I629/I612)*AK92</f>
        <v>7217.1570331226712</v>
      </c>
      <c r="J702" s="217">
        <f>(J630/J612)*AK93</f>
        <v>0</v>
      </c>
      <c r="K702" s="217">
        <f>(K644/K612)*AK89</f>
        <v>41847.267484965494</v>
      </c>
      <c r="L702" s="217">
        <f>(L647/L612)*AK94</f>
        <v>0</v>
      </c>
      <c r="M702" s="202">
        <f t="shared" si="0"/>
        <v>72131</v>
      </c>
      <c r="N702" s="211" t="s">
        <v>672</v>
      </c>
    </row>
    <row r="703" spans="1:14" s="202" customFormat="1" ht="12.6" customHeight="1" x14ac:dyDescent="0.2">
      <c r="A703" s="212">
        <v>7320</v>
      </c>
      <c r="B703" s="211" t="s">
        <v>673</v>
      </c>
      <c r="C703" s="217">
        <f>AL85</f>
        <v>33347</v>
      </c>
      <c r="D703" s="217">
        <f>(D615/D612)*AL90</f>
        <v>1885.2953717447037</v>
      </c>
      <c r="E703" s="219">
        <f>(E623/E612)*SUM(C703:D703)</f>
        <v>1783.6048783603442</v>
      </c>
      <c r="F703" s="219">
        <f>(F624/F612)*AL64</f>
        <v>1.2924076808584977</v>
      </c>
      <c r="G703" s="217">
        <f>(G625/G612)*AL91</f>
        <v>0</v>
      </c>
      <c r="H703" s="219">
        <f>(H628/H612)*AL60</f>
        <v>0</v>
      </c>
      <c r="I703" s="217">
        <f>(I629/I612)*AL92</f>
        <v>991.19753244603214</v>
      </c>
      <c r="J703" s="217">
        <f>(J630/J612)*AL93</f>
        <v>0</v>
      </c>
      <c r="K703" s="217">
        <f>(K644/K612)*AL89</f>
        <v>5805.3870805205024</v>
      </c>
      <c r="L703" s="217">
        <f>(L647/L612)*AL94</f>
        <v>0</v>
      </c>
      <c r="M703" s="202">
        <f t="shared" si="0"/>
        <v>10467</v>
      </c>
      <c r="N703" s="211" t="s">
        <v>674</v>
      </c>
    </row>
    <row r="704" spans="1:14" s="202" customFormat="1" ht="12.6" customHeight="1" x14ac:dyDescent="0.2">
      <c r="A704" s="212">
        <v>7330</v>
      </c>
      <c r="B704" s="211" t="s">
        <v>675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676</v>
      </c>
    </row>
    <row r="705" spans="1:14" s="202" customFormat="1" ht="12.6" customHeight="1" x14ac:dyDescent="0.2">
      <c r="A705" s="212">
        <v>7340</v>
      </c>
      <c r="B705" s="211" t="s">
        <v>677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678</v>
      </c>
    </row>
    <row r="706" spans="1:14" s="202" customFormat="1" ht="12.6" customHeight="1" x14ac:dyDescent="0.2">
      <c r="A706" s="212">
        <v>7350</v>
      </c>
      <c r="B706" s="211" t="s">
        <v>679</v>
      </c>
      <c r="C706" s="217">
        <f>AO85</f>
        <v>58664</v>
      </c>
      <c r="D706" s="217">
        <f>(D615/D612)*AO90</f>
        <v>5299.7747672378891</v>
      </c>
      <c r="E706" s="219">
        <f>(E623/E612)*SUM(C706:D706)</f>
        <v>3238.1114971203833</v>
      </c>
      <c r="F706" s="219">
        <f>(F624/F612)*AO64</f>
        <v>37.187202137909608</v>
      </c>
      <c r="G706" s="217">
        <f>(G625/G612)*AO91</f>
        <v>5474.9998299843473</v>
      </c>
      <c r="H706" s="219">
        <f>(H628/H612)*AO60</f>
        <v>1662.4790944457009</v>
      </c>
      <c r="I706" s="217">
        <f>(I629/I612)*AO92</f>
        <v>2787.7430600044654</v>
      </c>
      <c r="J706" s="217">
        <f>(J630/J612)*AO93</f>
        <v>2250.7432719167409</v>
      </c>
      <c r="K706" s="217">
        <f>(K644/K612)*AO89</f>
        <v>27095.570263087277</v>
      </c>
      <c r="L706" s="217">
        <f>(L647/L612)*AO94</f>
        <v>4642.4791597912463</v>
      </c>
      <c r="M706" s="202">
        <f t="shared" si="0"/>
        <v>52489</v>
      </c>
      <c r="N706" s="211" t="s">
        <v>680</v>
      </c>
    </row>
    <row r="707" spans="1:14" s="202" customFormat="1" ht="12.6" customHeight="1" x14ac:dyDescent="0.2">
      <c r="A707" s="212">
        <v>7380</v>
      </c>
      <c r="B707" s="211" t="s">
        <v>681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682</v>
      </c>
    </row>
    <row r="708" spans="1:14" s="202" customFormat="1" ht="12.6" customHeight="1" x14ac:dyDescent="0.2">
      <c r="A708" s="212">
        <v>7390</v>
      </c>
      <c r="B708" s="211" t="s">
        <v>683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684</v>
      </c>
    </row>
    <row r="709" spans="1:14" s="202" customFormat="1" ht="12.6" customHeight="1" x14ac:dyDescent="0.2">
      <c r="A709" s="212">
        <v>7400</v>
      </c>
      <c r="B709" s="211" t="s">
        <v>685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686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687</v>
      </c>
    </row>
    <row r="711" spans="1:14" s="202" customFormat="1" ht="12.6" customHeight="1" x14ac:dyDescent="0.2">
      <c r="A711" s="212">
        <v>7420</v>
      </c>
      <c r="B711" s="211" t="s">
        <v>688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689</v>
      </c>
    </row>
    <row r="712" spans="1:14" s="202" customFormat="1" ht="12.6" customHeight="1" x14ac:dyDescent="0.2">
      <c r="A712" s="212">
        <v>7430</v>
      </c>
      <c r="B712" s="211" t="s">
        <v>690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691</v>
      </c>
    </row>
    <row r="713" spans="1:14" s="202" customFormat="1" ht="12.6" customHeight="1" x14ac:dyDescent="0.2">
      <c r="A713" s="212">
        <v>7490</v>
      </c>
      <c r="B713" s="211" t="s">
        <v>692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0</v>
      </c>
      <c r="N713" s="213" t="s">
        <v>693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25159768</v>
      </c>
      <c r="D715" s="202">
        <f>SUM(D616:D647)+SUM(D668:D713)</f>
        <v>1552435.9999999998</v>
      </c>
      <c r="E715" s="202">
        <f>SUM(E624:E647)+SUM(E668:E713)</f>
        <v>1212319.1558224258</v>
      </c>
      <c r="F715" s="202">
        <f>SUM(F625:F648)+SUM(F668:F713)</f>
        <v>45228.318877705351</v>
      </c>
      <c r="G715" s="202">
        <f>SUM(G626:G647)+SUM(G668:G713)</f>
        <v>1055695.8613779671</v>
      </c>
      <c r="H715" s="202">
        <f>SUM(H629:H647)+SUM(H668:H713)</f>
        <v>469117.4983173061</v>
      </c>
      <c r="I715" s="202">
        <f>SUM(I630:I647)+SUM(I668:I713)</f>
        <v>669027.35947818274</v>
      </c>
      <c r="J715" s="202">
        <f>SUM(J631:J647)+SUM(J668:J713)</f>
        <v>399309.99072892888</v>
      </c>
      <c r="K715" s="202">
        <f>SUM(K668:K713)</f>
        <v>3617508.7649819842</v>
      </c>
      <c r="L715" s="202">
        <f>SUM(L668:L713)</f>
        <v>624350.71078706055</v>
      </c>
      <c r="M715" s="202">
        <f>SUM(M668:M713)</f>
        <v>8539437</v>
      </c>
      <c r="N715" s="211" t="s">
        <v>694</v>
      </c>
    </row>
    <row r="716" spans="1:14" s="202" customFormat="1" ht="12.6" customHeight="1" x14ac:dyDescent="0.2">
      <c r="C716" s="214">
        <f>CE85</f>
        <v>25159768</v>
      </c>
      <c r="D716" s="202">
        <f>D615</f>
        <v>1552436</v>
      </c>
      <c r="E716" s="202">
        <f>E623</f>
        <v>1212319.1558224261</v>
      </c>
      <c r="F716" s="202">
        <f>F624</f>
        <v>45228.318877705358</v>
      </c>
      <c r="G716" s="202">
        <f>G625</f>
        <v>1055695.8613779673</v>
      </c>
      <c r="H716" s="202">
        <f>H628</f>
        <v>469117.49831730622</v>
      </c>
      <c r="I716" s="202">
        <f>I629</f>
        <v>669027.35947818274</v>
      </c>
      <c r="J716" s="202">
        <f>J630</f>
        <v>399309.99072892882</v>
      </c>
      <c r="K716" s="202">
        <f>K644</f>
        <v>3617508.7649819846</v>
      </c>
      <c r="L716" s="202">
        <f>L647</f>
        <v>624350.71078706055</v>
      </c>
      <c r="M716" s="202">
        <f>C648</f>
        <v>8539436</v>
      </c>
      <c r="N716" s="211" t="s">
        <v>695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045</v>
      </c>
      <c r="C2" s="11" t="str">
        <f>SUBSTITUTE(LEFT(data!C98,49),",","")</f>
        <v>Columbia Basin Hospital</v>
      </c>
      <c r="D2" s="11" t="str">
        <f>LEFT(data!C99, 49)</f>
        <v>200 Nat Washington Way</v>
      </c>
      <c r="E2" s="11" t="str">
        <f>LEFT(data!C100, 100)</f>
        <v>Ephrata</v>
      </c>
      <c r="F2" s="11" t="str">
        <f>LEFT(data!C101, 2)</f>
        <v>Wa</v>
      </c>
      <c r="G2" s="11" t="str">
        <f>LEFT(data!C102, 100)</f>
        <v xml:space="preserve"> 98823</v>
      </c>
      <c r="H2" s="11" t="str">
        <f>LEFT(data!C103, 100)</f>
        <v>Grant</v>
      </c>
      <c r="I2" s="11" t="str">
        <f>LEFT(data!C104, 49)</f>
        <v>Rosalinda Kibby</v>
      </c>
      <c r="J2" s="11" t="str">
        <f>LEFT(data!C105, 49)</f>
        <v>Anthonie Zimmermann</v>
      </c>
      <c r="K2" s="11" t="str">
        <f>LEFT(data!C107, 49)</f>
        <v>509-754-4631</v>
      </c>
      <c r="L2" s="11" t="str">
        <f>LEFT(data!C108, 49)</f>
        <v>509-754-4809</v>
      </c>
      <c r="M2" s="11" t="str">
        <f>LEFT(data!C109, 49)</f>
        <v>Jeannette Ring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045</v>
      </c>
      <c r="B2" s="200" t="str">
        <f>RIGHT(data!C96,4)</f>
        <v>2024</v>
      </c>
      <c r="C2" s="12" t="s">
        <v>1163</v>
      </c>
      <c r="D2" s="199">
        <f>ROUND(N(data!C181),0)</f>
        <v>892765</v>
      </c>
      <c r="E2" s="199">
        <f>ROUND(N(data!C182),0)</f>
        <v>85557</v>
      </c>
      <c r="F2" s="199">
        <f>ROUND(N(data!C183),0)</f>
        <v>209543</v>
      </c>
      <c r="G2" s="199">
        <f>ROUND(N(data!C184),0)</f>
        <v>1085210</v>
      </c>
      <c r="H2" s="199">
        <f>ROUND(N(data!C185),0)</f>
        <v>8553</v>
      </c>
      <c r="I2" s="199">
        <f>ROUND(N(data!C186),0)</f>
        <v>456499</v>
      </c>
      <c r="J2" s="199">
        <f>ROUND(N(data!C187)+N(data!C188),0)</f>
        <v>24638</v>
      </c>
      <c r="K2" s="199">
        <f>ROUND(N(data!C191),0)</f>
        <v>2021</v>
      </c>
      <c r="L2" s="199">
        <f>ROUND(N(data!C192),0)</f>
        <v>19590</v>
      </c>
      <c r="M2" s="199">
        <f>ROUND(N(data!C195),0)</f>
        <v>148081</v>
      </c>
      <c r="N2" s="199">
        <f>ROUND(N(data!C196),0)</f>
        <v>72756</v>
      </c>
      <c r="O2" s="199">
        <f>ROUND(N(data!C199),0)</f>
        <v>230385</v>
      </c>
      <c r="P2" s="199">
        <f>ROUND(N(data!C200),0)</f>
        <v>86509</v>
      </c>
      <c r="Q2" s="199">
        <f>ROUND(N(data!C201),0)</f>
        <v>0</v>
      </c>
      <c r="R2" s="199">
        <f>ROUND(N(data!C204),0)</f>
        <v>0</v>
      </c>
      <c r="S2" s="199">
        <f>ROUND(N(data!C205),0)</f>
        <v>648555</v>
      </c>
      <c r="T2" s="199">
        <f>ROUND(N(data!B211),0)</f>
        <v>99457</v>
      </c>
      <c r="U2" s="199">
        <f>ROUND(N(data!C211),0)</f>
        <v>0</v>
      </c>
      <c r="V2" s="199">
        <f>ROUND(N(data!D211),0)</f>
        <v>0</v>
      </c>
      <c r="W2" s="199">
        <f>ROUND(N(data!B212),0)</f>
        <v>384512</v>
      </c>
      <c r="X2" s="199">
        <f>ROUND(N(data!C212),0)</f>
        <v>0</v>
      </c>
      <c r="Y2" s="199">
        <f>ROUND(N(data!D212),0)</f>
        <v>0</v>
      </c>
      <c r="Z2" s="199">
        <f>ROUND(N(data!B213),0)</f>
        <v>24737896</v>
      </c>
      <c r="AA2" s="199">
        <f>ROUND(N(data!C213),0)</f>
        <v>10244</v>
      </c>
      <c r="AB2" s="199">
        <f>ROUND(N(data!D213),0)</f>
        <v>0</v>
      </c>
      <c r="AC2" s="199">
        <f>ROUND(N(data!B214),0)</f>
        <v>4900033</v>
      </c>
      <c r="AD2" s="199">
        <f>ROUND(N(data!C214),0)</f>
        <v>0</v>
      </c>
      <c r="AE2" s="199">
        <f>ROUND(N(data!D214),0)</f>
        <v>0</v>
      </c>
      <c r="AF2" s="199">
        <f>ROUND(N(data!B215),0)</f>
        <v>253117</v>
      </c>
      <c r="AG2" s="199">
        <f>ROUND(N(data!C215),0)</f>
        <v>0</v>
      </c>
      <c r="AH2" s="199">
        <f>ROUND(N(data!D215),0)</f>
        <v>0</v>
      </c>
      <c r="AI2" s="199">
        <f>ROUND(N(data!B216),0)</f>
        <v>5009834</v>
      </c>
      <c r="AJ2" s="199">
        <f>ROUND(N(data!C216),0)</f>
        <v>150447</v>
      </c>
      <c r="AK2" s="199">
        <f>ROUND(N(data!D216),0)</f>
        <v>170073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980978</v>
      </c>
      <c r="AS2" s="199">
        <f>ROUND(N(data!C219),0)</f>
        <v>3321943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221314</v>
      </c>
      <c r="AY2" s="199">
        <f>ROUND(N(data!C225),0)</f>
        <v>27181</v>
      </c>
      <c r="AZ2" s="199">
        <f>ROUND(N(data!D225),0)</f>
        <v>0</v>
      </c>
      <c r="BA2" s="199">
        <f>ROUND(N(data!B226),0)</f>
        <v>14177547</v>
      </c>
      <c r="BB2" s="199">
        <f>ROUND(N(data!C226),0)</f>
        <v>949343</v>
      </c>
      <c r="BC2" s="199">
        <f>ROUND(N(data!D226),0)</f>
        <v>0</v>
      </c>
      <c r="BD2" s="199">
        <f>ROUND(N(data!B227),0)</f>
        <v>7016290</v>
      </c>
      <c r="BE2" s="199">
        <f>ROUND(N(data!C227),0)</f>
        <v>697385</v>
      </c>
      <c r="BF2" s="199">
        <f>ROUND(N(data!D227),0)</f>
        <v>170073</v>
      </c>
      <c r="BG2" s="199">
        <f>ROUND(N(data!B228),0)</f>
        <v>204494</v>
      </c>
      <c r="BH2" s="199">
        <f>ROUND(N(data!C228),0)</f>
        <v>36295</v>
      </c>
      <c r="BI2" s="199">
        <f>ROUND(N(data!D228),0)</f>
        <v>0</v>
      </c>
      <c r="BJ2" s="199">
        <f>ROUND(N(data!B229),0)</f>
        <v>0</v>
      </c>
      <c r="BK2" s="199">
        <f>ROUND(N(data!C229),0)</f>
        <v>0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3967075</v>
      </c>
      <c r="BW2" s="199">
        <f>ROUND(N(data!C240),0)</f>
        <v>2149083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3474708</v>
      </c>
      <c r="CB2" s="199">
        <f>ROUND(N(data!C247),0)</f>
        <v>204</v>
      </c>
      <c r="CC2" s="199">
        <f>ROUND(N(data!C249),0)</f>
        <v>86873</v>
      </c>
      <c r="CD2" s="199">
        <f>ROUND(N(data!C250),0)</f>
        <v>338293</v>
      </c>
      <c r="CE2" s="199">
        <f>ROUND(N(data!C254)+N(data!C255),0)</f>
        <v>0</v>
      </c>
      <c r="CF2" s="199">
        <f>ROUND(N(data!D237),0)</f>
        <v>1404304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045</v>
      </c>
      <c r="B2" s="12" t="str">
        <f>RIGHT(data!C96,4)</f>
        <v>2024</v>
      </c>
      <c r="C2" s="12" t="s">
        <v>1163</v>
      </c>
      <c r="D2" s="198">
        <f>ROUND(N(data!C127),0)</f>
        <v>152</v>
      </c>
      <c r="E2" s="198">
        <f>ROUND(N(data!C128),0)</f>
        <v>172</v>
      </c>
      <c r="F2" s="198">
        <f>ROUND(N(data!C129),0)</f>
        <v>0</v>
      </c>
      <c r="G2" s="198">
        <f>ROUND(N(data!C130),0)</f>
        <v>0</v>
      </c>
      <c r="H2" s="198">
        <f>ROUND(N(data!D127),0)</f>
        <v>531</v>
      </c>
      <c r="I2" s="198">
        <f>ROUND(N(data!D128),0)</f>
        <v>8673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25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12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37</v>
      </c>
      <c r="X2" s="198">
        <f>ROUND(N(data!C145),0)</f>
        <v>0</v>
      </c>
      <c r="Y2" s="198">
        <f>ROUND(N(data!B154),0)</f>
        <v>103</v>
      </c>
      <c r="Z2" s="198">
        <f>ROUND(N(data!B155),0)</f>
        <v>394</v>
      </c>
      <c r="AA2" s="198">
        <f>ROUND(N(data!B156),0)</f>
        <v>0</v>
      </c>
      <c r="AB2" s="198">
        <f>ROUND(N(data!B157),0)</f>
        <v>3239431</v>
      </c>
      <c r="AC2" s="198">
        <f>ROUND(N(data!B158),0)</f>
        <v>13505025</v>
      </c>
      <c r="AD2" s="198">
        <f>ROUND(N(data!C154),0)</f>
        <v>23</v>
      </c>
      <c r="AE2" s="198">
        <f>ROUND(N(data!C155),0)</f>
        <v>60</v>
      </c>
      <c r="AF2" s="198">
        <f>ROUND(N(data!C156),0)</f>
        <v>0</v>
      </c>
      <c r="AG2" s="198">
        <f>ROUND(N(data!C157),0)</f>
        <v>54727</v>
      </c>
      <c r="AH2" s="198">
        <f>ROUND(N(data!C158),0)</f>
        <v>7544855</v>
      </c>
      <c r="AI2" s="198">
        <f>ROUND(N(data!D154),0)</f>
        <v>26</v>
      </c>
      <c r="AJ2" s="198">
        <f>ROUND(N(data!D155),0)</f>
        <v>77</v>
      </c>
      <c r="AK2" s="198">
        <f>ROUND(N(data!D156),0)</f>
        <v>0</v>
      </c>
      <c r="AL2" s="198">
        <f>ROUND(N(data!D157),0)</f>
        <v>0</v>
      </c>
      <c r="AM2" s="198">
        <f>ROUND(N(data!D158),0)</f>
        <v>9729322</v>
      </c>
      <c r="AN2" s="198">
        <f>ROUND(N(data!B160),0)</f>
        <v>110</v>
      </c>
      <c r="AO2" s="198">
        <f>ROUND(N(data!B161),0)</f>
        <v>2094</v>
      </c>
      <c r="AP2" s="198">
        <f>ROUND(N(data!B162),0)</f>
        <v>0</v>
      </c>
      <c r="AQ2" s="198">
        <f>ROUND(N(data!B163),0)</f>
        <v>420266</v>
      </c>
      <c r="AR2" s="198">
        <f>ROUND(N(data!B164),0)</f>
        <v>0</v>
      </c>
      <c r="AS2" s="198">
        <f>ROUND(N(data!C160),0)</f>
        <v>36</v>
      </c>
      <c r="AT2" s="198">
        <f>ROUND(N(data!C161),0)</f>
        <v>1614</v>
      </c>
      <c r="AU2" s="198">
        <f>ROUND(N(data!C162),0)</f>
        <v>0</v>
      </c>
      <c r="AV2" s="198">
        <f>ROUND(N(data!C163),0)</f>
        <v>1898230</v>
      </c>
      <c r="AW2" s="198">
        <f>ROUND(N(data!C164),0)</f>
        <v>0</v>
      </c>
      <c r="AX2" s="198">
        <f>ROUND(N(data!D160),0)</f>
        <v>26</v>
      </c>
      <c r="AY2" s="198">
        <f>ROUND(N(data!D161),0)</f>
        <v>4965</v>
      </c>
      <c r="AZ2" s="198">
        <f>ROUND(N(data!D162),0)</f>
        <v>0</v>
      </c>
      <c r="BA2" s="198">
        <f>ROUND(N(data!D163),0)</f>
        <v>1293336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4863026</v>
      </c>
      <c r="BS2" s="198">
        <f>ROUND(N(data!C173),0)</f>
        <v>1505895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045</v>
      </c>
      <c r="B2" s="200" t="str">
        <f>RIGHT(data!C96,4)</f>
        <v>2024</v>
      </c>
      <c r="C2" s="12" t="s">
        <v>1163</v>
      </c>
      <c r="D2" s="198">
        <f>ROUND(N(data!C266),0)</f>
        <v>3277091</v>
      </c>
      <c r="E2" s="198">
        <f>ROUND(N(data!C267),0)</f>
        <v>0</v>
      </c>
      <c r="F2" s="198">
        <f>ROUND(N(data!C268),0)</f>
        <v>6609330</v>
      </c>
      <c r="G2" s="198">
        <f>ROUND(N(data!C269),0)</f>
        <v>2685000</v>
      </c>
      <c r="H2" s="198">
        <f>ROUND(N(data!C270),0)</f>
        <v>547757</v>
      </c>
      <c r="I2" s="198">
        <f>ROUND(N(data!C271),0)</f>
        <v>59000</v>
      </c>
      <c r="J2" s="198">
        <f>ROUND(N(data!C272),0)</f>
        <v>0</v>
      </c>
      <c r="K2" s="198">
        <f>ROUND(N(data!C273),0)</f>
        <v>246521</v>
      </c>
      <c r="L2" s="198">
        <f>ROUND(N(data!C274),0)</f>
        <v>444286</v>
      </c>
      <c r="M2" s="198">
        <f>ROUND(N(data!C275),0)</f>
        <v>0</v>
      </c>
      <c r="N2" s="198">
        <f>ROUND(N(data!C278),0)</f>
        <v>3568869</v>
      </c>
      <c r="O2" s="198">
        <f>ROUND(N(data!C279),0)</f>
        <v>0</v>
      </c>
      <c r="P2" s="198">
        <f>ROUND(N(data!C280),0)</f>
        <v>0</v>
      </c>
      <c r="Q2" s="198">
        <f>ROUND(N(data!C283),0)</f>
        <v>99457</v>
      </c>
      <c r="R2" s="198">
        <f>ROUND(N(data!C284),0)</f>
        <v>384512</v>
      </c>
      <c r="S2" s="198">
        <f>ROUND(N(data!C285),0)</f>
        <v>24748140</v>
      </c>
      <c r="T2" s="198">
        <f>ROUND(N(data!C286),0)</f>
        <v>9890241</v>
      </c>
      <c r="U2" s="198">
        <f>ROUND(N(data!C287),0)</f>
        <v>253117</v>
      </c>
      <c r="V2" s="198">
        <f>ROUND(N(data!C288),0)</f>
        <v>0</v>
      </c>
      <c r="W2" s="198">
        <f>ROUND(N(data!C289),0)</f>
        <v>0</v>
      </c>
      <c r="X2" s="198">
        <f>ROUND(N(data!C290),0)</f>
        <v>4302921</v>
      </c>
      <c r="Y2" s="198">
        <f>ROUND(N(data!C291),0)</f>
        <v>0</v>
      </c>
      <c r="Z2" s="198">
        <f>ROUND(N(data!C292),0)</f>
        <v>23159776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718478</v>
      </c>
      <c r="AK2" s="198">
        <f>ROUND(N(data!C316),0)</f>
        <v>903055</v>
      </c>
      <c r="AL2" s="198">
        <f>ROUND(N(data!C317),0)</f>
        <v>54905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764869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24190</v>
      </c>
      <c r="AZ2" s="198">
        <f>ROUND(N(data!C335),0)</f>
        <v>13031478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13854360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135.07</v>
      </c>
      <c r="BL2" s="198">
        <f>ROUND(N(data!C358),0)</f>
        <v>7700127</v>
      </c>
      <c r="BM2" s="198">
        <f>ROUND(N(data!C359),0)</f>
        <v>29985065</v>
      </c>
      <c r="BN2" s="198">
        <f>ROUND(N(data!C363),0)</f>
        <v>9590866</v>
      </c>
      <c r="BO2" s="198">
        <f>ROUND(N(data!C364),0)</f>
        <v>425166</v>
      </c>
      <c r="BP2" s="198">
        <f>ROUND(N(data!C365),0)</f>
        <v>0</v>
      </c>
      <c r="BQ2" s="198">
        <f>ROUND(N(data!D381),0)</f>
        <v>583835</v>
      </c>
      <c r="BR2" s="198">
        <f>ROUND(N(data!C370),0)</f>
        <v>49691</v>
      </c>
      <c r="BS2" s="198">
        <f>ROUND(N(data!C371),0)</f>
        <v>254759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84180</v>
      </c>
      <c r="CB2" s="198">
        <f>ROUND(N(data!C380),0)</f>
        <v>195205</v>
      </c>
      <c r="CC2" s="198">
        <f>ROUND(N(data!C382),0)</f>
        <v>0</v>
      </c>
      <c r="CD2" s="198">
        <f>ROUND(N(data!C389),0)</f>
        <v>12223543</v>
      </c>
      <c r="CE2" s="198">
        <f>ROUND(N(data!C390),0)</f>
        <v>2762765</v>
      </c>
      <c r="CF2" s="198">
        <f>ROUND(N(data!C391),0)</f>
        <v>4879114</v>
      </c>
      <c r="CG2" s="198">
        <f>ROUND(N(data!C392),0)</f>
        <v>1871743</v>
      </c>
      <c r="CH2" s="198">
        <f>ROUND(N(data!C393),0)</f>
        <v>210834</v>
      </c>
      <c r="CI2" s="198">
        <f>ROUND(N(data!C394),0)</f>
        <v>2230991</v>
      </c>
      <c r="CJ2" s="198">
        <f>ROUND(N(data!C395),0)</f>
        <v>1710204</v>
      </c>
      <c r="CK2" s="198">
        <f>ROUND(N(data!C396),0)</f>
        <v>21611</v>
      </c>
      <c r="CL2" s="198">
        <f>ROUND(N(data!C397),0)</f>
        <v>220837</v>
      </c>
      <c r="CM2" s="198">
        <f>ROUND(N(data!C398),0)</f>
        <v>316894</v>
      </c>
      <c r="CN2" s="198">
        <f>ROUND(N(data!C399),0)</f>
        <v>648555</v>
      </c>
      <c r="CO2" s="198">
        <f>ROUND(N(data!C362),0)</f>
        <v>1404304</v>
      </c>
      <c r="CP2" s="198">
        <f>ROUND(N(data!D415),0)</f>
        <v>803271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389770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413501</v>
      </c>
      <c r="DE2" s="52">
        <f>ROUND(N(data!C419),0)</f>
        <v>0</v>
      </c>
      <c r="DF2" s="198">
        <f>ROUND(N(data!D420),0)</f>
        <v>1790110</v>
      </c>
      <c r="DG2" s="198">
        <f>ROUND(N(data!C422),0)</f>
        <v>0</v>
      </c>
      <c r="DH2" s="198">
        <f>ROUND(N(data!C423),0)</f>
        <v>0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045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045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045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531</v>
      </c>
      <c r="F4" s="271">
        <f>ROUND(N(data!E60), 2)</f>
        <v>1.92</v>
      </c>
      <c r="G4" s="198">
        <f>ROUND(N(data!E61), 0)</f>
        <v>178138</v>
      </c>
      <c r="H4" s="198">
        <f>ROUND(N(data!E62), 0)</f>
        <v>40263</v>
      </c>
      <c r="I4" s="198">
        <f>ROUND(N(data!E63), 0)</f>
        <v>79416</v>
      </c>
      <c r="J4" s="198">
        <f>ROUND(N(data!E64), 0)</f>
        <v>10918</v>
      </c>
      <c r="K4" s="198">
        <f>ROUND(N(data!E65), 0)</f>
        <v>0</v>
      </c>
      <c r="L4" s="198">
        <f>ROUND(N(data!E66), 0)</f>
        <v>1317</v>
      </c>
      <c r="M4" s="198">
        <f>ROUND(N(data!E67), 0)</f>
        <v>31579</v>
      </c>
      <c r="N4" s="198">
        <f>ROUND(N(data!E68), 0)</f>
        <v>0</v>
      </c>
      <c r="O4" s="198">
        <f>ROUND(N(data!E69), 0)</f>
        <v>949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949</v>
      </c>
      <c r="AD4" s="198">
        <f>ROUND(N(data!E84), 0)</f>
        <v>0</v>
      </c>
      <c r="AE4" s="198">
        <f>ROUND(N(data!E89), 0)</f>
        <v>429594</v>
      </c>
      <c r="AF4" s="198">
        <f>ROUND(N(data!E87), 0)</f>
        <v>429594</v>
      </c>
      <c r="AG4" s="198">
        <f>ROUND(N(data!E90), 0)</f>
        <v>1435</v>
      </c>
      <c r="AH4" s="198">
        <f>ROUND(N(data!E91), 0)</f>
        <v>1626</v>
      </c>
      <c r="AI4" s="198">
        <f>ROUND(N(data!E92), 0)</f>
        <v>407</v>
      </c>
      <c r="AJ4" s="198">
        <f>ROUND(N(data!E93), 0)</f>
        <v>3160</v>
      </c>
      <c r="AK4" s="271">
        <f>ROUND(N(data!E94), 2)</f>
        <v>1.92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045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045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045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045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045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045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3936</v>
      </c>
      <c r="F10" s="271">
        <f>ROUND(N(data!K60), 2)</f>
        <v>10.89</v>
      </c>
      <c r="G10" s="198">
        <f>ROUND(N(data!K61), 0)</f>
        <v>859924</v>
      </c>
      <c r="H10" s="198">
        <f>ROUND(N(data!K62), 0)</f>
        <v>194360</v>
      </c>
      <c r="I10" s="198">
        <f>ROUND(N(data!K63), 0)</f>
        <v>12298</v>
      </c>
      <c r="J10" s="198">
        <f>ROUND(N(data!K64), 0)</f>
        <v>24321</v>
      </c>
      <c r="K10" s="198">
        <f>ROUND(N(data!K65), 0)</f>
        <v>0</v>
      </c>
      <c r="L10" s="198">
        <f>ROUND(N(data!K66), 0)</f>
        <v>128</v>
      </c>
      <c r="M10" s="198">
        <f>ROUND(N(data!K67), 0)</f>
        <v>102484</v>
      </c>
      <c r="N10" s="198">
        <f>ROUND(N(data!K68), 0)</f>
        <v>0</v>
      </c>
      <c r="O10" s="198">
        <f>ROUND(N(data!K69), 0)</f>
        <v>7449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7449</v>
      </c>
      <c r="AD10" s="198">
        <f>ROUND(N(data!K84), 0)</f>
        <v>0</v>
      </c>
      <c r="AE10" s="198">
        <f>ROUND(N(data!K89), 0)</f>
        <v>1871160</v>
      </c>
      <c r="AF10" s="198">
        <f>ROUND(N(data!K87), 0)</f>
        <v>1871160</v>
      </c>
      <c r="AG10" s="198">
        <f>ROUND(N(data!K90), 0)</f>
        <v>4657</v>
      </c>
      <c r="AH10" s="198">
        <f>ROUND(N(data!K91), 0)</f>
        <v>11620</v>
      </c>
      <c r="AI10" s="198">
        <f>ROUND(N(data!K92), 0)</f>
        <v>1291</v>
      </c>
      <c r="AJ10" s="198">
        <f>ROUND(N(data!K93), 0)</f>
        <v>8809</v>
      </c>
      <c r="AK10" s="271">
        <f>ROUND(N(data!K94), 2)</f>
        <v>10.89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045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4737</v>
      </c>
      <c r="F11" s="271">
        <f>ROUND(N(data!L60), 2)</f>
        <v>16.3</v>
      </c>
      <c r="G11" s="198">
        <f>ROUND(N(data!L61), 0)</f>
        <v>1515686</v>
      </c>
      <c r="H11" s="198">
        <f>ROUND(N(data!L62), 0)</f>
        <v>342575</v>
      </c>
      <c r="I11" s="198">
        <f>ROUND(N(data!L63), 0)</f>
        <v>675713</v>
      </c>
      <c r="J11" s="198">
        <f>ROUND(N(data!L64), 0)</f>
        <v>92902</v>
      </c>
      <c r="K11" s="198">
        <f>ROUND(N(data!L65), 0)</f>
        <v>0</v>
      </c>
      <c r="L11" s="198">
        <f>ROUND(N(data!L66), 0)</f>
        <v>11202</v>
      </c>
      <c r="M11" s="198">
        <f>ROUND(N(data!L67), 0)</f>
        <v>268742</v>
      </c>
      <c r="N11" s="198">
        <f>ROUND(N(data!L68), 0)</f>
        <v>0</v>
      </c>
      <c r="O11" s="198">
        <f>ROUND(N(data!L69), 0)</f>
        <v>8076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8076</v>
      </c>
      <c r="AD11" s="198">
        <f>ROUND(N(data!L84), 0)</f>
        <v>0</v>
      </c>
      <c r="AE11" s="198">
        <f>ROUND(N(data!L89), 0)</f>
        <v>1740672</v>
      </c>
      <c r="AF11" s="198">
        <f>ROUND(N(data!L87), 0)</f>
        <v>1740672</v>
      </c>
      <c r="AG11" s="198">
        <f>ROUND(N(data!L90), 0)</f>
        <v>12212</v>
      </c>
      <c r="AH11" s="198">
        <f>ROUND(N(data!L91), 0)</f>
        <v>13837</v>
      </c>
      <c r="AI11" s="198">
        <f>ROUND(N(data!L92), 0)</f>
        <v>3464</v>
      </c>
      <c r="AJ11" s="198">
        <f>ROUND(N(data!L93), 0)</f>
        <v>26883</v>
      </c>
      <c r="AK11" s="271">
        <f>ROUND(N(data!L94), 2)</f>
        <v>16.3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045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045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9228</v>
      </c>
      <c r="F13" s="271">
        <f>ROUND(N(data!N60), 2)</f>
        <v>8.6999999999999993</v>
      </c>
      <c r="G13" s="198">
        <f>ROUND(N(data!N61), 0)</f>
        <v>666128</v>
      </c>
      <c r="H13" s="198">
        <f>ROUND(N(data!N62), 0)</f>
        <v>150558</v>
      </c>
      <c r="I13" s="198">
        <f>ROUND(N(data!N63), 0)</f>
        <v>702</v>
      </c>
      <c r="J13" s="198">
        <f>ROUND(N(data!N64), 0)</f>
        <v>15541</v>
      </c>
      <c r="K13" s="198">
        <f>ROUND(N(data!N65), 0)</f>
        <v>0</v>
      </c>
      <c r="L13" s="198">
        <f>ROUND(N(data!N66), 0)</f>
        <v>869</v>
      </c>
      <c r="M13" s="198">
        <f>ROUND(N(data!N67), 0)</f>
        <v>270480</v>
      </c>
      <c r="N13" s="198">
        <f>ROUND(N(data!N68), 0)</f>
        <v>0</v>
      </c>
      <c r="O13" s="198">
        <f>ROUND(N(data!N69), 0)</f>
        <v>4765</v>
      </c>
      <c r="P13" s="198">
        <f>ROUND(N(data!N70), 0)</f>
        <v>0</v>
      </c>
      <c r="Q13" s="198">
        <f>ROUND(N(data!N71), 0)</f>
        <v>0</v>
      </c>
      <c r="R13" s="198">
        <f>ROUND(N(data!N72), 0)</f>
        <v>3712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1053</v>
      </c>
      <c r="AD13" s="198">
        <f>ROUND(N(data!N84), 0)</f>
        <v>0</v>
      </c>
      <c r="AE13" s="198">
        <f>ROUND(N(data!N89), 0)</f>
        <v>1098480</v>
      </c>
      <c r="AF13" s="198">
        <f>ROUND(N(data!N87), 0)</f>
        <v>1098480</v>
      </c>
      <c r="AG13" s="198">
        <f>ROUND(N(data!N90), 0)</f>
        <v>12291</v>
      </c>
      <c r="AH13" s="198">
        <f>ROUND(N(data!N91), 0)</f>
        <v>24569</v>
      </c>
      <c r="AI13" s="198">
        <f>ROUND(N(data!N92), 0)</f>
        <v>3486</v>
      </c>
      <c r="AJ13" s="198">
        <f>ROUND(N(data!N93), 0)</f>
        <v>6421</v>
      </c>
      <c r="AK13" s="271">
        <f>ROUND(N(data!N94), 2)</f>
        <v>8.69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045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045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0</v>
      </c>
      <c r="G15" s="198">
        <f>ROUND(N(data!P61), 0)</f>
        <v>0</v>
      </c>
      <c r="H15" s="198">
        <f>ROUND(N(data!P62), 0)</f>
        <v>0</v>
      </c>
      <c r="I15" s="198">
        <f>ROUND(N(data!P63), 0)</f>
        <v>0</v>
      </c>
      <c r="J15" s="198">
        <f>ROUND(N(data!P64), 0)</f>
        <v>0</v>
      </c>
      <c r="K15" s="198">
        <f>ROUND(N(data!P65), 0)</f>
        <v>0</v>
      </c>
      <c r="L15" s="198">
        <f>ROUND(N(data!P66), 0)</f>
        <v>0</v>
      </c>
      <c r="M15" s="198">
        <f>ROUND(N(data!P67), 0)</f>
        <v>0</v>
      </c>
      <c r="N15" s="198">
        <f>ROUND(N(data!P68), 0)</f>
        <v>0</v>
      </c>
      <c r="O15" s="198">
        <f>ROUND(N(data!P69), 0)</f>
        <v>0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0</v>
      </c>
      <c r="AD15" s="198">
        <f>ROUND(N(data!P84), 0)</f>
        <v>0</v>
      </c>
      <c r="AE15" s="198">
        <f>ROUND(N(data!P89), 0)</f>
        <v>0</v>
      </c>
      <c r="AF15" s="198">
        <f>ROUND(N(data!P87), 0)</f>
        <v>0</v>
      </c>
      <c r="AG15" s="198">
        <f>ROUND(N(data!P90), 0)</f>
        <v>0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045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045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045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1012</v>
      </c>
      <c r="K18" s="198">
        <f>ROUND(N(data!S65), 0)</f>
        <v>0</v>
      </c>
      <c r="L18" s="198">
        <f>ROUND(N(data!S66), 0)</f>
        <v>0</v>
      </c>
      <c r="M18" s="198">
        <f>ROUND(N(data!S67), 0)</f>
        <v>70178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96</v>
      </c>
      <c r="AE18" s="198">
        <f>ROUND(N(data!S89), 0)</f>
        <v>165464</v>
      </c>
      <c r="AF18" s="198">
        <f>ROUND(N(data!S87), 0)</f>
        <v>35859</v>
      </c>
      <c r="AG18" s="198">
        <f>ROUND(N(data!S90), 0)</f>
        <v>3189</v>
      </c>
      <c r="AH18" s="198">
        <f>ROUND(N(data!S91), 0)</f>
        <v>0</v>
      </c>
      <c r="AI18" s="198">
        <f>ROUND(N(data!S92), 0)</f>
        <v>905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045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045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123885</v>
      </c>
      <c r="F20" s="271">
        <f>ROUND(N(data!U60), 2)</f>
        <v>6.94</v>
      </c>
      <c r="G20" s="198">
        <f>ROUND(N(data!U61), 0)</f>
        <v>684041</v>
      </c>
      <c r="H20" s="198">
        <f>ROUND(N(data!U62), 0)</f>
        <v>154607</v>
      </c>
      <c r="I20" s="198">
        <f>ROUND(N(data!U63), 0)</f>
        <v>218257</v>
      </c>
      <c r="J20" s="198">
        <f>ROUND(N(data!U64), 0)</f>
        <v>665273</v>
      </c>
      <c r="K20" s="198">
        <f>ROUND(N(data!U65), 0)</f>
        <v>0</v>
      </c>
      <c r="L20" s="198">
        <f>ROUND(N(data!U66), 0)</f>
        <v>76810</v>
      </c>
      <c r="M20" s="198">
        <f>ROUND(N(data!U67), 0)</f>
        <v>26034</v>
      </c>
      <c r="N20" s="198">
        <f>ROUND(N(data!U68), 0)</f>
        <v>0</v>
      </c>
      <c r="O20" s="198">
        <f>ROUND(N(data!U69), 0)</f>
        <v>39516</v>
      </c>
      <c r="P20" s="198">
        <f>ROUND(N(data!U70), 0)</f>
        <v>0</v>
      </c>
      <c r="Q20" s="198">
        <f>ROUND(N(data!U71), 0)</f>
        <v>0</v>
      </c>
      <c r="R20" s="198">
        <f>ROUND(N(data!U72), 0)</f>
        <v>4045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217</v>
      </c>
      <c r="AB20" s="198">
        <f>ROUND(N(data!U82), 0)</f>
        <v>0</v>
      </c>
      <c r="AC20" s="198">
        <f>ROUND(N(data!U83), 0)</f>
        <v>35254</v>
      </c>
      <c r="AD20" s="198">
        <f>ROUND(N(data!U84), 0)</f>
        <v>26</v>
      </c>
      <c r="AE20" s="198">
        <f>ROUND(N(data!U89), 0)</f>
        <v>5086014</v>
      </c>
      <c r="AF20" s="198">
        <f>ROUND(N(data!U87), 0)</f>
        <v>558169</v>
      </c>
      <c r="AG20" s="198">
        <f>ROUND(N(data!U90), 0)</f>
        <v>1183</v>
      </c>
      <c r="AH20" s="198">
        <f>ROUND(N(data!U91), 0)</f>
        <v>0</v>
      </c>
      <c r="AI20" s="198">
        <f>ROUND(N(data!U92), 0)</f>
        <v>336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045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0.1</v>
      </c>
      <c r="G21" s="198">
        <f>ROUND(N(data!V61), 0)</f>
        <v>10655</v>
      </c>
      <c r="H21" s="198">
        <f>ROUND(N(data!V62), 0)</f>
        <v>2408</v>
      </c>
      <c r="I21" s="198">
        <f>ROUND(N(data!V63), 0)</f>
        <v>7687</v>
      </c>
      <c r="J21" s="198">
        <f>ROUND(N(data!V64), 0)</f>
        <v>479</v>
      </c>
      <c r="K21" s="198">
        <f>ROUND(N(data!V65), 0)</f>
        <v>0</v>
      </c>
      <c r="L21" s="198">
        <f>ROUND(N(data!V66), 0)</f>
        <v>0</v>
      </c>
      <c r="M21" s="198">
        <f>ROUND(N(data!V67), 0)</f>
        <v>572</v>
      </c>
      <c r="N21" s="198">
        <f>ROUND(N(data!V68), 0)</f>
        <v>0</v>
      </c>
      <c r="O21" s="198">
        <f>ROUND(N(data!V69), 0)</f>
        <v>20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20</v>
      </c>
      <c r="AD21" s="198">
        <f>ROUND(N(data!V84), 0)</f>
        <v>0</v>
      </c>
      <c r="AE21" s="198">
        <f>ROUND(N(data!V89), 0)</f>
        <v>119629</v>
      </c>
      <c r="AF21" s="198">
        <f>ROUND(N(data!V87), 0)</f>
        <v>4504</v>
      </c>
      <c r="AG21" s="198">
        <f>ROUND(N(data!V90), 0)</f>
        <v>26</v>
      </c>
      <c r="AH21" s="198">
        <f>ROUND(N(data!V91), 0)</f>
        <v>0</v>
      </c>
      <c r="AI21" s="198">
        <f>ROUND(N(data!V92), 0)</f>
        <v>7</v>
      </c>
      <c r="AJ21" s="198">
        <f>ROUND(N(data!V93), 0)</f>
        <v>75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045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406</v>
      </c>
      <c r="F22" s="271">
        <f>ROUND(N(data!W60), 2)</f>
        <v>0.97</v>
      </c>
      <c r="G22" s="198">
        <f>ROUND(N(data!W61), 0)</f>
        <v>110307</v>
      </c>
      <c r="H22" s="198">
        <f>ROUND(N(data!W62), 0)</f>
        <v>24932</v>
      </c>
      <c r="I22" s="198">
        <f>ROUND(N(data!W63), 0)</f>
        <v>79584</v>
      </c>
      <c r="J22" s="198">
        <f>ROUND(N(data!W64), 0)</f>
        <v>4954</v>
      </c>
      <c r="K22" s="198">
        <f>ROUND(N(data!W65), 0)</f>
        <v>0</v>
      </c>
      <c r="L22" s="198">
        <f>ROUND(N(data!W66), 0)</f>
        <v>233090</v>
      </c>
      <c r="M22" s="198">
        <f>ROUND(N(data!W67), 0)</f>
        <v>5942</v>
      </c>
      <c r="N22" s="198">
        <f>ROUND(N(data!W68), 0)</f>
        <v>0</v>
      </c>
      <c r="O22" s="198">
        <f>ROUND(N(data!W69), 0)</f>
        <v>203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203</v>
      </c>
      <c r="AD22" s="198">
        <f>ROUND(N(data!W84), 0)</f>
        <v>0</v>
      </c>
      <c r="AE22" s="198">
        <f>ROUND(N(data!W89), 0)</f>
        <v>1238514</v>
      </c>
      <c r="AF22" s="198">
        <f>ROUND(N(data!W87), 0)</f>
        <v>31704</v>
      </c>
      <c r="AG22" s="198">
        <f>ROUND(N(data!W90), 0)</f>
        <v>270</v>
      </c>
      <c r="AH22" s="198">
        <f>ROUND(N(data!W91), 0)</f>
        <v>0</v>
      </c>
      <c r="AI22" s="198">
        <f>ROUND(N(data!W92), 0)</f>
        <v>76</v>
      </c>
      <c r="AJ22" s="198">
        <f>ROUND(N(data!W93), 0)</f>
        <v>780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045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2119</v>
      </c>
      <c r="F23" s="271">
        <f>ROUND(N(data!X60), 2)</f>
        <v>3.06</v>
      </c>
      <c r="G23" s="198">
        <f>ROUND(N(data!X61), 0)</f>
        <v>347084</v>
      </c>
      <c r="H23" s="198">
        <f>ROUND(N(data!X62), 0)</f>
        <v>78448</v>
      </c>
      <c r="I23" s="198">
        <f>ROUND(N(data!X63), 0)</f>
        <v>250415</v>
      </c>
      <c r="J23" s="198">
        <f>ROUND(N(data!X64), 0)</f>
        <v>15589</v>
      </c>
      <c r="K23" s="198">
        <f>ROUND(N(data!X65), 0)</f>
        <v>0</v>
      </c>
      <c r="L23" s="198">
        <f>ROUND(N(data!X66), 0)</f>
        <v>77236</v>
      </c>
      <c r="M23" s="198">
        <f>ROUND(N(data!X67), 0)</f>
        <v>18661</v>
      </c>
      <c r="N23" s="198">
        <f>ROUND(N(data!X68), 0)</f>
        <v>0</v>
      </c>
      <c r="O23" s="198">
        <f>ROUND(N(data!X69), 0)</f>
        <v>638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638</v>
      </c>
      <c r="AD23" s="198">
        <f>ROUND(N(data!X84), 0)</f>
        <v>0</v>
      </c>
      <c r="AE23" s="198">
        <f>ROUND(N(data!X89), 0)</f>
        <v>3897024</v>
      </c>
      <c r="AF23" s="198">
        <f>ROUND(N(data!X87), 0)</f>
        <v>202836</v>
      </c>
      <c r="AG23" s="198">
        <f>ROUND(N(data!X90), 0)</f>
        <v>848</v>
      </c>
      <c r="AH23" s="198">
        <f>ROUND(N(data!X91), 0)</f>
        <v>0</v>
      </c>
      <c r="AI23" s="198">
        <f>ROUND(N(data!X92), 0)</f>
        <v>241</v>
      </c>
      <c r="AJ23" s="198">
        <f>ROUND(N(data!X93), 0)</f>
        <v>2453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045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3874</v>
      </c>
      <c r="F24" s="271">
        <f>ROUND(N(data!Y60), 2)</f>
        <v>2.73</v>
      </c>
      <c r="G24" s="198">
        <f>ROUND(N(data!Y61), 0)</f>
        <v>309601</v>
      </c>
      <c r="H24" s="198">
        <f>ROUND(N(data!Y62), 0)</f>
        <v>69976</v>
      </c>
      <c r="I24" s="198">
        <f>ROUND(N(data!Y63), 0)</f>
        <v>223373</v>
      </c>
      <c r="J24" s="198">
        <f>ROUND(N(data!Y64), 0)</f>
        <v>13905</v>
      </c>
      <c r="K24" s="198">
        <f>ROUND(N(data!Y65), 0)</f>
        <v>0</v>
      </c>
      <c r="L24" s="198">
        <f>ROUND(N(data!Y66), 0)</f>
        <v>270555</v>
      </c>
      <c r="M24" s="198">
        <f>ROUND(N(data!Y67), 0)</f>
        <v>16637</v>
      </c>
      <c r="N24" s="198">
        <f>ROUND(N(data!Y68), 0)</f>
        <v>0</v>
      </c>
      <c r="O24" s="198">
        <f>ROUND(N(data!Y69), 0)</f>
        <v>63159</v>
      </c>
      <c r="P24" s="198">
        <f>ROUND(N(data!Y70), 0)</f>
        <v>0</v>
      </c>
      <c r="Q24" s="198">
        <f>ROUND(N(data!Y71), 0)</f>
        <v>0</v>
      </c>
      <c r="R24" s="198">
        <f>ROUND(N(data!Y72), 0)</f>
        <v>62590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569</v>
      </c>
      <c r="AD24" s="198">
        <f>ROUND(N(data!Y84), 0)</f>
        <v>0</v>
      </c>
      <c r="AE24" s="198">
        <f>ROUND(N(data!Y89), 0)</f>
        <v>3476186</v>
      </c>
      <c r="AF24" s="198">
        <f>ROUND(N(data!Y87), 0)</f>
        <v>172595</v>
      </c>
      <c r="AG24" s="198">
        <f>ROUND(N(data!Y90), 0)</f>
        <v>756</v>
      </c>
      <c r="AH24" s="198">
        <f>ROUND(N(data!Y91), 0)</f>
        <v>0</v>
      </c>
      <c r="AI24" s="198">
        <f>ROUND(N(data!Y92), 0)</f>
        <v>215</v>
      </c>
      <c r="AJ24" s="198">
        <f>ROUND(N(data!Y93), 0)</f>
        <v>2188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045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045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045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0.49</v>
      </c>
      <c r="G27" s="198">
        <f>ROUND(N(data!AB61), 0)</f>
        <v>34177</v>
      </c>
      <c r="H27" s="198">
        <f>ROUND(N(data!AB62), 0)</f>
        <v>7725</v>
      </c>
      <c r="I27" s="198">
        <f>ROUND(N(data!AB63), 0)</f>
        <v>58309</v>
      </c>
      <c r="J27" s="198">
        <f>ROUND(N(data!AB64), 0)</f>
        <v>288147</v>
      </c>
      <c r="K27" s="198">
        <f>ROUND(N(data!AB65), 0)</f>
        <v>0</v>
      </c>
      <c r="L27" s="198">
        <f>ROUND(N(data!AB66), 0)</f>
        <v>196428</v>
      </c>
      <c r="M27" s="198">
        <f>ROUND(N(data!AB67), 0)</f>
        <v>8164</v>
      </c>
      <c r="N27" s="198">
        <f>ROUND(N(data!AB68), 0)</f>
        <v>0</v>
      </c>
      <c r="O27" s="198">
        <f>ROUND(N(data!AB69), 0)</f>
        <v>1484</v>
      </c>
      <c r="P27" s="198">
        <f>ROUND(N(data!AB70), 0)</f>
        <v>0</v>
      </c>
      <c r="Q27" s="198">
        <f>ROUND(N(data!AB71), 0)</f>
        <v>0</v>
      </c>
      <c r="R27" s="198">
        <f>ROUND(N(data!AB72), 0)</f>
        <v>1335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149</v>
      </c>
      <c r="AD27" s="198">
        <f>ROUND(N(data!AB84), 0)</f>
        <v>129</v>
      </c>
      <c r="AE27" s="198">
        <f>ROUND(N(data!AB89), 0)</f>
        <v>1301175</v>
      </c>
      <c r="AF27" s="198">
        <f>ROUND(N(data!AB87), 0)</f>
        <v>696044</v>
      </c>
      <c r="AG27" s="198">
        <f>ROUND(N(data!AB90), 0)</f>
        <v>371</v>
      </c>
      <c r="AH27" s="198">
        <f>ROUND(N(data!AB91), 0)</f>
        <v>0</v>
      </c>
      <c r="AI27" s="198">
        <f>ROUND(N(data!AB92), 0)</f>
        <v>105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045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0</v>
      </c>
      <c r="K28" s="198">
        <f>ROUND(N(data!AC65), 0)</f>
        <v>0</v>
      </c>
      <c r="L28" s="198">
        <f>ROUND(N(data!AC66), 0)</f>
        <v>0</v>
      </c>
      <c r="M28" s="198">
        <f>ROUND(N(data!AC67), 0)</f>
        <v>0</v>
      </c>
      <c r="N28" s="198">
        <f>ROUND(N(data!AC68), 0)</f>
        <v>0</v>
      </c>
      <c r="O28" s="198">
        <f>ROUND(N(data!AC69), 0)</f>
        <v>0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0</v>
      </c>
      <c r="AF28" s="198">
        <f>ROUND(N(data!AC87), 0)</f>
        <v>0</v>
      </c>
      <c r="AG28" s="198">
        <f>ROUND(N(data!AC90), 0)</f>
        <v>0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045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045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24321</v>
      </c>
      <c r="F30" s="271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1015358</v>
      </c>
      <c r="J30" s="198">
        <f>ROUND(N(data!AE64), 0)</f>
        <v>8086</v>
      </c>
      <c r="K30" s="198">
        <f>ROUND(N(data!AE65), 0)</f>
        <v>0</v>
      </c>
      <c r="L30" s="198">
        <f>ROUND(N(data!AE66), 0)</f>
        <v>2024</v>
      </c>
      <c r="M30" s="198">
        <f>ROUND(N(data!AE67), 0)</f>
        <v>63356</v>
      </c>
      <c r="N30" s="198">
        <f>ROUND(N(data!AE68), 0)</f>
        <v>0</v>
      </c>
      <c r="O30" s="198">
        <f>ROUND(N(data!AE69), 0)</f>
        <v>217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217</v>
      </c>
      <c r="AD30" s="198">
        <f>ROUND(N(data!AE84), 0)</f>
        <v>0</v>
      </c>
      <c r="AE30" s="198">
        <f>ROUND(N(data!AE89), 0)</f>
        <v>2047747</v>
      </c>
      <c r="AF30" s="198">
        <f>ROUND(N(data!AE87), 0)</f>
        <v>414858</v>
      </c>
      <c r="AG30" s="198">
        <f>ROUND(N(data!AE90), 0)</f>
        <v>2879</v>
      </c>
      <c r="AH30" s="198">
        <f>ROUND(N(data!AE91), 0)</f>
        <v>0</v>
      </c>
      <c r="AI30" s="198">
        <f>ROUND(N(data!AE92), 0)</f>
        <v>817</v>
      </c>
      <c r="AJ30" s="198">
        <f>ROUND(N(data!AE93), 0)</f>
        <v>3114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045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045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4882</v>
      </c>
      <c r="F32" s="271">
        <f>ROUND(N(data!AG60), 2)</f>
        <v>8.9600000000000009</v>
      </c>
      <c r="G32" s="198">
        <f>ROUND(N(data!AG61), 0)</f>
        <v>923708</v>
      </c>
      <c r="H32" s="198">
        <f>ROUND(N(data!AG62), 0)</f>
        <v>208776</v>
      </c>
      <c r="I32" s="198">
        <f>ROUND(N(data!AG63), 0)</f>
        <v>1506114</v>
      </c>
      <c r="J32" s="198">
        <f>ROUND(N(data!AG64), 0)</f>
        <v>95804</v>
      </c>
      <c r="K32" s="198">
        <f>ROUND(N(data!AG65), 0)</f>
        <v>0</v>
      </c>
      <c r="L32" s="198">
        <f>ROUND(N(data!AG66), 0)</f>
        <v>15192</v>
      </c>
      <c r="M32" s="198">
        <f>ROUND(N(data!AG67), 0)</f>
        <v>63907</v>
      </c>
      <c r="N32" s="198">
        <f>ROUND(N(data!AG68), 0)</f>
        <v>0</v>
      </c>
      <c r="O32" s="198">
        <f>ROUND(N(data!AG69), 0)</f>
        <v>5207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5207</v>
      </c>
      <c r="AD32" s="198">
        <f>ROUND(N(data!AG84), 0)</f>
        <v>0</v>
      </c>
      <c r="AE32" s="198">
        <f>ROUND(N(data!AG89), 0)</f>
        <v>10199881</v>
      </c>
      <c r="AF32" s="198">
        <f>ROUND(N(data!AG87), 0)</f>
        <v>212970</v>
      </c>
      <c r="AG32" s="198">
        <f>ROUND(N(data!AG90), 0)</f>
        <v>2904</v>
      </c>
      <c r="AH32" s="198">
        <f>ROUND(N(data!AG91), 0)</f>
        <v>48</v>
      </c>
      <c r="AI32" s="198">
        <f>ROUND(N(data!AG92), 0)</f>
        <v>824</v>
      </c>
      <c r="AJ32" s="198">
        <f>ROUND(N(data!AG93), 0)</f>
        <v>15211</v>
      </c>
      <c r="AK32" s="271">
        <f>ROUND(N(data!AG94), 2)</f>
        <v>4.9000000000000004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045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045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045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11638</v>
      </c>
      <c r="F35" s="271">
        <f>ROUND(N(data!AJ60), 2)</f>
        <v>15.88</v>
      </c>
      <c r="G35" s="198">
        <f>ROUND(N(data!AJ61), 0)</f>
        <v>1984926</v>
      </c>
      <c r="H35" s="198">
        <f>ROUND(N(data!AJ62), 0)</f>
        <v>448633</v>
      </c>
      <c r="I35" s="198">
        <f>ROUND(N(data!AJ63), 0)</f>
        <v>93934</v>
      </c>
      <c r="J35" s="198">
        <f>ROUND(N(data!AJ64), 0)</f>
        <v>193616</v>
      </c>
      <c r="K35" s="198">
        <f>ROUND(N(data!AJ65), 0)</f>
        <v>0</v>
      </c>
      <c r="L35" s="198">
        <f>ROUND(N(data!AJ66), 0)</f>
        <v>13867</v>
      </c>
      <c r="M35" s="198">
        <f>ROUND(N(data!AJ67), 0)</f>
        <v>121981</v>
      </c>
      <c r="N35" s="198">
        <f>ROUND(N(data!AJ68), 0)</f>
        <v>0</v>
      </c>
      <c r="O35" s="198">
        <f>ROUND(N(data!AJ69), 0)</f>
        <v>60292</v>
      </c>
      <c r="P35" s="198">
        <f>ROUND(N(data!AJ70), 0)</f>
        <v>0</v>
      </c>
      <c r="Q35" s="198">
        <f>ROUND(N(data!AJ71), 0)</f>
        <v>0</v>
      </c>
      <c r="R35" s="198">
        <f>ROUND(N(data!AJ72), 0)</f>
        <v>888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59404</v>
      </c>
      <c r="AD35" s="198">
        <f>ROUND(N(data!AJ84), 0)</f>
        <v>0</v>
      </c>
      <c r="AE35" s="198">
        <f>ROUND(N(data!AJ89), 0)</f>
        <v>4265253</v>
      </c>
      <c r="AF35" s="198">
        <f>ROUND(N(data!AJ87), 0)</f>
        <v>2437</v>
      </c>
      <c r="AG35" s="198">
        <f>ROUND(N(data!AJ90), 0)</f>
        <v>5543</v>
      </c>
      <c r="AH35" s="198">
        <f>ROUND(N(data!AJ91), 0)</f>
        <v>0</v>
      </c>
      <c r="AI35" s="198">
        <f>ROUND(N(data!AJ92), 0)</f>
        <v>1572</v>
      </c>
      <c r="AJ35" s="198">
        <f>ROUND(N(data!AJ93), 0)</f>
        <v>774</v>
      </c>
      <c r="AK35" s="271">
        <f>ROUND(N(data!AJ94), 2)</f>
        <v>2.81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045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3707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141614</v>
      </c>
      <c r="J36" s="198">
        <f>ROUND(N(data!AK64), 0)</f>
        <v>869</v>
      </c>
      <c r="K36" s="198">
        <f>ROUND(N(data!AK65), 0)</f>
        <v>0</v>
      </c>
      <c r="L36" s="198">
        <f>ROUND(N(data!AK66), 0)</f>
        <v>0</v>
      </c>
      <c r="M36" s="198">
        <f>ROUND(N(data!AK67), 0)</f>
        <v>14524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321841</v>
      </c>
      <c r="AF36" s="198">
        <f>ROUND(N(data!AK87), 0)</f>
        <v>170152</v>
      </c>
      <c r="AG36" s="198">
        <f>ROUND(N(data!AK90), 0)</f>
        <v>660</v>
      </c>
      <c r="AH36" s="198">
        <f>ROUND(N(data!AK91), 0)</f>
        <v>0</v>
      </c>
      <c r="AI36" s="198">
        <f>ROUND(N(data!AK92), 0)</f>
        <v>187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045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1083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52907</v>
      </c>
      <c r="J37" s="198">
        <f>ROUND(N(data!AL64), 0)</f>
        <v>1677</v>
      </c>
      <c r="K37" s="198">
        <f>ROUND(N(data!AL65), 0)</f>
        <v>0</v>
      </c>
      <c r="L37" s="198">
        <f>ROUND(N(data!AL66), 0)</f>
        <v>0</v>
      </c>
      <c r="M37" s="198">
        <f>ROUND(N(data!AL67), 0)</f>
        <v>1981</v>
      </c>
      <c r="N37" s="198">
        <f>ROUND(N(data!AL68), 0)</f>
        <v>0</v>
      </c>
      <c r="O37" s="198">
        <f>ROUND(N(data!AL69), 0)</f>
        <v>96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96</v>
      </c>
      <c r="AD37" s="198">
        <f>ROUND(N(data!AL84), 0)</f>
        <v>0</v>
      </c>
      <c r="AE37" s="198">
        <f>ROUND(N(data!AL89), 0)</f>
        <v>159904</v>
      </c>
      <c r="AF37" s="198">
        <f>ROUND(N(data!AL87), 0)</f>
        <v>51855</v>
      </c>
      <c r="AG37" s="198">
        <f>ROUND(N(data!AL90), 0)</f>
        <v>90</v>
      </c>
      <c r="AH37" s="198">
        <f>ROUND(N(data!AL91), 0)</f>
        <v>0</v>
      </c>
      <c r="AI37" s="198">
        <f>ROUND(N(data!AL92), 0)</f>
        <v>26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045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045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045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2808</v>
      </c>
      <c r="F40" s="271">
        <f>ROUND(N(data!AO60), 2)</f>
        <v>0.42</v>
      </c>
      <c r="G40" s="198">
        <f>ROUND(N(data!AO61), 0)</f>
        <v>39251</v>
      </c>
      <c r="H40" s="198">
        <f>ROUND(N(data!AO62), 0)</f>
        <v>8872</v>
      </c>
      <c r="I40" s="198">
        <f>ROUND(N(data!AO63), 0)</f>
        <v>17499</v>
      </c>
      <c r="J40" s="198">
        <f>ROUND(N(data!AO64), 0)</f>
        <v>2407</v>
      </c>
      <c r="K40" s="198">
        <f>ROUND(N(data!AO65), 0)</f>
        <v>0</v>
      </c>
      <c r="L40" s="198">
        <f>ROUND(N(data!AO66), 0)</f>
        <v>290</v>
      </c>
      <c r="M40" s="198">
        <f>ROUND(N(data!AO67), 0)</f>
        <v>6954</v>
      </c>
      <c r="N40" s="198">
        <f>ROUND(N(data!AO68), 0)</f>
        <v>0</v>
      </c>
      <c r="O40" s="198">
        <f>ROUND(N(data!AO69), 0)</f>
        <v>209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209</v>
      </c>
      <c r="AD40" s="198">
        <f>ROUND(N(data!AO84), 0)</f>
        <v>0</v>
      </c>
      <c r="AE40" s="198">
        <f>ROUND(N(data!AO89), 0)</f>
        <v>266656</v>
      </c>
      <c r="AF40" s="198">
        <f>ROUND(N(data!AO87), 0)</f>
        <v>6240</v>
      </c>
      <c r="AG40" s="198">
        <f>ROUND(N(data!AO90), 0)</f>
        <v>316</v>
      </c>
      <c r="AH40" s="198">
        <f>ROUND(N(data!AO91), 0)</f>
        <v>359</v>
      </c>
      <c r="AI40" s="198">
        <f>ROUND(N(data!AO92), 0)</f>
        <v>90</v>
      </c>
      <c r="AJ40" s="198">
        <f>ROUND(N(data!AO93), 0)</f>
        <v>696</v>
      </c>
      <c r="AK40" s="271">
        <f>ROUND(N(data!AO94), 2)</f>
        <v>0.42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045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045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045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045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045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045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045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045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045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045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64072</v>
      </c>
      <c r="F50" s="271">
        <f>ROUND(N(data!AY60), 2)</f>
        <v>10.3</v>
      </c>
      <c r="G50" s="198">
        <f>ROUND(N(data!AY61), 0)</f>
        <v>553559</v>
      </c>
      <c r="H50" s="198">
        <f>ROUND(N(data!AY62), 0)</f>
        <v>125115</v>
      </c>
      <c r="I50" s="198">
        <f>ROUND(N(data!AY63), 0)</f>
        <v>58647</v>
      </c>
      <c r="J50" s="198">
        <f>ROUND(N(data!AY64), 0)</f>
        <v>311712</v>
      </c>
      <c r="K50" s="198">
        <f>ROUND(N(data!AY65), 0)</f>
        <v>0</v>
      </c>
      <c r="L50" s="198">
        <f>ROUND(N(data!AY66), 0)</f>
        <v>8829</v>
      </c>
      <c r="M50" s="198">
        <f>ROUND(N(data!AY67), 0)</f>
        <v>27728</v>
      </c>
      <c r="N50" s="198">
        <f>ROUND(N(data!AY68), 0)</f>
        <v>0</v>
      </c>
      <c r="O50" s="198">
        <f>ROUND(N(data!AY69), 0)</f>
        <v>19408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19408</v>
      </c>
      <c r="AD50" s="198">
        <f>ROUND(N(data!AY84), 0)</f>
        <v>84180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1260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045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65249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2965</v>
      </c>
      <c r="AH51" s="198">
        <f>ROUND(N(data!AZ91), 0)</f>
        <v>12013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045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0.86</v>
      </c>
      <c r="G52" s="198">
        <f>ROUND(N(data!BA61), 0)</f>
        <v>215589</v>
      </c>
      <c r="H52" s="198">
        <f>ROUND(N(data!BA62), 0)</f>
        <v>48727</v>
      </c>
      <c r="I52" s="198">
        <f>ROUND(N(data!BA63), 0)</f>
        <v>0</v>
      </c>
      <c r="J52" s="198">
        <f>ROUND(N(data!BA64), 0)</f>
        <v>9309</v>
      </c>
      <c r="K52" s="198">
        <f>ROUND(N(data!BA65), 0)</f>
        <v>0</v>
      </c>
      <c r="L52" s="198">
        <f>ROUND(N(data!BA66), 0)</f>
        <v>710</v>
      </c>
      <c r="M52" s="198">
        <f>ROUND(N(data!BA67), 0)</f>
        <v>30809</v>
      </c>
      <c r="N52" s="198">
        <f>ROUND(N(data!BA68), 0)</f>
        <v>0</v>
      </c>
      <c r="O52" s="198">
        <f>ROUND(N(data!BA69), 0)</f>
        <v>452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452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1400</v>
      </c>
      <c r="AH52" s="198">
        <f>ROUND(N(data!BA91), 0)</f>
        <v>0</v>
      </c>
      <c r="AI52" s="198">
        <f>ROUND(N(data!BA92), 0)</f>
        <v>397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045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3.7</v>
      </c>
      <c r="G53" s="198">
        <f>ROUND(N(data!BB61), 0)</f>
        <v>239882</v>
      </c>
      <c r="H53" s="198">
        <f>ROUND(N(data!BB62), 0)</f>
        <v>54218</v>
      </c>
      <c r="I53" s="198">
        <f>ROUND(N(data!BB63), 0)</f>
        <v>0</v>
      </c>
      <c r="J53" s="198">
        <f>ROUND(N(data!BB64), 0)</f>
        <v>2389</v>
      </c>
      <c r="K53" s="198">
        <f>ROUND(N(data!BB65), 0)</f>
        <v>0</v>
      </c>
      <c r="L53" s="198">
        <f>ROUND(N(data!BB66), 0)</f>
        <v>0</v>
      </c>
      <c r="M53" s="198">
        <f>ROUND(N(data!BB67), 0)</f>
        <v>40910</v>
      </c>
      <c r="N53" s="198">
        <f>ROUND(N(data!BB68), 0)</f>
        <v>0</v>
      </c>
      <c r="O53" s="198">
        <f>ROUND(N(data!BB69), 0)</f>
        <v>1418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1418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1859</v>
      </c>
      <c r="AH53" s="198">
        <f>ROUND(N(data!BB91), 0)</f>
        <v>0</v>
      </c>
      <c r="AI53" s="198">
        <f>ROUND(N(data!BB92), 0)</f>
        <v>527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045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045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1.81</v>
      </c>
      <c r="G55" s="198">
        <f>ROUND(N(data!BD61), 0)</f>
        <v>127799</v>
      </c>
      <c r="H55" s="198">
        <f>ROUND(N(data!BD62), 0)</f>
        <v>28885</v>
      </c>
      <c r="I55" s="198">
        <f>ROUND(N(data!BD63), 0)</f>
        <v>0</v>
      </c>
      <c r="J55" s="198">
        <f>ROUND(N(data!BD64), 0)</f>
        <v>6498</v>
      </c>
      <c r="K55" s="198">
        <f>ROUND(N(data!BD65), 0)</f>
        <v>0</v>
      </c>
      <c r="L55" s="198">
        <f>ROUND(N(data!BD66), 0)</f>
        <v>4488</v>
      </c>
      <c r="M55" s="198">
        <f>ROUND(N(data!BD67), 0)</f>
        <v>0</v>
      </c>
      <c r="N55" s="198">
        <f>ROUND(N(data!BD68), 0)</f>
        <v>0</v>
      </c>
      <c r="O55" s="198">
        <f>ROUND(N(data!BD69), 0)</f>
        <v>5231</v>
      </c>
      <c r="P55" s="198">
        <f>ROUND(N(data!BD70), 0)</f>
        <v>0</v>
      </c>
      <c r="Q55" s="198">
        <f>ROUND(N(data!BD71), 0)</f>
        <v>0</v>
      </c>
      <c r="R55" s="198">
        <f>ROUND(N(data!BD72), 0)</f>
        <v>261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4970</v>
      </c>
      <c r="AD55" s="198">
        <f>ROUND(N(data!BD84), 0)</f>
        <v>19430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045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77714</v>
      </c>
      <c r="F56" s="271">
        <f>ROUND(N(data!BE60), 2)</f>
        <v>4.1399999999999997</v>
      </c>
      <c r="G56" s="198">
        <f>ROUND(N(data!BE61), 0)</f>
        <v>382544</v>
      </c>
      <c r="H56" s="198">
        <f>ROUND(N(data!BE62), 0)</f>
        <v>86463</v>
      </c>
      <c r="I56" s="198">
        <f>ROUND(N(data!BE63), 0)</f>
        <v>0</v>
      </c>
      <c r="J56" s="198">
        <f>ROUND(N(data!BE64), 0)</f>
        <v>46835</v>
      </c>
      <c r="K56" s="198">
        <f>ROUND(N(data!BE65), 0)</f>
        <v>174216</v>
      </c>
      <c r="L56" s="198">
        <f>ROUND(N(data!BE66), 0)</f>
        <v>414012</v>
      </c>
      <c r="M56" s="198">
        <f>ROUND(N(data!BE67), 0)</f>
        <v>79311</v>
      </c>
      <c r="N56" s="198">
        <f>ROUND(N(data!BE68), 0)</f>
        <v>2021</v>
      </c>
      <c r="O56" s="198">
        <f>ROUND(N(data!BE69), 0)</f>
        <v>12977</v>
      </c>
      <c r="P56" s="198">
        <f>ROUND(N(data!BE70), 0)</f>
        <v>0</v>
      </c>
      <c r="Q56" s="198">
        <f>ROUND(N(data!BE71), 0)</f>
        <v>0</v>
      </c>
      <c r="R56" s="198">
        <f>ROUND(N(data!BE72), 0)</f>
        <v>3602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9375</v>
      </c>
      <c r="AD56" s="198">
        <f>ROUND(N(data!BE84), 0)</f>
        <v>17898</v>
      </c>
      <c r="AE56" s="198">
        <f>ROUND(N(data!BE89), 0)</f>
        <v>0</v>
      </c>
      <c r="AF56" s="198">
        <f>ROUND(N(data!BE87), 0)</f>
        <v>0</v>
      </c>
      <c r="AG56" s="198">
        <f>ROUND(N(data!BE90), 0)</f>
        <v>3604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045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10.85</v>
      </c>
      <c r="G57" s="198">
        <f>ROUND(N(data!BF61), 0)</f>
        <v>409816</v>
      </c>
      <c r="H57" s="198">
        <f>ROUND(N(data!BF62), 0)</f>
        <v>92627</v>
      </c>
      <c r="I57" s="198">
        <f>ROUND(N(data!BF63), 0)</f>
        <v>0</v>
      </c>
      <c r="J57" s="198">
        <f>ROUND(N(data!BF64), 0)</f>
        <v>9638</v>
      </c>
      <c r="K57" s="198">
        <f>ROUND(N(data!BF65), 0)</f>
        <v>0</v>
      </c>
      <c r="L57" s="198">
        <f>ROUND(N(data!BF66), 0)</f>
        <v>0</v>
      </c>
      <c r="M57" s="198">
        <f>ROUND(N(data!BF67), 0)</f>
        <v>33670</v>
      </c>
      <c r="N57" s="198">
        <f>ROUND(N(data!BF68), 0)</f>
        <v>0</v>
      </c>
      <c r="O57" s="198">
        <f>ROUND(N(data!BF69), 0)</f>
        <v>2287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2287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1530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045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045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2.86</v>
      </c>
      <c r="G59" s="198">
        <f>ROUND(N(data!BH61), 0)</f>
        <v>299430</v>
      </c>
      <c r="H59" s="198">
        <f>ROUND(N(data!BH62), 0)</f>
        <v>67677</v>
      </c>
      <c r="I59" s="198">
        <f>ROUND(N(data!BH63), 0)</f>
        <v>0</v>
      </c>
      <c r="J59" s="198">
        <f>ROUND(N(data!BH64), 0)</f>
        <v>18954</v>
      </c>
      <c r="K59" s="198">
        <f>ROUND(N(data!BH65), 0)</f>
        <v>36618</v>
      </c>
      <c r="L59" s="198">
        <f>ROUND(N(data!BH66), 0)</f>
        <v>956689</v>
      </c>
      <c r="M59" s="198">
        <f>ROUND(N(data!BH67), 0)</f>
        <v>16549</v>
      </c>
      <c r="N59" s="198">
        <f>ROUND(N(data!BH68), 0)</f>
        <v>19590</v>
      </c>
      <c r="O59" s="198">
        <f>ROUND(N(data!BH69), 0)</f>
        <v>18986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18986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752</v>
      </c>
      <c r="AH59" s="198">
        <f>ROUND(N(data!BH91), 0)</f>
        <v>0</v>
      </c>
      <c r="AI59" s="198">
        <f>ROUND(N(data!BH92), 0)</f>
        <v>213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045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045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1.72</v>
      </c>
      <c r="G61" s="198">
        <f>ROUND(N(data!BJ61), 0)</f>
        <v>188557</v>
      </c>
      <c r="H61" s="198">
        <f>ROUND(N(data!BJ62), 0)</f>
        <v>42618</v>
      </c>
      <c r="I61" s="198">
        <f>ROUND(N(data!BJ63), 0)</f>
        <v>345832</v>
      </c>
      <c r="J61" s="198">
        <f>ROUND(N(data!BJ64), 0)</f>
        <v>1112</v>
      </c>
      <c r="K61" s="198">
        <f>ROUND(N(data!BJ65), 0)</f>
        <v>0</v>
      </c>
      <c r="L61" s="198">
        <f>ROUND(N(data!BJ66), 0)</f>
        <v>134296</v>
      </c>
      <c r="M61" s="198">
        <f>ROUND(N(data!BJ67), 0)</f>
        <v>0</v>
      </c>
      <c r="N61" s="198">
        <f>ROUND(N(data!BJ68), 0)</f>
        <v>0</v>
      </c>
      <c r="O61" s="198">
        <f>ROUND(N(data!BJ69), 0)</f>
        <v>91960</v>
      </c>
      <c r="P61" s="198">
        <f>ROUND(N(data!BJ70), 0)</f>
        <v>0</v>
      </c>
      <c r="Q61" s="198">
        <f>ROUND(N(data!BJ71), 0)</f>
        <v>0</v>
      </c>
      <c r="R61" s="198">
        <f>ROUND(N(data!BJ72), 0)</f>
        <v>39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85000</v>
      </c>
      <c r="AB61" s="198">
        <f>ROUND(N(data!BJ82), 0)</f>
        <v>0</v>
      </c>
      <c r="AC61" s="198">
        <f>ROUND(N(data!BJ83), 0)</f>
        <v>6921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045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5.49</v>
      </c>
      <c r="G62" s="198">
        <f>ROUND(N(data!BK61), 0)</f>
        <v>418860</v>
      </c>
      <c r="H62" s="198">
        <f>ROUND(N(data!BK62), 0)</f>
        <v>94671</v>
      </c>
      <c r="I62" s="198">
        <f>ROUND(N(data!BK63), 0)</f>
        <v>31231</v>
      </c>
      <c r="J62" s="198">
        <f>ROUND(N(data!BK64), 0)</f>
        <v>3238</v>
      </c>
      <c r="K62" s="198">
        <f>ROUND(N(data!BK65), 0)</f>
        <v>0</v>
      </c>
      <c r="L62" s="198">
        <f>ROUND(N(data!BK66), 0)</f>
        <v>36648</v>
      </c>
      <c r="M62" s="198">
        <f>ROUND(N(data!BK67), 0)</f>
        <v>30831</v>
      </c>
      <c r="N62" s="198">
        <f>ROUND(N(data!BK68), 0)</f>
        <v>0</v>
      </c>
      <c r="O62" s="198">
        <f>ROUND(N(data!BK69), 0)</f>
        <v>62089</v>
      </c>
      <c r="P62" s="198">
        <f>ROUND(N(data!BK70), 0)</f>
        <v>0</v>
      </c>
      <c r="Q62" s="198">
        <f>ROUND(N(data!BK71), 0)</f>
        <v>0</v>
      </c>
      <c r="R62" s="198">
        <f>ROUND(N(data!BK72), 0)</f>
        <v>87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62002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1401</v>
      </c>
      <c r="AH62" s="198">
        <f>ROUND(N(data!BK91), 0)</f>
        <v>0</v>
      </c>
      <c r="AI62" s="198">
        <f>ROUND(N(data!BK92), 0)</f>
        <v>397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045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3.98</v>
      </c>
      <c r="G63" s="198">
        <f>ROUND(N(data!BL61), 0)</f>
        <v>232010</v>
      </c>
      <c r="H63" s="198">
        <f>ROUND(N(data!BL62), 0)</f>
        <v>52439</v>
      </c>
      <c r="I63" s="198">
        <f>ROUND(N(data!BL63), 0)</f>
        <v>0</v>
      </c>
      <c r="J63" s="198">
        <f>ROUND(N(data!BL64), 0)</f>
        <v>4549</v>
      </c>
      <c r="K63" s="198">
        <f>ROUND(N(data!BL65), 0)</f>
        <v>0</v>
      </c>
      <c r="L63" s="198">
        <f>ROUND(N(data!BL66), 0)</f>
        <v>0</v>
      </c>
      <c r="M63" s="198">
        <f>ROUND(N(data!BL67), 0)</f>
        <v>86397</v>
      </c>
      <c r="N63" s="198">
        <f>ROUND(N(data!BL68), 0)</f>
        <v>0</v>
      </c>
      <c r="O63" s="198">
        <f>ROUND(N(data!BL69), 0)</f>
        <v>141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141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3926</v>
      </c>
      <c r="AH63" s="198">
        <f>ROUND(N(data!BL91), 0)</f>
        <v>0</v>
      </c>
      <c r="AI63" s="198">
        <f>ROUND(N(data!BL92), 0)</f>
        <v>1114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045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045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1.65</v>
      </c>
      <c r="G65" s="198">
        <f>ROUND(N(data!BN61), 0)</f>
        <v>440776</v>
      </c>
      <c r="H65" s="198">
        <f>ROUND(N(data!BN62), 0)</f>
        <v>99624</v>
      </c>
      <c r="I65" s="198">
        <f>ROUND(N(data!BN63), 0)</f>
        <v>3872</v>
      </c>
      <c r="J65" s="198">
        <f>ROUND(N(data!BN64), 0)</f>
        <v>-6383</v>
      </c>
      <c r="K65" s="198">
        <f>ROUND(N(data!BN65), 0)</f>
        <v>0</v>
      </c>
      <c r="L65" s="198">
        <f>ROUND(N(data!BN66), 0)</f>
        <v>72687</v>
      </c>
      <c r="M65" s="198">
        <f>ROUND(N(data!BN67), 0)</f>
        <v>132544</v>
      </c>
      <c r="N65" s="198">
        <f>ROUND(N(data!BN68), 0)</f>
        <v>0</v>
      </c>
      <c r="O65" s="198">
        <f>ROUND(N(data!BN69), 0)</f>
        <v>288193</v>
      </c>
      <c r="P65" s="198">
        <f>ROUND(N(data!BN70), 0)</f>
        <v>0</v>
      </c>
      <c r="Q65" s="198">
        <f>ROUND(N(data!BN71), 0)</f>
        <v>0</v>
      </c>
      <c r="R65" s="198">
        <f>ROUND(N(data!BN72), 0)</f>
        <v>152964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1292</v>
      </c>
      <c r="AB65" s="198">
        <f>ROUND(N(data!BN82), 0)</f>
        <v>0</v>
      </c>
      <c r="AC65" s="198">
        <f>ROUND(N(data!BN83), 0)</f>
        <v>133937</v>
      </c>
      <c r="AD65" s="198">
        <f>ROUND(N(data!BN84), 0)</f>
        <v>2065</v>
      </c>
      <c r="AE65" s="198">
        <f>ROUND(N(data!BN89), 0)</f>
        <v>0</v>
      </c>
      <c r="AF65" s="198">
        <f>ROUND(N(data!BN87), 0)</f>
        <v>0</v>
      </c>
      <c r="AG65" s="198">
        <f>ROUND(N(data!BN90), 0)</f>
        <v>6023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045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045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0.92</v>
      </c>
      <c r="G67" s="198">
        <f>ROUND(N(data!BP61), 0)</f>
        <v>102066</v>
      </c>
      <c r="H67" s="198">
        <f>ROUND(N(data!BP62), 0)</f>
        <v>23069</v>
      </c>
      <c r="I67" s="198">
        <f>ROUND(N(data!BP63), 0)</f>
        <v>0</v>
      </c>
      <c r="J67" s="198">
        <f>ROUND(N(data!BP64), 0)</f>
        <v>3362</v>
      </c>
      <c r="K67" s="198">
        <f>ROUND(N(data!BP65), 0)</f>
        <v>0</v>
      </c>
      <c r="L67" s="198">
        <f>ROUND(N(data!BP66), 0)</f>
        <v>58819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045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045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1.87</v>
      </c>
      <c r="G69" s="198">
        <f>ROUND(N(data!BR61), 0)</f>
        <v>198172</v>
      </c>
      <c r="H69" s="198">
        <f>ROUND(N(data!BR62), 0)</f>
        <v>44791</v>
      </c>
      <c r="I69" s="198">
        <f>ROUND(N(data!BR63), 0)</f>
        <v>2125</v>
      </c>
      <c r="J69" s="198">
        <f>ROUND(N(data!BR64), 0)</f>
        <v>4014</v>
      </c>
      <c r="K69" s="198">
        <f>ROUND(N(data!BR65), 0)</f>
        <v>0</v>
      </c>
      <c r="L69" s="198">
        <f>ROUND(N(data!BR66), 0)</f>
        <v>22751</v>
      </c>
      <c r="M69" s="198">
        <f>ROUND(N(data!BR67), 0)</f>
        <v>26782</v>
      </c>
      <c r="N69" s="198">
        <f>ROUND(N(data!BR68), 0)</f>
        <v>0</v>
      </c>
      <c r="O69" s="198">
        <f>ROUND(N(data!BR69), 0)</f>
        <v>4453</v>
      </c>
      <c r="P69" s="198">
        <f>ROUND(N(data!BR70), 0)</f>
        <v>0</v>
      </c>
      <c r="Q69" s="198">
        <f>ROUND(N(data!BR71), 0)</f>
        <v>0</v>
      </c>
      <c r="R69" s="198">
        <f>ROUND(N(data!BR72), 0)</f>
        <v>862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3591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1217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045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 t="e">
        <f>ROUND(N(data!#REF!), 0)</f>
        <v>#REF!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045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045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045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3.31</v>
      </c>
      <c r="G73" s="198">
        <f>ROUND(N(data!BV61), 0)</f>
        <v>165435</v>
      </c>
      <c r="H73" s="198">
        <f>ROUND(N(data!BV62), 0)</f>
        <v>37392</v>
      </c>
      <c r="I73" s="198">
        <f>ROUND(N(data!BV63), 0)</f>
        <v>0</v>
      </c>
      <c r="J73" s="198">
        <f>ROUND(N(data!BV64), 0)</f>
        <v>851</v>
      </c>
      <c r="K73" s="198">
        <f>ROUND(N(data!BV65), 0)</f>
        <v>0</v>
      </c>
      <c r="L73" s="198">
        <f>ROUND(N(data!BV66), 0)</f>
        <v>1974</v>
      </c>
      <c r="M73" s="198">
        <f>ROUND(N(data!BV67), 0)</f>
        <v>31007</v>
      </c>
      <c r="N73" s="198">
        <f>ROUND(N(data!BV68), 0)</f>
        <v>0</v>
      </c>
      <c r="O73" s="198">
        <f>ROUND(N(data!BV69), 0)</f>
        <v>1288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1288</v>
      </c>
      <c r="AD73" s="198">
        <f>ROUND(N(data!BV84), 0)</f>
        <v>6065</v>
      </c>
      <c r="AE73" s="198">
        <f>ROUND(N(data!BV89), 0)</f>
        <v>0</v>
      </c>
      <c r="AF73" s="198">
        <f>ROUND(N(data!BV87), 0)</f>
        <v>0</v>
      </c>
      <c r="AG73" s="198">
        <f>ROUND(N(data!BV90), 0)</f>
        <v>1409</v>
      </c>
      <c r="AH73" s="198">
        <f>ROUND(N(data!BV91), 0)</f>
        <v>0</v>
      </c>
      <c r="AI73" s="198">
        <f>ROUND(N(data!BV92), 0)</f>
        <v>400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045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856</v>
      </c>
      <c r="J74" s="198">
        <f>ROUND(N(data!BW64), 0)</f>
        <v>320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1975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1975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045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ROUND(N(data!BS63),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045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4.25</v>
      </c>
      <c r="G76" s="198">
        <f>ROUND(N(data!BY61), 0)</f>
        <v>585422</v>
      </c>
      <c r="H76" s="198">
        <f>ROUND(N(data!BY62), 0)</f>
        <v>132317</v>
      </c>
      <c r="I76" s="198">
        <f>ROUND(N(data!BY63), 0)</f>
        <v>3371</v>
      </c>
      <c r="J76" s="198">
        <f>ROUND(N(data!BY64), 0)</f>
        <v>19845</v>
      </c>
      <c r="K76" s="198">
        <f>ROUND(N(data!BY65), 0)</f>
        <v>0</v>
      </c>
      <c r="L76" s="198">
        <f>ROUND(N(data!BY66), 0)</f>
        <v>9850</v>
      </c>
      <c r="M76" s="198">
        <f>ROUND(N(data!BY67), 0)</f>
        <v>16241</v>
      </c>
      <c r="N76" s="198">
        <f>ROUND(N(data!BY68), 0)</f>
        <v>0</v>
      </c>
      <c r="O76" s="198">
        <f>ROUND(N(data!BY69), 0)</f>
        <v>27257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27257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738</v>
      </c>
      <c r="AH76" s="198">
        <f>ROUND(N(data!BY91), 0)</f>
        <v>0</v>
      </c>
      <c r="AI76" s="198">
        <f>ROUND(N(data!BY92), 0)</f>
        <v>238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045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045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045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045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3904-4923-4FC3-B460-6DB0AFE5EB74}">
  <dimension ref="A1:AF6"/>
  <sheetViews>
    <sheetView workbookViewId="0"/>
  </sheetViews>
  <sheetFormatPr defaultRowHeight="15" x14ac:dyDescent="0.2"/>
  <sheetData>
    <row r="1" spans="1:32" x14ac:dyDescent="0.2">
      <c r="A1">
        <v>1748460805863</v>
      </c>
      <c r="B1" t="s">
        <v>1370</v>
      </c>
      <c r="C1" t="s">
        <v>1371</v>
      </c>
      <c r="D1">
        <v>5</v>
      </c>
      <c r="E1">
        <v>1748537607039</v>
      </c>
      <c r="F1" t="s">
        <v>1383</v>
      </c>
      <c r="G1" t="s">
        <v>1371</v>
      </c>
      <c r="H1">
        <v>0</v>
      </c>
      <c r="I1">
        <v>1750791359052</v>
      </c>
      <c r="J1" t="s">
        <v>1392</v>
      </c>
      <c r="K1" t="s">
        <v>1393</v>
      </c>
      <c r="L1">
        <v>0</v>
      </c>
      <c r="M1">
        <v>1750802046743</v>
      </c>
      <c r="N1" t="s">
        <v>1394</v>
      </c>
      <c r="O1" t="s">
        <v>1371</v>
      </c>
      <c r="P1">
        <v>0</v>
      </c>
      <c r="Q1">
        <v>1750973225757</v>
      </c>
      <c r="R1" t="s">
        <v>1395</v>
      </c>
      <c r="S1" t="s">
        <v>1371</v>
      </c>
      <c r="T1">
        <v>0</v>
      </c>
      <c r="U1">
        <v>1751001518516</v>
      </c>
      <c r="V1" t="s">
        <v>1396</v>
      </c>
      <c r="W1" t="s">
        <v>1393</v>
      </c>
      <c r="X1">
        <v>0</v>
      </c>
      <c r="Y1">
        <v>1751058926329</v>
      </c>
      <c r="Z1" t="s">
        <v>1397</v>
      </c>
      <c r="AA1" t="s">
        <v>1393</v>
      </c>
      <c r="AB1">
        <v>0</v>
      </c>
      <c r="AC1">
        <v>1751063223819</v>
      </c>
      <c r="AD1" t="s">
        <v>1401</v>
      </c>
      <c r="AE1" t="s">
        <v>1063</v>
      </c>
      <c r="AF1">
        <v>0</v>
      </c>
    </row>
    <row r="2" spans="1:32" x14ac:dyDescent="0.2">
      <c r="A2">
        <v>1748460806164</v>
      </c>
      <c r="B2" t="s">
        <v>1372</v>
      </c>
      <c r="C2" t="s">
        <v>1373</v>
      </c>
      <c r="D2" t="s">
        <v>1374</v>
      </c>
    </row>
    <row r="3" spans="1:32" x14ac:dyDescent="0.2">
      <c r="A3">
        <v>1748460806173</v>
      </c>
      <c r="B3" t="s">
        <v>1372</v>
      </c>
      <c r="C3" t="s">
        <v>1375</v>
      </c>
      <c r="D3" t="s">
        <v>1376</v>
      </c>
    </row>
    <row r="4" spans="1:32" x14ac:dyDescent="0.2">
      <c r="A4">
        <v>1748460806173</v>
      </c>
      <c r="B4" t="s">
        <v>1372</v>
      </c>
      <c r="C4" t="s">
        <v>1377</v>
      </c>
      <c r="D4" t="s">
        <v>1378</v>
      </c>
    </row>
    <row r="5" spans="1:32" x14ac:dyDescent="0.2">
      <c r="A5">
        <v>1748460806197</v>
      </c>
      <c r="B5" t="s">
        <v>1372</v>
      </c>
      <c r="C5" t="s">
        <v>1379</v>
      </c>
      <c r="D5" t="s">
        <v>1380</v>
      </c>
    </row>
    <row r="6" spans="1:32" x14ac:dyDescent="0.2">
      <c r="A6">
        <v>1748460808690</v>
      </c>
      <c r="B6" t="s">
        <v>1381</v>
      </c>
      <c r="C6" t="s">
        <v>1379</v>
      </c>
      <c r="D6" t="s">
        <v>1382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4747-E5EC-4D23-A58D-7C3DD9C4AD47}">
  <dimension ref="A1:AF1"/>
  <sheetViews>
    <sheetView workbookViewId="0"/>
  </sheetViews>
  <sheetFormatPr defaultRowHeight="15" x14ac:dyDescent="0.2"/>
  <sheetData>
    <row r="1" spans="1:32" x14ac:dyDescent="0.2">
      <c r="A1">
        <v>1748460805990</v>
      </c>
      <c r="B1" t="s">
        <v>1370</v>
      </c>
      <c r="C1" t="s">
        <v>1371</v>
      </c>
      <c r="D1">
        <v>0</v>
      </c>
      <c r="E1">
        <v>1748537607224</v>
      </c>
      <c r="F1" t="s">
        <v>1383</v>
      </c>
      <c r="G1" t="s">
        <v>1371</v>
      </c>
      <c r="H1">
        <v>0</v>
      </c>
      <c r="I1">
        <v>1750791359226</v>
      </c>
      <c r="J1" t="s">
        <v>1392</v>
      </c>
      <c r="K1" t="s">
        <v>1393</v>
      </c>
      <c r="L1">
        <v>0</v>
      </c>
      <c r="M1">
        <v>1750802046965</v>
      </c>
      <c r="N1" t="s">
        <v>1394</v>
      </c>
      <c r="O1" t="s">
        <v>1371</v>
      </c>
      <c r="P1">
        <v>0</v>
      </c>
      <c r="Q1">
        <v>1750973226044</v>
      </c>
      <c r="R1" t="s">
        <v>1395</v>
      </c>
      <c r="S1" t="s">
        <v>1371</v>
      </c>
      <c r="T1">
        <v>0</v>
      </c>
      <c r="U1">
        <v>1751001518677</v>
      </c>
      <c r="V1" t="s">
        <v>1396</v>
      </c>
      <c r="W1" t="s">
        <v>1393</v>
      </c>
      <c r="X1">
        <v>0</v>
      </c>
      <c r="Y1">
        <v>1751058926509</v>
      </c>
      <c r="Z1" t="s">
        <v>1397</v>
      </c>
      <c r="AA1" t="s">
        <v>1393</v>
      </c>
      <c r="AB1">
        <v>0</v>
      </c>
      <c r="AC1">
        <v>1751063224158</v>
      </c>
      <c r="AD1" t="s">
        <v>1401</v>
      </c>
      <c r="AE1" t="s">
        <v>1063</v>
      </c>
      <c r="AF1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84A8-848F-4435-987D-A3BBF1D9E6A7}">
  <dimension ref="A1:AF1"/>
  <sheetViews>
    <sheetView workbookViewId="0"/>
  </sheetViews>
  <sheetFormatPr defaultRowHeight="15" x14ac:dyDescent="0.2"/>
  <sheetData>
    <row r="1" spans="1:32" x14ac:dyDescent="0.2">
      <c r="A1">
        <v>1748460806028</v>
      </c>
      <c r="B1" t="s">
        <v>1370</v>
      </c>
      <c r="C1" t="s">
        <v>1371</v>
      </c>
      <c r="D1">
        <v>0</v>
      </c>
      <c r="E1">
        <v>1748537607233</v>
      </c>
      <c r="F1" t="s">
        <v>1383</v>
      </c>
      <c r="G1" t="s">
        <v>1371</v>
      </c>
      <c r="H1">
        <v>0</v>
      </c>
      <c r="I1">
        <v>1750791359238</v>
      </c>
      <c r="J1" t="s">
        <v>1392</v>
      </c>
      <c r="K1" t="s">
        <v>1393</v>
      </c>
      <c r="L1">
        <v>0</v>
      </c>
      <c r="M1">
        <v>1750802046977</v>
      </c>
      <c r="N1" t="s">
        <v>1394</v>
      </c>
      <c r="O1" t="s">
        <v>1371</v>
      </c>
      <c r="P1">
        <v>0</v>
      </c>
      <c r="Q1">
        <v>1750973226056</v>
      </c>
      <c r="R1" t="s">
        <v>1395</v>
      </c>
      <c r="S1" t="s">
        <v>1371</v>
      </c>
      <c r="T1">
        <v>0</v>
      </c>
      <c r="U1">
        <v>1751001518688</v>
      </c>
      <c r="V1" t="s">
        <v>1396</v>
      </c>
      <c r="W1" t="s">
        <v>1393</v>
      </c>
      <c r="X1">
        <v>0</v>
      </c>
      <c r="Y1">
        <v>1751058926522</v>
      </c>
      <c r="Z1" t="s">
        <v>1397</v>
      </c>
      <c r="AA1" t="s">
        <v>1393</v>
      </c>
      <c r="AB1">
        <v>0</v>
      </c>
      <c r="AC1">
        <v>1751063224173</v>
      </c>
      <c r="AD1" t="s">
        <v>1401</v>
      </c>
      <c r="AE1" t="s">
        <v>1063</v>
      </c>
      <c r="AF1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AAF4-3DBC-4583-87D6-A2FFDA7CDCD7}">
  <dimension ref="A1:AF1"/>
  <sheetViews>
    <sheetView workbookViewId="0"/>
  </sheetViews>
  <sheetFormatPr defaultRowHeight="15" x14ac:dyDescent="0.2"/>
  <sheetData>
    <row r="1" spans="1:32" x14ac:dyDescent="0.2">
      <c r="A1">
        <v>1748460806123</v>
      </c>
      <c r="B1" t="s">
        <v>1370</v>
      </c>
      <c r="C1" t="s">
        <v>1371</v>
      </c>
      <c r="D1">
        <v>0</v>
      </c>
      <c r="E1">
        <v>1748537607241</v>
      </c>
      <c r="F1" t="s">
        <v>1383</v>
      </c>
      <c r="G1" t="s">
        <v>1371</v>
      </c>
      <c r="H1">
        <v>0</v>
      </c>
      <c r="I1">
        <v>1750791359245</v>
      </c>
      <c r="J1" t="s">
        <v>1392</v>
      </c>
      <c r="K1" t="s">
        <v>1393</v>
      </c>
      <c r="L1">
        <v>0</v>
      </c>
      <c r="M1">
        <v>1750802046984</v>
      </c>
      <c r="N1" t="s">
        <v>1394</v>
      </c>
      <c r="O1" t="s">
        <v>1371</v>
      </c>
      <c r="P1">
        <v>0</v>
      </c>
      <c r="Q1">
        <v>1750973226067</v>
      </c>
      <c r="R1" t="s">
        <v>1395</v>
      </c>
      <c r="S1" t="s">
        <v>1371</v>
      </c>
      <c r="T1">
        <v>0</v>
      </c>
      <c r="U1">
        <v>1751001518695</v>
      </c>
      <c r="V1" t="s">
        <v>1396</v>
      </c>
      <c r="W1" t="s">
        <v>1393</v>
      </c>
      <c r="X1">
        <v>0</v>
      </c>
      <c r="Y1">
        <v>1751058926529</v>
      </c>
      <c r="Z1" t="s">
        <v>1397</v>
      </c>
      <c r="AA1" t="s">
        <v>1393</v>
      </c>
      <c r="AB1">
        <v>0</v>
      </c>
      <c r="AC1">
        <v>1751063224181</v>
      </c>
      <c r="AD1" t="s">
        <v>1401</v>
      </c>
      <c r="AE1" t="s">
        <v>1063</v>
      </c>
      <c r="AF1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2025-06-24T19:02:42Z</cp:lastPrinted>
  <dcterms:created xsi:type="dcterms:W3CDTF">1999-06-02T22:01:56Z</dcterms:created>
  <dcterms:modified xsi:type="dcterms:W3CDTF">2025-07-29T20:37:54Z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000000MPNH20250627223042.xlsx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