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50127CAC-7E17-4074-8CF9-B1FDCEED0DE1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414" i="24" l="1"/>
  <c r="C380" i="24"/>
  <c r="C359" i="24"/>
  <c r="C358" i="24"/>
  <c r="D78" i="33"/>
  <c r="D73" i="33"/>
  <c r="D66" i="33"/>
  <c r="D64" i="33"/>
  <c r="CD83" i="24" l="1"/>
  <c r="CC83" i="24"/>
  <c r="BJ83" i="24"/>
  <c r="BI83" i="24"/>
  <c r="U83" i="24"/>
  <c r="BH83" i="24"/>
  <c r="AJ83" i="24"/>
  <c r="P83" i="24"/>
  <c r="BF83" i="24"/>
  <c r="BX83" i="24"/>
  <c r="BE83" i="24"/>
  <c r="BD83" i="24"/>
  <c r="AZ83" i="24"/>
  <c r="AY83" i="24"/>
  <c r="AG83" i="24"/>
  <c r="F83" i="24"/>
  <c r="E83" i="24"/>
  <c r="BI80" i="24"/>
  <c r="CC65" i="24"/>
  <c r="BH65" i="24"/>
  <c r="BG65" i="24"/>
  <c r="AJ65" i="24"/>
  <c r="P65" i="24"/>
  <c r="BX64" i="24"/>
  <c r="BF64" i="24"/>
  <c r="BE64" i="24"/>
  <c r="BD64" i="24"/>
  <c r="AZ64" i="24"/>
  <c r="AY64" i="24"/>
  <c r="AJ64" i="24"/>
  <c r="AG64" i="24"/>
  <c r="F64" i="24"/>
  <c r="E64" i="24"/>
  <c r="CC68" i="24"/>
  <c r="CC75" i="24" l="1"/>
  <c r="C413" i="24" l="1"/>
  <c r="C408" i="24"/>
  <c r="C407" i="24"/>
  <c r="C405" i="24"/>
  <c r="C389" i="24"/>
  <c r="C391" i="24"/>
  <c r="C403" i="24" l="1"/>
  <c r="C402" i="24"/>
  <c r="C401" i="24"/>
  <c r="C395" i="24"/>
  <c r="C394" i="24"/>
  <c r="C390" i="24"/>
  <c r="D20" i="33"/>
  <c r="C372" i="24"/>
  <c r="D34" i="33"/>
  <c r="C371" i="24" l="1"/>
  <c r="C343" i="24"/>
  <c r="C364" i="24"/>
  <c r="C362" i="24"/>
  <c r="C336" i="24"/>
  <c r="C322" i="24"/>
  <c r="C298" i="24"/>
  <c r="C305" i="24"/>
  <c r="C297" i="24"/>
  <c r="B219" i="24"/>
  <c r="C59" i="24" l="1"/>
  <c r="C200" i="24" l="1"/>
  <c r="C192" i="24"/>
  <c r="C191" i="24"/>
  <c r="C188" i="24"/>
  <c r="AV88" i="24" l="1"/>
  <c r="AV87" i="24"/>
  <c r="CD77" i="24"/>
  <c r="AJ51" i="24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J2" i="30"/>
  <c r="CI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48" i="34" s="1"/>
  <c r="M716" i="34" s="1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9" i="32"/>
  <c r="E179" i="32"/>
  <c r="D179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7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E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F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7" i="8"/>
  <c r="C146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4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49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F69" i="15"/>
  <c r="E69" i="15"/>
  <c r="D69" i="15"/>
  <c r="B69" i="15"/>
  <c r="I68" i="15"/>
  <c r="B68" i="15"/>
  <c r="I67" i="15"/>
  <c r="B67" i="15"/>
  <c r="I66" i="15"/>
  <c r="B66" i="15"/>
  <c r="E65" i="15"/>
  <c r="D65" i="15"/>
  <c r="F65" i="15" s="1"/>
  <c r="B65" i="15"/>
  <c r="E64" i="15"/>
  <c r="D64" i="15"/>
  <c r="F64" i="15" s="1"/>
  <c r="B64" i="15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8" i="15"/>
  <c r="I58" i="15" s="1"/>
  <c r="F58" i="15"/>
  <c r="E58" i="15"/>
  <c r="D58" i="15"/>
  <c r="B58" i="15"/>
  <c r="F57" i="15"/>
  <c r="E57" i="15"/>
  <c r="D57" i="15"/>
  <c r="B57" i="15"/>
  <c r="H57" i="15" s="1"/>
  <c r="I57" i="15" s="1"/>
  <c r="E56" i="15"/>
  <c r="D56" i="15"/>
  <c r="B56" i="15"/>
  <c r="H55" i="15"/>
  <c r="I55" i="15" s="1"/>
  <c r="E55" i="15"/>
  <c r="D55" i="15"/>
  <c r="B55" i="15"/>
  <c r="F55" i="15" s="1"/>
  <c r="F54" i="15"/>
  <c r="E54" i="15"/>
  <c r="D54" i="15"/>
  <c r="B54" i="15"/>
  <c r="F53" i="15"/>
  <c r="E53" i="15"/>
  <c r="D53" i="15"/>
  <c r="B53" i="15"/>
  <c r="H53" i="15" s="1"/>
  <c r="I53" i="15" s="1"/>
  <c r="H52" i="15"/>
  <c r="I52" i="15" s="1"/>
  <c r="E52" i="15"/>
  <c r="D52" i="15"/>
  <c r="B52" i="15"/>
  <c r="F52" i="15" s="1"/>
  <c r="F51" i="15"/>
  <c r="E51" i="15"/>
  <c r="D51" i="15"/>
  <c r="B51" i="15"/>
  <c r="H51" i="15" s="1"/>
  <c r="I51" i="15" s="1"/>
  <c r="H50" i="15"/>
  <c r="I50" i="15" s="1"/>
  <c r="F50" i="15"/>
  <c r="E50" i="15"/>
  <c r="D50" i="15"/>
  <c r="B50" i="15"/>
  <c r="F49" i="15"/>
  <c r="E49" i="15"/>
  <c r="D49" i="15"/>
  <c r="B49" i="15"/>
  <c r="H49" i="15" s="1"/>
  <c r="I49" i="15" s="1"/>
  <c r="E48" i="15"/>
  <c r="D48" i="15"/>
  <c r="B48" i="15"/>
  <c r="H47" i="15"/>
  <c r="I47" i="15" s="1"/>
  <c r="F47" i="15"/>
  <c r="E47" i="15"/>
  <c r="D47" i="15"/>
  <c r="B47" i="15"/>
  <c r="F46" i="15"/>
  <c r="E46" i="15"/>
  <c r="D46" i="15"/>
  <c r="B46" i="15"/>
  <c r="H46" i="15" s="1"/>
  <c r="I46" i="15" s="1"/>
  <c r="E45" i="15"/>
  <c r="D45" i="15"/>
  <c r="B45" i="15"/>
  <c r="H44" i="15"/>
  <c r="I44" i="15" s="1"/>
  <c r="F44" i="15"/>
  <c r="E44" i="15"/>
  <c r="D44" i="15"/>
  <c r="B44" i="15"/>
  <c r="F43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F39" i="15" s="1"/>
  <c r="B39" i="15"/>
  <c r="E38" i="15"/>
  <c r="D38" i="15"/>
  <c r="B38" i="15"/>
  <c r="F37" i="15"/>
  <c r="E37" i="15"/>
  <c r="D37" i="15"/>
  <c r="B37" i="15"/>
  <c r="E36" i="15"/>
  <c r="D36" i="15"/>
  <c r="B36" i="15"/>
  <c r="F36" i="15" s="1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F30" i="15"/>
  <c r="E30" i="15"/>
  <c r="D30" i="15"/>
  <c r="B30" i="15"/>
  <c r="E29" i="15"/>
  <c r="D29" i="15"/>
  <c r="B29" i="15"/>
  <c r="F28" i="15"/>
  <c r="E28" i="15"/>
  <c r="D28" i="15"/>
  <c r="B28" i="15"/>
  <c r="E27" i="15"/>
  <c r="D27" i="15"/>
  <c r="F27" i="15" s="1"/>
  <c r="B27" i="15"/>
  <c r="H26" i="15"/>
  <c r="I26" i="15" s="1"/>
  <c r="E26" i="15"/>
  <c r="D26" i="15"/>
  <c r="B26" i="15"/>
  <c r="F26" i="15" s="1"/>
  <c r="E25" i="15"/>
  <c r="D25" i="15"/>
  <c r="B25" i="15"/>
  <c r="H24" i="15"/>
  <c r="I24" i="15" s="1"/>
  <c r="F24" i="15"/>
  <c r="E24" i="15"/>
  <c r="D24" i="15"/>
  <c r="B24" i="15"/>
  <c r="H23" i="15"/>
  <c r="I23" i="15" s="1"/>
  <c r="F23" i="15"/>
  <c r="E23" i="15"/>
  <c r="D23" i="15"/>
  <c r="B23" i="15"/>
  <c r="E22" i="15"/>
  <c r="D22" i="15"/>
  <c r="B22" i="15"/>
  <c r="H21" i="15"/>
  <c r="I21" i="15" s="1"/>
  <c r="F21" i="15"/>
  <c r="E21" i="15"/>
  <c r="D21" i="15"/>
  <c r="B21" i="15"/>
  <c r="F20" i="15"/>
  <c r="E20" i="15"/>
  <c r="D20" i="15"/>
  <c r="B20" i="15"/>
  <c r="E19" i="15"/>
  <c r="D19" i="15"/>
  <c r="B19" i="15"/>
  <c r="H19" i="15" s="1"/>
  <c r="I19" i="15" s="1"/>
  <c r="E18" i="15"/>
  <c r="D18" i="15"/>
  <c r="B18" i="15"/>
  <c r="F18" i="15" s="1"/>
  <c r="F17" i="15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C113" i="8" s="1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AZ91" i="24"/>
  <c r="CE91" i="24" s="1"/>
  <c r="CF91" i="24" s="1"/>
  <c r="CE90" i="24"/>
  <c r="AV89" i="24"/>
  <c r="AU89" i="24"/>
  <c r="AE46" i="31" s="1"/>
  <c r="AT89" i="24"/>
  <c r="AE45" i="31" s="1"/>
  <c r="AS89" i="24"/>
  <c r="AE44" i="31" s="1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E22" i="31" s="1"/>
  <c r="V89" i="24"/>
  <c r="AE21" i="31" s="1"/>
  <c r="U89" i="24"/>
  <c r="T89" i="24"/>
  <c r="AE19" i="31" s="1"/>
  <c r="S89" i="24"/>
  <c r="AE18" i="31" s="1"/>
  <c r="R89" i="24"/>
  <c r="AE17" i="31" s="1"/>
  <c r="Q89" i="24"/>
  <c r="P89" i="24"/>
  <c r="AE15" i="31" s="1"/>
  <c r="O89" i="24"/>
  <c r="AE14" i="31" s="1"/>
  <c r="N89" i="24"/>
  <c r="M89" i="24"/>
  <c r="L89" i="24"/>
  <c r="K89" i="24"/>
  <c r="AE10" i="31" s="1"/>
  <c r="J89" i="24"/>
  <c r="I89" i="24"/>
  <c r="H89" i="24"/>
  <c r="AE7" i="31" s="1"/>
  <c r="G89" i="24"/>
  <c r="F89" i="24"/>
  <c r="AE5" i="31" s="1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411" i="24" s="1"/>
  <c r="DA2" i="30" s="1"/>
  <c r="CE79" i="24"/>
  <c r="CE78" i="24"/>
  <c r="CE77" i="24"/>
  <c r="CE76" i="24"/>
  <c r="CE75" i="24"/>
  <c r="C406" i="24" s="1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O74" i="31" s="1"/>
  <c r="BV69" i="24"/>
  <c r="BU69" i="24"/>
  <c r="O72" i="31" s="1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O54" i="31" s="1"/>
  <c r="BB69" i="24"/>
  <c r="BA69" i="24"/>
  <c r="AZ69" i="24"/>
  <c r="AY69" i="24"/>
  <c r="AX69" i="24"/>
  <c r="O49" i="31" s="1"/>
  <c r="AW69" i="24"/>
  <c r="AV69" i="24"/>
  <c r="AU69" i="24"/>
  <c r="AT69" i="24"/>
  <c r="AS69" i="24"/>
  <c r="AR69" i="24"/>
  <c r="O43" i="31" s="1"/>
  <c r="AQ69" i="24"/>
  <c r="O42" i="31" s="1"/>
  <c r="AP69" i="24"/>
  <c r="AO69" i="24"/>
  <c r="AN69" i="24"/>
  <c r="O39" i="31" s="1"/>
  <c r="AM69" i="24"/>
  <c r="O38" i="31" s="1"/>
  <c r="AL69" i="24"/>
  <c r="O37" i="31" s="1"/>
  <c r="AK69" i="24"/>
  <c r="O36" i="31" s="1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O10" i="31" s="1"/>
  <c r="J69" i="24"/>
  <c r="I69" i="24"/>
  <c r="H69" i="24"/>
  <c r="O7" i="31" s="1"/>
  <c r="G69" i="24"/>
  <c r="O6" i="31" s="1"/>
  <c r="F69" i="24"/>
  <c r="O5" i="31" s="1"/>
  <c r="E69" i="24"/>
  <c r="D69" i="24"/>
  <c r="C69" i="24"/>
  <c r="CE68" i="24"/>
  <c r="CE66" i="24"/>
  <c r="I368" i="32" s="1"/>
  <c r="CE65" i="24"/>
  <c r="CE64" i="24"/>
  <c r="CE63" i="24"/>
  <c r="I365" i="32" s="1"/>
  <c r="CE61" i="24"/>
  <c r="I363" i="32" s="1"/>
  <c r="CE60" i="24"/>
  <c r="B53" i="24"/>
  <c r="CE51" i="24"/>
  <c r="B49" i="24"/>
  <c r="CE47" i="24"/>
  <c r="I367" i="32" l="1"/>
  <c r="C393" i="24"/>
  <c r="I366" i="32"/>
  <c r="C392" i="24"/>
  <c r="I370" i="32"/>
  <c r="C396" i="24"/>
  <c r="D383" i="24"/>
  <c r="C137" i="8" s="1"/>
  <c r="D341" i="24"/>
  <c r="C87" i="8" s="1"/>
  <c r="C365" i="24"/>
  <c r="D258" i="24"/>
  <c r="H90" i="32"/>
  <c r="D218" i="32"/>
  <c r="D58" i="32"/>
  <c r="C218" i="32"/>
  <c r="I90" i="32"/>
  <c r="F90" i="32"/>
  <c r="D90" i="32"/>
  <c r="D51" i="32"/>
  <c r="H179" i="32"/>
  <c r="G19" i="32"/>
  <c r="H19" i="32"/>
  <c r="P48" i="24"/>
  <c r="P62" i="24" s="1"/>
  <c r="H15" i="31" s="1"/>
  <c r="Q48" i="24"/>
  <c r="Q62" i="24" s="1"/>
  <c r="H16" i="31" s="1"/>
  <c r="R48" i="24"/>
  <c r="R62" i="24" s="1"/>
  <c r="H17" i="31" s="1"/>
  <c r="T48" i="24"/>
  <c r="T62" i="24" s="1"/>
  <c r="H19" i="31" s="1"/>
  <c r="U48" i="24"/>
  <c r="U62" i="24" s="1"/>
  <c r="H20" i="31" s="1"/>
  <c r="AX48" i="24"/>
  <c r="AX62" i="24" s="1"/>
  <c r="H49" i="31" s="1"/>
  <c r="AZ48" i="24"/>
  <c r="AZ62" i="24" s="1"/>
  <c r="H51" i="31" s="1"/>
  <c r="BA48" i="24"/>
  <c r="BA62" i="24" s="1"/>
  <c r="BA85" i="24" s="1"/>
  <c r="BB48" i="24"/>
  <c r="BB62" i="24" s="1"/>
  <c r="H53" i="31" s="1"/>
  <c r="AY48" i="24"/>
  <c r="AY62" i="24" s="1"/>
  <c r="AY85" i="24" s="1"/>
  <c r="V48" i="24"/>
  <c r="V62" i="24" s="1"/>
  <c r="H21" i="31" s="1"/>
  <c r="BC48" i="24"/>
  <c r="BC62" i="24" s="1"/>
  <c r="BC85" i="24" s="1"/>
  <c r="W48" i="24"/>
  <c r="W62" i="24" s="1"/>
  <c r="H22" i="31" s="1"/>
  <c r="BH48" i="24"/>
  <c r="BH62" i="24" s="1"/>
  <c r="D268" i="32" s="1"/>
  <c r="Y48" i="24"/>
  <c r="Y62" i="24" s="1"/>
  <c r="H24" i="31" s="1"/>
  <c r="BM48" i="24"/>
  <c r="BM62" i="24" s="1"/>
  <c r="H64" i="31" s="1"/>
  <c r="AD48" i="24"/>
  <c r="AD62" i="24" s="1"/>
  <c r="H29" i="31" s="1"/>
  <c r="BN48" i="24"/>
  <c r="BN62" i="24" s="1"/>
  <c r="C300" i="32" s="1"/>
  <c r="AF48" i="24"/>
  <c r="AF62" i="24" s="1"/>
  <c r="H31" i="31" s="1"/>
  <c r="BR48" i="24"/>
  <c r="BR62" i="24" s="1"/>
  <c r="H69" i="31" s="1"/>
  <c r="AG48" i="24"/>
  <c r="AG62" i="24" s="1"/>
  <c r="E140" i="32" s="1"/>
  <c r="BS48" i="24"/>
  <c r="BS62" i="24" s="1"/>
  <c r="H300" i="32" s="1"/>
  <c r="AH48" i="24"/>
  <c r="AH62" i="24" s="1"/>
  <c r="H33" i="31" s="1"/>
  <c r="BT48" i="24"/>
  <c r="BT62" i="24" s="1"/>
  <c r="I300" i="32" s="1"/>
  <c r="AI48" i="24"/>
  <c r="AI62" i="24" s="1"/>
  <c r="AI85" i="24" s="1"/>
  <c r="BU48" i="24"/>
  <c r="BU62" i="24" s="1"/>
  <c r="C332" i="32" s="1"/>
  <c r="C48" i="24"/>
  <c r="C62" i="24" s="1"/>
  <c r="C85" i="24" s="1"/>
  <c r="C668" i="24" s="1"/>
  <c r="AN48" i="24"/>
  <c r="AN62" i="24" s="1"/>
  <c r="H39" i="31" s="1"/>
  <c r="BV48" i="24"/>
  <c r="BV62" i="24" s="1"/>
  <c r="H73" i="31" s="1"/>
  <c r="D48" i="24"/>
  <c r="D62" i="24" s="1"/>
  <c r="H3" i="31" s="1"/>
  <c r="AO48" i="24"/>
  <c r="AO62" i="24" s="1"/>
  <c r="F172" i="32" s="1"/>
  <c r="BW48" i="24"/>
  <c r="BW62" i="24" s="1"/>
  <c r="E332" i="32" s="1"/>
  <c r="E48" i="24"/>
  <c r="E62" i="24" s="1"/>
  <c r="H4" i="31" s="1"/>
  <c r="AP48" i="24"/>
  <c r="AP62" i="24" s="1"/>
  <c r="AP85" i="24" s="1"/>
  <c r="BX48" i="24"/>
  <c r="BX62" i="24" s="1"/>
  <c r="BX85" i="24" s="1"/>
  <c r="F341" i="32" s="1"/>
  <c r="F48" i="24"/>
  <c r="F62" i="24" s="1"/>
  <c r="AQ48" i="24"/>
  <c r="AQ62" i="24" s="1"/>
  <c r="AQ85" i="24" s="1"/>
  <c r="BY48" i="24"/>
  <c r="BY62" i="24" s="1"/>
  <c r="H76" i="31" s="1"/>
  <c r="J48" i="24"/>
  <c r="J62" i="24" s="1"/>
  <c r="C44" i="32" s="1"/>
  <c r="AR48" i="24"/>
  <c r="AR62" i="24" s="1"/>
  <c r="AR85" i="24" s="1"/>
  <c r="BZ48" i="24"/>
  <c r="BZ62" i="24" s="1"/>
  <c r="H332" i="32" s="1"/>
  <c r="K48" i="24"/>
  <c r="K62" i="24" s="1"/>
  <c r="H10" i="31" s="1"/>
  <c r="AS48" i="24"/>
  <c r="AS62" i="24" s="1"/>
  <c r="AS85" i="24" s="1"/>
  <c r="C710" i="24" s="1"/>
  <c r="CC48" i="24"/>
  <c r="CC62" i="24" s="1"/>
  <c r="H80" i="31" s="1"/>
  <c r="O48" i="24"/>
  <c r="O62" i="24" s="1"/>
  <c r="H14" i="31" s="1"/>
  <c r="AT48" i="24"/>
  <c r="AT62" i="24" s="1"/>
  <c r="H45" i="31" s="1"/>
  <c r="CD48" i="24"/>
  <c r="X48" i="24"/>
  <c r="X62" i="24" s="1"/>
  <c r="H23" i="31" s="1"/>
  <c r="BD48" i="24"/>
  <c r="BD62" i="24" s="1"/>
  <c r="BD85" i="24" s="1"/>
  <c r="Z48" i="24"/>
  <c r="Z62" i="24" s="1"/>
  <c r="H25" i="31" s="1"/>
  <c r="BE48" i="24"/>
  <c r="BE62" i="24" s="1"/>
  <c r="H56" i="31" s="1"/>
  <c r="AE48" i="24"/>
  <c r="AE62" i="24" s="1"/>
  <c r="C140" i="32" s="1"/>
  <c r="BF48" i="24"/>
  <c r="BF62" i="24" s="1"/>
  <c r="I236" i="32" s="1"/>
  <c r="N48" i="24"/>
  <c r="N62" i="24" s="1"/>
  <c r="G44" i="32" s="1"/>
  <c r="AL48" i="24"/>
  <c r="AL62" i="24" s="1"/>
  <c r="C172" i="32" s="1"/>
  <c r="BK48" i="24"/>
  <c r="BK62" i="24" s="1"/>
  <c r="BK85" i="24" s="1"/>
  <c r="L48" i="24"/>
  <c r="L62" i="24" s="1"/>
  <c r="H11" i="31" s="1"/>
  <c r="AJ48" i="24"/>
  <c r="AJ62" i="24" s="1"/>
  <c r="H35" i="31" s="1"/>
  <c r="BI48" i="24"/>
  <c r="BI62" i="24" s="1"/>
  <c r="H60" i="31" s="1"/>
  <c r="M48" i="24"/>
  <c r="M62" i="24" s="1"/>
  <c r="H12" i="31" s="1"/>
  <c r="AK48" i="24"/>
  <c r="AK62" i="24" s="1"/>
  <c r="H36" i="31" s="1"/>
  <c r="BJ48" i="24"/>
  <c r="BJ62" i="24" s="1"/>
  <c r="H61" i="31" s="1"/>
  <c r="S48" i="24"/>
  <c r="S62" i="24" s="1"/>
  <c r="H18" i="31" s="1"/>
  <c r="AM48" i="24"/>
  <c r="AM62" i="24" s="1"/>
  <c r="H38" i="31" s="1"/>
  <c r="BG48" i="24"/>
  <c r="BG62" i="24" s="1"/>
  <c r="H58" i="31" s="1"/>
  <c r="CA48" i="24"/>
  <c r="CA62" i="24" s="1"/>
  <c r="I332" i="32" s="1"/>
  <c r="CB48" i="24"/>
  <c r="CB62" i="24" s="1"/>
  <c r="H79" i="31" s="1"/>
  <c r="BL48" i="24"/>
  <c r="BL62" i="24" s="1"/>
  <c r="H63" i="31" s="1"/>
  <c r="BO48" i="24"/>
  <c r="BO62" i="24" s="1"/>
  <c r="BO85" i="24" s="1"/>
  <c r="C79" i="15" s="1"/>
  <c r="G79" i="15" s="1"/>
  <c r="G48" i="24"/>
  <c r="G62" i="24" s="1"/>
  <c r="H6" i="31" s="1"/>
  <c r="AA48" i="24"/>
  <c r="AA62" i="24" s="1"/>
  <c r="H26" i="31" s="1"/>
  <c r="AU48" i="24"/>
  <c r="AU62" i="24" s="1"/>
  <c r="H46" i="31" s="1"/>
  <c r="BP48" i="24"/>
  <c r="BP62" i="24" s="1"/>
  <c r="BP85" i="24" s="1"/>
  <c r="H48" i="24"/>
  <c r="H62" i="24" s="1"/>
  <c r="AB48" i="24"/>
  <c r="AB62" i="24" s="1"/>
  <c r="AB85" i="24" s="1"/>
  <c r="AV48" i="24"/>
  <c r="AV62" i="24" s="1"/>
  <c r="F204" i="32" s="1"/>
  <c r="I48" i="24"/>
  <c r="I62" i="24" s="1"/>
  <c r="I12" i="32" s="1"/>
  <c r="AC48" i="24"/>
  <c r="AC62" i="24" s="1"/>
  <c r="H28" i="31" s="1"/>
  <c r="AW48" i="24"/>
  <c r="AW62" i="24" s="1"/>
  <c r="AW85" i="24" s="1"/>
  <c r="C61" i="15" s="1"/>
  <c r="BQ48" i="24"/>
  <c r="BQ62" i="24" s="1"/>
  <c r="BQ85" i="24" s="1"/>
  <c r="F309" i="32" s="1"/>
  <c r="C179" i="32"/>
  <c r="CE69" i="24"/>
  <c r="I371" i="32" s="1"/>
  <c r="G10" i="4"/>
  <c r="C35" i="8"/>
  <c r="D308" i="24"/>
  <c r="H22" i="15"/>
  <c r="I22" i="15" s="1"/>
  <c r="F22" i="15"/>
  <c r="O18" i="31"/>
  <c r="E83" i="32"/>
  <c r="C275" i="32"/>
  <c r="O58" i="31"/>
  <c r="O78" i="31"/>
  <c r="I339" i="32"/>
  <c r="I381" i="32"/>
  <c r="G612" i="24"/>
  <c r="G28" i="4"/>
  <c r="E28" i="4"/>
  <c r="AE6" i="31"/>
  <c r="G26" i="32"/>
  <c r="F58" i="32"/>
  <c r="AE12" i="31"/>
  <c r="O21" i="31"/>
  <c r="H83" i="32"/>
  <c r="F59" i="15"/>
  <c r="H59" i="15"/>
  <c r="I59" i="15" s="1"/>
  <c r="F24" i="6"/>
  <c r="E233" i="24"/>
  <c r="F32" i="6" s="1"/>
  <c r="O59" i="31"/>
  <c r="D275" i="32"/>
  <c r="O40" i="31"/>
  <c r="F179" i="32"/>
  <c r="O60" i="31"/>
  <c r="E275" i="32"/>
  <c r="AE32" i="31"/>
  <c r="E154" i="32"/>
  <c r="O61" i="31"/>
  <c r="F275" i="32"/>
  <c r="F154" i="32"/>
  <c r="AE33" i="31"/>
  <c r="C19" i="32"/>
  <c r="O2" i="31"/>
  <c r="I83" i="32"/>
  <c r="O22" i="31"/>
  <c r="O62" i="31"/>
  <c r="G275" i="32"/>
  <c r="E218" i="32"/>
  <c r="O16" i="31"/>
  <c r="C83" i="32"/>
  <c r="O76" i="31"/>
  <c r="G339" i="32"/>
  <c r="O17" i="31"/>
  <c r="D83" i="32"/>
  <c r="AE9" i="31"/>
  <c r="C58" i="32"/>
  <c r="C371" i="32"/>
  <c r="O79" i="31"/>
  <c r="G179" i="32"/>
  <c r="O41" i="31"/>
  <c r="AE13" i="31"/>
  <c r="G58" i="32"/>
  <c r="I383" i="32"/>
  <c r="J612" i="24"/>
  <c r="D19" i="32"/>
  <c r="O3" i="31"/>
  <c r="O23" i="31"/>
  <c r="C115" i="32"/>
  <c r="O63" i="31"/>
  <c r="H275" i="32"/>
  <c r="F33" i="15"/>
  <c r="F48" i="15"/>
  <c r="D416" i="24"/>
  <c r="H26" i="32"/>
  <c r="F15" i="15"/>
  <c r="F29" i="15"/>
  <c r="F45" i="15"/>
  <c r="H25" i="15"/>
  <c r="I25" i="15" s="1"/>
  <c r="F25" i="15"/>
  <c r="F42" i="15"/>
  <c r="AE27" i="31"/>
  <c r="G122" i="32"/>
  <c r="O56" i="31"/>
  <c r="H243" i="32"/>
  <c r="O57" i="31"/>
  <c r="I243" i="32"/>
  <c r="AE29" i="31"/>
  <c r="I122" i="32"/>
  <c r="O19" i="31"/>
  <c r="F83" i="32"/>
  <c r="O80" i="31"/>
  <c r="D371" i="32"/>
  <c r="E371" i="32"/>
  <c r="C615" i="24"/>
  <c r="CD85" i="24"/>
  <c r="AE26" i="31"/>
  <c r="F122" i="32"/>
  <c r="DF2" i="30"/>
  <c r="C170" i="8"/>
  <c r="F420" i="24"/>
  <c r="AE47" i="31"/>
  <c r="F218" i="32"/>
  <c r="I380" i="32"/>
  <c r="CF90" i="24"/>
  <c r="AL52" i="24" s="1"/>
  <c r="AL67" i="24" s="1"/>
  <c r="D612" i="24"/>
  <c r="O77" i="31"/>
  <c r="H339" i="32"/>
  <c r="O20" i="31"/>
  <c r="G83" i="32"/>
  <c r="I382" i="32"/>
  <c r="I612" i="24"/>
  <c r="F56" i="15"/>
  <c r="AE16" i="31"/>
  <c r="C90" i="32"/>
  <c r="F34" i="15"/>
  <c r="O4" i="31"/>
  <c r="E19" i="32"/>
  <c r="D115" i="32"/>
  <c r="O24" i="31"/>
  <c r="O64" i="31"/>
  <c r="I275" i="32"/>
  <c r="AE34" i="31"/>
  <c r="G154" i="32"/>
  <c r="O25" i="31"/>
  <c r="E115" i="32"/>
  <c r="O26" i="31"/>
  <c r="F115" i="32"/>
  <c r="O46" i="31"/>
  <c r="E211" i="32"/>
  <c r="O66" i="31"/>
  <c r="D307" i="32"/>
  <c r="AE36" i="31"/>
  <c r="I154" i="32"/>
  <c r="O27" i="31"/>
  <c r="G115" i="32"/>
  <c r="O47" i="31"/>
  <c r="F211" i="32"/>
  <c r="O67" i="31"/>
  <c r="E307" i="32"/>
  <c r="AE37" i="31"/>
  <c r="C186" i="32"/>
  <c r="F7" i="6"/>
  <c r="E220" i="24"/>
  <c r="F16" i="15"/>
  <c r="F19" i="15"/>
  <c r="F35" i="15"/>
  <c r="F38" i="15"/>
  <c r="O44" i="31"/>
  <c r="C211" i="32"/>
  <c r="O65" i="31"/>
  <c r="C307" i="32"/>
  <c r="O8" i="31"/>
  <c r="I19" i="32"/>
  <c r="O28" i="31"/>
  <c r="H115" i="32"/>
  <c r="O48" i="31"/>
  <c r="G211" i="32"/>
  <c r="O68" i="31"/>
  <c r="F307" i="32"/>
  <c r="D186" i="32"/>
  <c r="AE38" i="31"/>
  <c r="H58" i="32"/>
  <c r="E186" i="32"/>
  <c r="AE39" i="31"/>
  <c r="F612" i="24"/>
  <c r="I58" i="32"/>
  <c r="AE20" i="31"/>
  <c r="G90" i="32"/>
  <c r="AE40" i="31"/>
  <c r="F186" i="32"/>
  <c r="D350" i="24"/>
  <c r="O45" i="31"/>
  <c r="D211" i="32"/>
  <c r="BK2" i="30"/>
  <c r="I362" i="32"/>
  <c r="O11" i="31"/>
  <c r="E51" i="32"/>
  <c r="O31" i="31"/>
  <c r="D147" i="32"/>
  <c r="C243" i="32"/>
  <c r="O51" i="31"/>
  <c r="O71" i="31"/>
  <c r="I307" i="32"/>
  <c r="AE41" i="31"/>
  <c r="G186" i="32"/>
  <c r="H612" i="24"/>
  <c r="C339" i="32"/>
  <c r="AE35" i="31"/>
  <c r="H154" i="32"/>
  <c r="O12" i="31"/>
  <c r="F51" i="32"/>
  <c r="AE2" i="31"/>
  <c r="C26" i="32"/>
  <c r="CE89" i="24"/>
  <c r="AE42" i="31"/>
  <c r="H186" i="32"/>
  <c r="D5" i="7"/>
  <c r="CF2" i="28"/>
  <c r="E339" i="32"/>
  <c r="O32" i="31"/>
  <c r="E147" i="32"/>
  <c r="G51" i="32"/>
  <c r="O13" i="31"/>
  <c r="O33" i="31"/>
  <c r="F147" i="32"/>
  <c r="E243" i="32"/>
  <c r="O53" i="31"/>
  <c r="O73" i="31"/>
  <c r="D339" i="32"/>
  <c r="AE3" i="31"/>
  <c r="D26" i="32"/>
  <c r="AE23" i="31"/>
  <c r="C122" i="32"/>
  <c r="AE43" i="31"/>
  <c r="I186" i="32"/>
  <c r="C363" i="24"/>
  <c r="D243" i="32"/>
  <c r="O52" i="31"/>
  <c r="O34" i="31"/>
  <c r="G147" i="32"/>
  <c r="BP2" i="30"/>
  <c r="C119" i="8"/>
  <c r="I384" i="32"/>
  <c r="L612" i="24"/>
  <c r="H51" i="32"/>
  <c r="O14" i="31"/>
  <c r="AE4" i="31"/>
  <c r="E26" i="32"/>
  <c r="AE24" i="31"/>
  <c r="D122" i="32"/>
  <c r="O15" i="31"/>
  <c r="I51" i="32"/>
  <c r="O35" i="31"/>
  <c r="H147" i="32"/>
  <c r="O55" i="31"/>
  <c r="G243" i="32"/>
  <c r="O75" i="31"/>
  <c r="F339" i="32"/>
  <c r="AE25" i="31"/>
  <c r="E122" i="32"/>
  <c r="E19" i="4"/>
  <c r="G19" i="4"/>
  <c r="F19" i="32"/>
  <c r="F243" i="32"/>
  <c r="I26" i="32"/>
  <c r="AE8" i="31"/>
  <c r="AE28" i="31"/>
  <c r="H122" i="32"/>
  <c r="C51" i="32"/>
  <c r="O9" i="31"/>
  <c r="O29" i="31"/>
  <c r="I115" i="32"/>
  <c r="O69" i="31"/>
  <c r="G307" i="32"/>
  <c r="AE30" i="31"/>
  <c r="C154" i="32"/>
  <c r="C147" i="32"/>
  <c r="O30" i="31"/>
  <c r="O50" i="31"/>
  <c r="I211" i="32"/>
  <c r="O70" i="31"/>
  <c r="H307" i="32"/>
  <c r="E58" i="32"/>
  <c r="AE11" i="31"/>
  <c r="AE31" i="31"/>
  <c r="D154" i="32"/>
  <c r="AH51" i="31"/>
  <c r="C253" i="32"/>
  <c r="H211" i="32"/>
  <c r="F41" i="15"/>
  <c r="C715" i="34"/>
  <c r="D615" i="34"/>
  <c r="CH2" i="30" l="1"/>
  <c r="C145" i="8"/>
  <c r="CG2" i="30"/>
  <c r="C144" i="8"/>
  <c r="C148" i="8"/>
  <c r="CK2" i="30"/>
  <c r="E380" i="24"/>
  <c r="D12" i="33"/>
  <c r="R85" i="24"/>
  <c r="C30" i="15" s="1"/>
  <c r="D76" i="32"/>
  <c r="I44" i="32"/>
  <c r="P85" i="24"/>
  <c r="I53" i="32" s="1"/>
  <c r="Q85" i="24"/>
  <c r="C29" i="15" s="1"/>
  <c r="D236" i="32"/>
  <c r="F76" i="32"/>
  <c r="T85" i="24"/>
  <c r="C685" i="24" s="1"/>
  <c r="C76" i="32"/>
  <c r="G76" i="32"/>
  <c r="H52" i="31"/>
  <c r="U85" i="24"/>
  <c r="C686" i="24" s="1"/>
  <c r="E236" i="32"/>
  <c r="BB85" i="24"/>
  <c r="E245" i="32" s="1"/>
  <c r="C236" i="32"/>
  <c r="AZ85" i="24"/>
  <c r="C628" i="24" s="1"/>
  <c r="G332" i="32"/>
  <c r="BR85" i="24"/>
  <c r="G309" i="32" s="1"/>
  <c r="J85" i="24"/>
  <c r="C53" i="32" s="1"/>
  <c r="AX85" i="24"/>
  <c r="C616" i="24" s="1"/>
  <c r="H204" i="32"/>
  <c r="H9" i="31"/>
  <c r="BN85" i="24"/>
  <c r="C78" i="15" s="1"/>
  <c r="G78" i="15" s="1"/>
  <c r="H65" i="31"/>
  <c r="I108" i="32"/>
  <c r="H59" i="31"/>
  <c r="H74" i="31"/>
  <c r="I172" i="32"/>
  <c r="H43" i="31"/>
  <c r="H172" i="32"/>
  <c r="H42" i="31"/>
  <c r="F236" i="32"/>
  <c r="H54" i="31"/>
  <c r="H41" i="31"/>
  <c r="G172" i="32"/>
  <c r="H30" i="31"/>
  <c r="BY85" i="24"/>
  <c r="C89" i="15" s="1"/>
  <c r="G89" i="15" s="1"/>
  <c r="H50" i="31"/>
  <c r="I204" i="32"/>
  <c r="BE85" i="24"/>
  <c r="C69" i="15" s="1"/>
  <c r="O85" i="24"/>
  <c r="H53" i="32" s="1"/>
  <c r="H236" i="32"/>
  <c r="C213" i="32"/>
  <c r="BS85" i="24"/>
  <c r="H309" i="32" s="1"/>
  <c r="H44" i="32"/>
  <c r="C204" i="32"/>
  <c r="G140" i="32"/>
  <c r="BT85" i="24"/>
  <c r="I309" i="32" s="1"/>
  <c r="H34" i="31"/>
  <c r="AH85" i="24"/>
  <c r="F149" i="32" s="1"/>
  <c r="F140" i="32"/>
  <c r="H32" i="31"/>
  <c r="AF85" i="24"/>
  <c r="D149" i="32" s="1"/>
  <c r="BZ85" i="24"/>
  <c r="H341" i="32" s="1"/>
  <c r="D140" i="32"/>
  <c r="E12" i="32"/>
  <c r="H77" i="31"/>
  <c r="AD85" i="24"/>
  <c r="I117" i="32" s="1"/>
  <c r="C12" i="32"/>
  <c r="H76" i="32"/>
  <c r="AO85" i="24"/>
  <c r="F181" i="32" s="1"/>
  <c r="C57" i="15"/>
  <c r="G57" i="15" s="1"/>
  <c r="AT85" i="24"/>
  <c r="D213" i="32" s="1"/>
  <c r="V85" i="24"/>
  <c r="H85" i="32" s="1"/>
  <c r="H2" i="31"/>
  <c r="H40" i="31"/>
  <c r="BW85" i="24"/>
  <c r="C87" i="15" s="1"/>
  <c r="G87" i="15" s="1"/>
  <c r="D108" i="32"/>
  <c r="G236" i="32"/>
  <c r="BM85" i="24"/>
  <c r="C638" i="24" s="1"/>
  <c r="H55" i="31"/>
  <c r="C15" i="15"/>
  <c r="G15" i="15" s="1"/>
  <c r="I268" i="32"/>
  <c r="C21" i="32"/>
  <c r="D204" i="32"/>
  <c r="Z85" i="24"/>
  <c r="E117" i="32" s="1"/>
  <c r="H71" i="31"/>
  <c r="BU85" i="24"/>
  <c r="C341" i="32" s="1"/>
  <c r="CC85" i="24"/>
  <c r="D373" i="32" s="1"/>
  <c r="D85" i="24"/>
  <c r="D21" i="32" s="1"/>
  <c r="X85" i="24"/>
  <c r="C36" i="15" s="1"/>
  <c r="H70" i="31"/>
  <c r="D364" i="32"/>
  <c r="F12" i="32"/>
  <c r="H5" i="31"/>
  <c r="G300" i="32"/>
  <c r="BH85" i="24"/>
  <c r="C72" i="15" s="1"/>
  <c r="G72" i="15" s="1"/>
  <c r="E108" i="32"/>
  <c r="H44" i="31"/>
  <c r="AU85" i="24"/>
  <c r="E213" i="32" s="1"/>
  <c r="D332" i="32"/>
  <c r="D12" i="32"/>
  <c r="BV85" i="24"/>
  <c r="D341" i="32" s="1"/>
  <c r="AN85" i="24"/>
  <c r="E181" i="32" s="1"/>
  <c r="C108" i="32"/>
  <c r="E172" i="32"/>
  <c r="H72" i="31"/>
  <c r="K85" i="24"/>
  <c r="C23" i="15" s="1"/>
  <c r="G23" i="15" s="1"/>
  <c r="C644" i="24"/>
  <c r="Y85" i="24"/>
  <c r="D117" i="32" s="1"/>
  <c r="H75" i="31"/>
  <c r="D44" i="32"/>
  <c r="AG85" i="24"/>
  <c r="E149" i="32" s="1"/>
  <c r="C88" i="15"/>
  <c r="G88" i="15" s="1"/>
  <c r="I76" i="32"/>
  <c r="F332" i="32"/>
  <c r="W85" i="24"/>
  <c r="C688" i="24" s="1"/>
  <c r="H62" i="31"/>
  <c r="G268" i="32"/>
  <c r="H67" i="31"/>
  <c r="AE85" i="24"/>
  <c r="C149" i="32" s="1"/>
  <c r="AK85" i="24"/>
  <c r="C702" i="24" s="1"/>
  <c r="E300" i="32"/>
  <c r="BF85" i="24"/>
  <c r="I245" i="32" s="1"/>
  <c r="N85" i="24"/>
  <c r="C679" i="24" s="1"/>
  <c r="H57" i="31"/>
  <c r="H13" i="31"/>
  <c r="CB85" i="24"/>
  <c r="C622" i="24" s="1"/>
  <c r="I140" i="32"/>
  <c r="BJ85" i="24"/>
  <c r="F277" i="32" s="1"/>
  <c r="AM85" i="24"/>
  <c r="D181" i="32" s="1"/>
  <c r="H268" i="32"/>
  <c r="D172" i="32"/>
  <c r="S85" i="24"/>
  <c r="E85" i="32" s="1"/>
  <c r="G85" i="24"/>
  <c r="C672" i="24" s="1"/>
  <c r="G213" i="32"/>
  <c r="E76" i="32"/>
  <c r="D309" i="32"/>
  <c r="BG85" i="24"/>
  <c r="C277" i="32" s="1"/>
  <c r="C627" i="24"/>
  <c r="BL85" i="24"/>
  <c r="H277" i="32" s="1"/>
  <c r="F268" i="32"/>
  <c r="G12" i="32"/>
  <c r="H47" i="31"/>
  <c r="I85" i="24"/>
  <c r="C674" i="24" s="1"/>
  <c r="H8" i="31"/>
  <c r="H27" i="31"/>
  <c r="G108" i="32"/>
  <c r="BI85" i="24"/>
  <c r="C73" i="15" s="1"/>
  <c r="G73" i="15" s="1"/>
  <c r="F44" i="32"/>
  <c r="E44" i="32"/>
  <c r="C364" i="32"/>
  <c r="AJ85" i="24"/>
  <c r="C48" i="15" s="1"/>
  <c r="L85" i="24"/>
  <c r="C677" i="24" s="1"/>
  <c r="CA85" i="24"/>
  <c r="C647" i="24" s="1"/>
  <c r="H140" i="32"/>
  <c r="E204" i="32"/>
  <c r="AL85" i="24"/>
  <c r="C50" i="15" s="1"/>
  <c r="G50" i="15" s="1"/>
  <c r="C268" i="32"/>
  <c r="H78" i="31"/>
  <c r="H37" i="31"/>
  <c r="M85" i="24"/>
  <c r="C678" i="24" s="1"/>
  <c r="E268" i="32"/>
  <c r="F108" i="32"/>
  <c r="AV85" i="24"/>
  <c r="F213" i="32" s="1"/>
  <c r="C631" i="24"/>
  <c r="C623" i="24"/>
  <c r="C81" i="15"/>
  <c r="G81" i="15" s="1"/>
  <c r="AC85" i="24"/>
  <c r="C694" i="24" s="1"/>
  <c r="H12" i="32"/>
  <c r="CE48" i="24"/>
  <c r="F300" i="32"/>
  <c r="G204" i="32"/>
  <c r="AA85" i="24"/>
  <c r="C39" i="15" s="1"/>
  <c r="H48" i="31"/>
  <c r="D300" i="32"/>
  <c r="H68" i="31"/>
  <c r="H7" i="31"/>
  <c r="CE62" i="24"/>
  <c r="I364" i="32" s="1"/>
  <c r="H108" i="32"/>
  <c r="H66" i="31"/>
  <c r="BG52" i="24"/>
  <c r="BG67" i="24" s="1"/>
  <c r="M58" i="31" s="1"/>
  <c r="AM52" i="24"/>
  <c r="AM67" i="24" s="1"/>
  <c r="M38" i="31" s="1"/>
  <c r="S52" i="24"/>
  <c r="S67" i="24" s="1"/>
  <c r="M18" i="31" s="1"/>
  <c r="BZ52" i="24"/>
  <c r="BZ67" i="24" s="1"/>
  <c r="H337" i="32" s="1"/>
  <c r="R52" i="24"/>
  <c r="R67" i="24" s="1"/>
  <c r="M17" i="31" s="1"/>
  <c r="BY52" i="24"/>
  <c r="BY67" i="24" s="1"/>
  <c r="M76" i="31" s="1"/>
  <c r="BE52" i="24"/>
  <c r="BE67" i="24" s="1"/>
  <c r="M56" i="31" s="1"/>
  <c r="AK52" i="24"/>
  <c r="AK67" i="24" s="1"/>
  <c r="Q52" i="24"/>
  <c r="Q67" i="24" s="1"/>
  <c r="M37" i="31"/>
  <c r="C177" i="32"/>
  <c r="BF52" i="24"/>
  <c r="BF67" i="24" s="1"/>
  <c r="BX52" i="24"/>
  <c r="BX67" i="24" s="1"/>
  <c r="BD52" i="24"/>
  <c r="BD67" i="24" s="1"/>
  <c r="AJ52" i="24"/>
  <c r="AJ67" i="24" s="1"/>
  <c r="P52" i="24"/>
  <c r="P67" i="24" s="1"/>
  <c r="BW52" i="24"/>
  <c r="BW67" i="24" s="1"/>
  <c r="BC52" i="24"/>
  <c r="BC67" i="24" s="1"/>
  <c r="AI52" i="24"/>
  <c r="AI67" i="24" s="1"/>
  <c r="O52" i="24"/>
  <c r="O67" i="24" s="1"/>
  <c r="BV52" i="24"/>
  <c r="BV67" i="24" s="1"/>
  <c r="BB52" i="24"/>
  <c r="BB67" i="24" s="1"/>
  <c r="AH52" i="24"/>
  <c r="AH67" i="24" s="1"/>
  <c r="N52" i="24"/>
  <c r="N67" i="24" s="1"/>
  <c r="BU52" i="24"/>
  <c r="BU67" i="24" s="1"/>
  <c r="BA52" i="24"/>
  <c r="BA67" i="24" s="1"/>
  <c r="AG52" i="24"/>
  <c r="AG67" i="24" s="1"/>
  <c r="M52" i="24"/>
  <c r="M67" i="24" s="1"/>
  <c r="BT52" i="24"/>
  <c r="BT67" i="24" s="1"/>
  <c r="AZ52" i="24"/>
  <c r="AZ67" i="24" s="1"/>
  <c r="AF52" i="24"/>
  <c r="AF67" i="24" s="1"/>
  <c r="L52" i="24"/>
  <c r="L67" i="24" s="1"/>
  <c r="BS52" i="24"/>
  <c r="BS67" i="24" s="1"/>
  <c r="AY52" i="24"/>
  <c r="AY67" i="24" s="1"/>
  <c r="AE52" i="24"/>
  <c r="AE67" i="24" s="1"/>
  <c r="K52" i="24"/>
  <c r="K67" i="24" s="1"/>
  <c r="BR52" i="24"/>
  <c r="BR67" i="24" s="1"/>
  <c r="AX52" i="24"/>
  <c r="AX67" i="24" s="1"/>
  <c r="AD52" i="24"/>
  <c r="AD67" i="24" s="1"/>
  <c r="J52" i="24"/>
  <c r="J67" i="24" s="1"/>
  <c r="BQ52" i="24"/>
  <c r="BQ67" i="24" s="1"/>
  <c r="AW52" i="24"/>
  <c r="AW67" i="24" s="1"/>
  <c r="AC52" i="24"/>
  <c r="AC67" i="24" s="1"/>
  <c r="I52" i="24"/>
  <c r="I67" i="24" s="1"/>
  <c r="BP52" i="24"/>
  <c r="BP67" i="24" s="1"/>
  <c r="AV52" i="24"/>
  <c r="AV67" i="24" s="1"/>
  <c r="AB52" i="24"/>
  <c r="AB67" i="24" s="1"/>
  <c r="H52" i="24"/>
  <c r="H67" i="24" s="1"/>
  <c r="H85" i="24" s="1"/>
  <c r="BO52" i="24"/>
  <c r="BO67" i="24" s="1"/>
  <c r="AU52" i="24"/>
  <c r="AU67" i="24" s="1"/>
  <c r="AA52" i="24"/>
  <c r="AA67" i="24" s="1"/>
  <c r="G52" i="24"/>
  <c r="G67" i="24" s="1"/>
  <c r="BN52" i="24"/>
  <c r="BN67" i="24" s="1"/>
  <c r="AT52" i="24"/>
  <c r="AT67" i="24" s="1"/>
  <c r="Z52" i="24"/>
  <c r="Z67" i="24" s="1"/>
  <c r="F52" i="24"/>
  <c r="F67" i="24" s="1"/>
  <c r="F85" i="24" s="1"/>
  <c r="BM52" i="24"/>
  <c r="BM67" i="24" s="1"/>
  <c r="AS52" i="24"/>
  <c r="AS67" i="24" s="1"/>
  <c r="Y52" i="24"/>
  <c r="Y67" i="24" s="1"/>
  <c r="E52" i="24"/>
  <c r="E67" i="24" s="1"/>
  <c r="E85" i="24" s="1"/>
  <c r="C670" i="24" s="1"/>
  <c r="BL52" i="24"/>
  <c r="BL67" i="24" s="1"/>
  <c r="AR52" i="24"/>
  <c r="AR67" i="24" s="1"/>
  <c r="X52" i="24"/>
  <c r="X67" i="24" s="1"/>
  <c r="D52" i="24"/>
  <c r="D67" i="24" s="1"/>
  <c r="BK52" i="24"/>
  <c r="BK67" i="24" s="1"/>
  <c r="AQ52" i="24"/>
  <c r="AQ67" i="24" s="1"/>
  <c r="CB52" i="24"/>
  <c r="CB67" i="24" s="1"/>
  <c r="BJ52" i="24"/>
  <c r="BJ67" i="24" s="1"/>
  <c r="BI52" i="24"/>
  <c r="BI67" i="24" s="1"/>
  <c r="BH52" i="24"/>
  <c r="BH67" i="24" s="1"/>
  <c r="AP52" i="24"/>
  <c r="AP67" i="24" s="1"/>
  <c r="AO52" i="24"/>
  <c r="AO67" i="24" s="1"/>
  <c r="AN52" i="24"/>
  <c r="AN67" i="24" s="1"/>
  <c r="W52" i="24"/>
  <c r="W67" i="24" s="1"/>
  <c r="V52" i="24"/>
  <c r="V67" i="24" s="1"/>
  <c r="U52" i="24"/>
  <c r="U67" i="24" s="1"/>
  <c r="T52" i="24"/>
  <c r="T67" i="24" s="1"/>
  <c r="C52" i="24"/>
  <c r="CD52" i="24"/>
  <c r="CC52" i="24"/>
  <c r="CC67" i="24" s="1"/>
  <c r="CA52" i="24"/>
  <c r="CA67" i="24" s="1"/>
  <c r="I378" i="32"/>
  <c r="K612" i="24"/>
  <c r="C68" i="15"/>
  <c r="G68" i="15" s="1"/>
  <c r="C624" i="24"/>
  <c r="G245" i="32"/>
  <c r="G149" i="32"/>
  <c r="C47" i="15"/>
  <c r="G47" i="15" s="1"/>
  <c r="C700" i="24"/>
  <c r="C625" i="24"/>
  <c r="C63" i="15"/>
  <c r="I213" i="32"/>
  <c r="C50" i="8"/>
  <c r="D352" i="24"/>
  <c r="C103" i="8" s="1"/>
  <c r="F309" i="24"/>
  <c r="I181" i="32"/>
  <c r="C709" i="24"/>
  <c r="C56" i="15"/>
  <c r="E309" i="32"/>
  <c r="C80" i="15"/>
  <c r="G80" i="15" s="1"/>
  <c r="C621" i="24"/>
  <c r="G117" i="32"/>
  <c r="C40" i="15"/>
  <c r="G40" i="15" s="1"/>
  <c r="C693" i="24"/>
  <c r="F16" i="6"/>
  <c r="F234" i="24"/>
  <c r="F245" i="32"/>
  <c r="C67" i="15"/>
  <c r="G67" i="15" s="1"/>
  <c r="C633" i="24"/>
  <c r="E373" i="32"/>
  <c r="C94" i="15"/>
  <c r="G94" i="15" s="1"/>
  <c r="G277" i="32"/>
  <c r="C75" i="15"/>
  <c r="G75" i="15" s="1"/>
  <c r="C635" i="24"/>
  <c r="D245" i="32"/>
  <c r="C65" i="15"/>
  <c r="C630" i="24"/>
  <c r="BN2" i="30"/>
  <c r="C117" i="8"/>
  <c r="D366" i="24"/>
  <c r="H181" i="32"/>
  <c r="C55" i="15"/>
  <c r="G55" i="15" s="1"/>
  <c r="C708" i="24"/>
  <c r="C167" i="8"/>
  <c r="D50" i="33"/>
  <c r="E414" i="24"/>
  <c r="D712" i="34"/>
  <c r="D692" i="34"/>
  <c r="D672" i="34"/>
  <c r="D616" i="34"/>
  <c r="D701" i="34"/>
  <c r="D681" i="34"/>
  <c r="D710" i="34"/>
  <c r="D690" i="34"/>
  <c r="D670" i="34"/>
  <c r="D646" i="34"/>
  <c r="D697" i="34"/>
  <c r="D677" i="34"/>
  <c r="D716" i="34"/>
  <c r="D695" i="34"/>
  <c r="D675" i="34"/>
  <c r="D643" i="34"/>
  <c r="D638" i="34"/>
  <c r="D633" i="34"/>
  <c r="D702" i="34"/>
  <c r="D682" i="34"/>
  <c r="D645" i="34"/>
  <c r="D621" i="34"/>
  <c r="D709" i="34"/>
  <c r="D689" i="34"/>
  <c r="D669" i="34"/>
  <c r="D707" i="34"/>
  <c r="D687" i="34"/>
  <c r="D642" i="34"/>
  <c r="D637" i="34"/>
  <c r="D632" i="34"/>
  <c r="D630" i="34"/>
  <c r="D686" i="34"/>
  <c r="D634" i="34"/>
  <c r="D625" i="34"/>
  <c r="D683" i="34"/>
  <c r="D624" i="34"/>
  <c r="D706" i="34"/>
  <c r="D700" i="34"/>
  <c r="D680" i="34"/>
  <c r="D703" i="34"/>
  <c r="D641" i="34"/>
  <c r="D629" i="34"/>
  <c r="D623" i="34"/>
  <c r="D694" i="34"/>
  <c r="D674" i="34"/>
  <c r="D691" i="34"/>
  <c r="D688" i="34"/>
  <c r="D671" i="34"/>
  <c r="D668" i="34"/>
  <c r="D622" i="34"/>
  <c r="D636" i="34"/>
  <c r="D676" i="34"/>
  <c r="D647" i="34"/>
  <c r="D698" i="34"/>
  <c r="D693" i="34"/>
  <c r="D620" i="34"/>
  <c r="D711" i="34"/>
  <c r="D684" i="34"/>
  <c r="D635" i="34"/>
  <c r="D619" i="34"/>
  <c r="D640" i="34"/>
  <c r="D628" i="34"/>
  <c r="D679" i="34"/>
  <c r="D618" i="34"/>
  <c r="D617" i="34"/>
  <c r="D696" i="34"/>
  <c r="D627" i="34"/>
  <c r="D678" i="34"/>
  <c r="D685" i="34"/>
  <c r="D708" i="34"/>
  <c r="D631" i="34"/>
  <c r="D699" i="34"/>
  <c r="D639" i="34"/>
  <c r="D705" i="34"/>
  <c r="D704" i="34"/>
  <c r="D644" i="34"/>
  <c r="D713" i="34"/>
  <c r="D673" i="34"/>
  <c r="D626" i="34"/>
  <c r="C54" i="15"/>
  <c r="G181" i="32"/>
  <c r="C707" i="24"/>
  <c r="D85" i="32"/>
  <c r="C683" i="24"/>
  <c r="F21" i="32" l="1"/>
  <c r="C18" i="15"/>
  <c r="C671" i="24"/>
  <c r="H21" i="32"/>
  <c r="C20" i="15"/>
  <c r="G20" i="15" s="1"/>
  <c r="C673" i="24"/>
  <c r="C675" i="24"/>
  <c r="C22" i="15"/>
  <c r="G22" i="15" s="1"/>
  <c r="C691" i="24"/>
  <c r="C245" i="32"/>
  <c r="C681" i="24"/>
  <c r="C28" i="15"/>
  <c r="H28" i="15" s="1"/>
  <c r="I28" i="15" s="1"/>
  <c r="C32" i="15"/>
  <c r="G32" i="15" s="1"/>
  <c r="C33" i="15"/>
  <c r="G33" i="15" s="1"/>
  <c r="G85" i="32"/>
  <c r="F85" i="32"/>
  <c r="C682" i="24"/>
  <c r="C85" i="32"/>
  <c r="H20" i="15"/>
  <c r="I20" i="15" s="1"/>
  <c r="H245" i="32"/>
  <c r="C614" i="24"/>
  <c r="D615" i="24" s="1"/>
  <c r="C645" i="24"/>
  <c r="G341" i="32"/>
  <c r="C66" i="15"/>
  <c r="G66" i="15" s="1"/>
  <c r="C632" i="24"/>
  <c r="C64" i="15"/>
  <c r="C626" i="24"/>
  <c r="C82" i="15"/>
  <c r="G82" i="15" s="1"/>
  <c r="H15" i="15"/>
  <c r="I15" i="15" s="1"/>
  <c r="C59" i="15"/>
  <c r="G59" i="15" s="1"/>
  <c r="H213" i="32"/>
  <c r="C62" i="15"/>
  <c r="C618" i="24"/>
  <c r="C619" i="24"/>
  <c r="C309" i="32"/>
  <c r="C17" i="15"/>
  <c r="G17" i="15" s="1"/>
  <c r="C712" i="24"/>
  <c r="C83" i="15"/>
  <c r="G83" i="15" s="1"/>
  <c r="C37" i="15"/>
  <c r="G37" i="15" s="1"/>
  <c r="E21" i="32"/>
  <c r="C706" i="24"/>
  <c r="C53" i="15"/>
  <c r="G53" i="15" s="1"/>
  <c r="C27" i="15"/>
  <c r="G27" i="15" s="1"/>
  <c r="C680" i="24"/>
  <c r="I149" i="32"/>
  <c r="C90" i="15"/>
  <c r="G90" i="15" s="1"/>
  <c r="C646" i="24"/>
  <c r="C38" i="15"/>
  <c r="G38" i="15" s="1"/>
  <c r="C699" i="24"/>
  <c r="C696" i="24"/>
  <c r="C43" i="15"/>
  <c r="H43" i="15" s="1"/>
  <c r="I43" i="15" s="1"/>
  <c r="C49" i="15"/>
  <c r="G49" i="15" s="1"/>
  <c r="C46" i="15"/>
  <c r="G46" i="15" s="1"/>
  <c r="C77" i="15"/>
  <c r="G77" i="15" s="1"/>
  <c r="I277" i="32"/>
  <c r="C690" i="24"/>
  <c r="C695" i="24"/>
  <c r="C42" i="15"/>
  <c r="G42" i="15" s="1"/>
  <c r="C643" i="24"/>
  <c r="E341" i="32"/>
  <c r="C34" i="15"/>
  <c r="G34" i="15" s="1"/>
  <c r="C639" i="24"/>
  <c r="C687" i="24"/>
  <c r="C84" i="15"/>
  <c r="G84" i="15" s="1"/>
  <c r="C640" i="24"/>
  <c r="C642" i="24"/>
  <c r="C86" i="15"/>
  <c r="G86" i="15" s="1"/>
  <c r="D53" i="32"/>
  <c r="C58" i="15"/>
  <c r="G58" i="15" s="1"/>
  <c r="C711" i="24"/>
  <c r="C52" i="15"/>
  <c r="G52" i="15" s="1"/>
  <c r="C705" i="24"/>
  <c r="C697" i="24"/>
  <c r="C44" i="15"/>
  <c r="G44" i="15" s="1"/>
  <c r="C669" i="24"/>
  <c r="C620" i="24"/>
  <c r="C16" i="15"/>
  <c r="G16" i="15" s="1"/>
  <c r="C93" i="15"/>
  <c r="G93" i="15" s="1"/>
  <c r="C676" i="24"/>
  <c r="I85" i="32"/>
  <c r="C701" i="24"/>
  <c r="C26" i="15"/>
  <c r="G26" i="15" s="1"/>
  <c r="C181" i="32"/>
  <c r="C45" i="15"/>
  <c r="G45" i="15" s="1"/>
  <c r="G53" i="32"/>
  <c r="C641" i="24"/>
  <c r="D277" i="32"/>
  <c r="C629" i="24"/>
  <c r="C117" i="32"/>
  <c r="C85" i="15"/>
  <c r="G85" i="15" s="1"/>
  <c r="C70" i="15"/>
  <c r="G70" i="15" s="1"/>
  <c r="C35" i="15"/>
  <c r="G35" i="15" s="1"/>
  <c r="C703" i="24"/>
  <c r="C636" i="24"/>
  <c r="C689" i="24"/>
  <c r="C698" i="24"/>
  <c r="C92" i="15"/>
  <c r="G92" i="15" s="1"/>
  <c r="C373" i="32"/>
  <c r="C704" i="24"/>
  <c r="C617" i="24"/>
  <c r="C74" i="15"/>
  <c r="G74" i="15" s="1"/>
  <c r="C51" i="15"/>
  <c r="G51" i="15" s="1"/>
  <c r="C91" i="15"/>
  <c r="G91" i="15" s="1"/>
  <c r="I341" i="32"/>
  <c r="H149" i="32"/>
  <c r="C24" i="15"/>
  <c r="G24" i="15" s="1"/>
  <c r="E53" i="32"/>
  <c r="C21" i="15"/>
  <c r="G21" i="15" s="1"/>
  <c r="I21" i="32"/>
  <c r="C684" i="24"/>
  <c r="C31" i="15"/>
  <c r="G31" i="15" s="1"/>
  <c r="F117" i="32"/>
  <c r="C713" i="24"/>
  <c r="C60" i="15"/>
  <c r="C76" i="15"/>
  <c r="G76" i="15" s="1"/>
  <c r="C637" i="24"/>
  <c r="C41" i="15"/>
  <c r="G41" i="15" s="1"/>
  <c r="H117" i="32"/>
  <c r="C19" i="15"/>
  <c r="G19" i="15" s="1"/>
  <c r="G21" i="32"/>
  <c r="C71" i="15"/>
  <c r="G71" i="15" s="1"/>
  <c r="E277" i="32"/>
  <c r="C692" i="24"/>
  <c r="CE85" i="24"/>
  <c r="F53" i="32"/>
  <c r="C634" i="24"/>
  <c r="C25" i="15"/>
  <c r="G25" i="15" s="1"/>
  <c r="D177" i="32"/>
  <c r="E81" i="32"/>
  <c r="G337" i="32"/>
  <c r="C273" i="32"/>
  <c r="H241" i="32"/>
  <c r="D81" i="32"/>
  <c r="M77" i="31"/>
  <c r="C81" i="32"/>
  <c r="M16" i="31"/>
  <c r="M36" i="31"/>
  <c r="I145" i="32"/>
  <c r="M62" i="31"/>
  <c r="G273" i="32"/>
  <c r="M13" i="31"/>
  <c r="G49" i="32"/>
  <c r="M23" i="31"/>
  <c r="C113" i="32"/>
  <c r="M43" i="31"/>
  <c r="I177" i="32"/>
  <c r="M53" i="31"/>
  <c r="E241" i="32"/>
  <c r="M78" i="31"/>
  <c r="I337" i="32"/>
  <c r="M63" i="31"/>
  <c r="H273" i="32"/>
  <c r="M73" i="31"/>
  <c r="D337" i="32"/>
  <c r="M80" i="31"/>
  <c r="D369" i="32"/>
  <c r="M14" i="31"/>
  <c r="H49" i="32"/>
  <c r="M29" i="31"/>
  <c r="I113" i="32"/>
  <c r="M54" i="31"/>
  <c r="F241" i="32"/>
  <c r="M19" i="31"/>
  <c r="F81" i="32"/>
  <c r="M64" i="31"/>
  <c r="I273" i="32"/>
  <c r="M69" i="31"/>
  <c r="G305" i="32"/>
  <c r="M74" i="31"/>
  <c r="E337" i="32"/>
  <c r="G81" i="32"/>
  <c r="M20" i="31"/>
  <c r="F17" i="32"/>
  <c r="M5" i="31"/>
  <c r="M10" i="31"/>
  <c r="D49" i="32"/>
  <c r="M15" i="31"/>
  <c r="I49" i="32"/>
  <c r="H81" i="32"/>
  <c r="M21" i="31"/>
  <c r="M25" i="31"/>
  <c r="E113" i="32"/>
  <c r="M30" i="31"/>
  <c r="C145" i="32"/>
  <c r="H145" i="32"/>
  <c r="M35" i="31"/>
  <c r="M67" i="31"/>
  <c r="E305" i="32"/>
  <c r="M8" i="31"/>
  <c r="I17" i="32"/>
  <c r="M33" i="31"/>
  <c r="F145" i="32"/>
  <c r="G209" i="32"/>
  <c r="M48" i="31"/>
  <c r="M68" i="31"/>
  <c r="F305" i="32"/>
  <c r="M4" i="31"/>
  <c r="E17" i="32"/>
  <c r="M9" i="31"/>
  <c r="C49" i="32"/>
  <c r="M24" i="31"/>
  <c r="D113" i="32"/>
  <c r="M34" i="31"/>
  <c r="G145" i="32"/>
  <c r="C67" i="24"/>
  <c r="CE52" i="24"/>
  <c r="M44" i="31"/>
  <c r="C209" i="32"/>
  <c r="M49" i="31"/>
  <c r="H209" i="32"/>
  <c r="M22" i="31"/>
  <c r="I81" i="32"/>
  <c r="D209" i="32"/>
  <c r="M45" i="31"/>
  <c r="M50" i="31"/>
  <c r="I209" i="32"/>
  <c r="M55" i="31"/>
  <c r="G241" i="32"/>
  <c r="M39" i="31"/>
  <c r="E177" i="32"/>
  <c r="M65" i="31"/>
  <c r="C305" i="32"/>
  <c r="M70" i="31"/>
  <c r="H305" i="32"/>
  <c r="F337" i="32"/>
  <c r="M75" i="31"/>
  <c r="F177" i="32"/>
  <c r="M40" i="31"/>
  <c r="G17" i="32"/>
  <c r="M6" i="31"/>
  <c r="M11" i="31"/>
  <c r="E49" i="32"/>
  <c r="C337" i="32"/>
  <c r="M72" i="31"/>
  <c r="M3" i="31"/>
  <c r="D17" i="32"/>
  <c r="H113" i="32"/>
  <c r="M28" i="31"/>
  <c r="M41" i="31"/>
  <c r="G177" i="32"/>
  <c r="F113" i="32"/>
  <c r="M26" i="31"/>
  <c r="M31" i="31"/>
  <c r="D145" i="32"/>
  <c r="I241" i="32"/>
  <c r="M57" i="31"/>
  <c r="M59" i="31"/>
  <c r="D273" i="32"/>
  <c r="M46" i="31"/>
  <c r="E209" i="32"/>
  <c r="C241" i="32"/>
  <c r="M51" i="31"/>
  <c r="E273" i="32"/>
  <c r="M60" i="31"/>
  <c r="M66" i="31"/>
  <c r="D305" i="32"/>
  <c r="M71" i="31"/>
  <c r="I305" i="32"/>
  <c r="M61" i="31"/>
  <c r="F273" i="32"/>
  <c r="M7" i="31"/>
  <c r="H17" i="32"/>
  <c r="M12" i="31"/>
  <c r="F49" i="32"/>
  <c r="C369" i="32"/>
  <c r="M79" i="31"/>
  <c r="M27" i="31"/>
  <c r="G113" i="32"/>
  <c r="M32" i="31"/>
  <c r="E145" i="32"/>
  <c r="M42" i="31"/>
  <c r="H177" i="32"/>
  <c r="F209" i="32"/>
  <c r="M47" i="31"/>
  <c r="M52" i="31"/>
  <c r="D241" i="32"/>
  <c r="G65" i="15"/>
  <c r="H65" i="15"/>
  <c r="I65" i="15" s="1"/>
  <c r="E612" i="34"/>
  <c r="G36" i="15"/>
  <c r="H36" i="15"/>
  <c r="I36" i="15" s="1"/>
  <c r="G30" i="15"/>
  <c r="H30" i="15"/>
  <c r="I30" i="15" s="1"/>
  <c r="G18" i="15"/>
  <c r="H18" i="15"/>
  <c r="I18" i="15" s="1"/>
  <c r="G69" i="15"/>
  <c r="H69" i="15" s="1"/>
  <c r="I69" i="15" s="1"/>
  <c r="G54" i="15"/>
  <c r="H54" i="15"/>
  <c r="I54" i="15" s="1"/>
  <c r="C120" i="8"/>
  <c r="D367" i="24"/>
  <c r="G29" i="15"/>
  <c r="H29" i="15"/>
  <c r="I29" i="15" s="1"/>
  <c r="G39" i="15"/>
  <c r="H39" i="15"/>
  <c r="I39" i="15" s="1"/>
  <c r="G63" i="15"/>
  <c r="H63" i="15" s="1"/>
  <c r="G48" i="15"/>
  <c r="H48" i="15"/>
  <c r="I48" i="15" s="1"/>
  <c r="G56" i="15"/>
  <c r="H56" i="15"/>
  <c r="I56" i="15" s="1"/>
  <c r="D715" i="34"/>
  <c r="E623" i="34"/>
  <c r="H64" i="15" l="1"/>
  <c r="I64" i="15" s="1"/>
  <c r="C716" i="24"/>
  <c r="H33" i="15"/>
  <c r="I33" i="15" s="1"/>
  <c r="G28" i="15"/>
  <c r="G64" i="15"/>
  <c r="H17" i="15"/>
  <c r="I17" i="15" s="1"/>
  <c r="H42" i="15"/>
  <c r="I42" i="15" s="1"/>
  <c r="H38" i="15"/>
  <c r="I38" i="15" s="1"/>
  <c r="H37" i="15"/>
  <c r="I37" i="15" s="1"/>
  <c r="H27" i="15"/>
  <c r="I27" i="15" s="1"/>
  <c r="H34" i="15"/>
  <c r="I34" i="15" s="1"/>
  <c r="G43" i="15"/>
  <c r="H35" i="15"/>
  <c r="I35" i="15" s="1"/>
  <c r="H45" i="15"/>
  <c r="I45" i="15" s="1"/>
  <c r="H41" i="15"/>
  <c r="I41" i="15" s="1"/>
  <c r="C715" i="24"/>
  <c r="I373" i="32"/>
  <c r="C648" i="24"/>
  <c r="M716" i="24" s="1"/>
  <c r="M2" i="31"/>
  <c r="C17" i="32"/>
  <c r="CE67" i="24"/>
  <c r="I369" i="32" s="1"/>
  <c r="E701" i="34"/>
  <c r="E681" i="34"/>
  <c r="E710" i="34"/>
  <c r="E690" i="34"/>
  <c r="E670" i="34"/>
  <c r="E646" i="34"/>
  <c r="E699" i="34"/>
  <c r="E679" i="34"/>
  <c r="E641" i="34"/>
  <c r="E636" i="34"/>
  <c r="E631" i="34"/>
  <c r="E624" i="34"/>
  <c r="E708" i="34"/>
  <c r="E706" i="34"/>
  <c r="E686" i="34"/>
  <c r="E704" i="34"/>
  <c r="E684" i="34"/>
  <c r="E711" i="34"/>
  <c r="E691" i="34"/>
  <c r="E671" i="34"/>
  <c r="E640" i="34"/>
  <c r="E635" i="34"/>
  <c r="E630" i="34"/>
  <c r="E698" i="34"/>
  <c r="E678" i="34"/>
  <c r="E647" i="34"/>
  <c r="E626" i="34"/>
  <c r="E696" i="34"/>
  <c r="E676" i="34"/>
  <c r="E692" i="34"/>
  <c r="E689" i="34"/>
  <c r="E672" i="34"/>
  <c r="E669" i="34"/>
  <c r="E642" i="34"/>
  <c r="E638" i="34"/>
  <c r="E634" i="34"/>
  <c r="E625" i="34"/>
  <c r="E683" i="34"/>
  <c r="E700" i="34"/>
  <c r="E680" i="34"/>
  <c r="E703" i="34"/>
  <c r="E645" i="34"/>
  <c r="E629" i="34"/>
  <c r="E709" i="34"/>
  <c r="E697" i="34"/>
  <c r="E694" i="34"/>
  <c r="E677" i="34"/>
  <c r="E674" i="34"/>
  <c r="E637" i="34"/>
  <c r="E633" i="34"/>
  <c r="E712" i="34"/>
  <c r="E688" i="34"/>
  <c r="E668" i="34"/>
  <c r="E628" i="34"/>
  <c r="E702" i="34"/>
  <c r="E693" i="34"/>
  <c r="E707" i="34"/>
  <c r="E675" i="34"/>
  <c r="E716" i="34"/>
  <c r="E627" i="34"/>
  <c r="E705" i="34"/>
  <c r="E643" i="34"/>
  <c r="E685" i="34"/>
  <c r="E632" i="34"/>
  <c r="E639" i="34"/>
  <c r="E682" i="34"/>
  <c r="E673" i="34"/>
  <c r="E695" i="34"/>
  <c r="E644" i="34"/>
  <c r="E713" i="34"/>
  <c r="E687" i="34"/>
  <c r="D710" i="24"/>
  <c r="D699" i="24"/>
  <c r="D679" i="24"/>
  <c r="D641" i="24"/>
  <c r="D692" i="24"/>
  <c r="D716" i="24"/>
  <c r="D713" i="24"/>
  <c r="D697" i="24"/>
  <c r="D676" i="24"/>
  <c r="D628" i="24"/>
  <c r="D695" i="24"/>
  <c r="D674" i="24"/>
  <c r="D646" i="24"/>
  <c r="D693" i="24"/>
  <c r="D672" i="24"/>
  <c r="D691" i="24"/>
  <c r="D670" i="24"/>
  <c r="D668" i="24"/>
  <c r="D638" i="24"/>
  <c r="D633" i="24"/>
  <c r="D680" i="24"/>
  <c r="D625" i="24"/>
  <c r="D690" i="24"/>
  <c r="D635" i="24"/>
  <c r="D677" i="24"/>
  <c r="D632" i="24"/>
  <c r="D629" i="24"/>
  <c r="D704" i="24"/>
  <c r="D687" i="24"/>
  <c r="D647" i="24"/>
  <c r="D644" i="24"/>
  <c r="D701" i="24"/>
  <c r="D698" i="24"/>
  <c r="D682" i="24"/>
  <c r="D624" i="24"/>
  <c r="D707" i="24"/>
  <c r="D623" i="24"/>
  <c r="D622" i="24"/>
  <c r="D706" i="24"/>
  <c r="D689" i="24"/>
  <c r="D669" i="24"/>
  <c r="D643" i="24"/>
  <c r="D640" i="24"/>
  <c r="D703" i="24"/>
  <c r="D684" i="24"/>
  <c r="D637" i="24"/>
  <c r="D621" i="24"/>
  <c r="D700" i="24"/>
  <c r="D671" i="24"/>
  <c r="D631" i="24"/>
  <c r="D627" i="24"/>
  <c r="D620" i="24"/>
  <c r="D709" i="24"/>
  <c r="D634" i="24"/>
  <c r="D681" i="24"/>
  <c r="D685" i="24"/>
  <c r="D678" i="24"/>
  <c r="D636" i="24"/>
  <c r="D639" i="24"/>
  <c r="D675" i="24"/>
  <c r="D702" i="24"/>
  <c r="D642" i="24"/>
  <c r="D626" i="24"/>
  <c r="D683" i="24"/>
  <c r="D705" i="24"/>
  <c r="D712" i="24"/>
  <c r="D696" i="24"/>
  <c r="D619" i="24"/>
  <c r="D688" i="24"/>
  <c r="D616" i="24"/>
  <c r="D630" i="24"/>
  <c r="D708" i="24"/>
  <c r="D694" i="24"/>
  <c r="D618" i="24"/>
  <c r="D645" i="24"/>
  <c r="D617" i="24"/>
  <c r="D711" i="24"/>
  <c r="D686" i="24"/>
  <c r="D673" i="24"/>
  <c r="C121" i="8"/>
  <c r="D384" i="24"/>
  <c r="E715" i="34" l="1"/>
  <c r="F624" i="34"/>
  <c r="C138" i="8"/>
  <c r="D417" i="24"/>
  <c r="E612" i="24"/>
  <c r="D715" i="24"/>
  <c r="E623" i="24"/>
  <c r="E708" i="24" l="1"/>
  <c r="E688" i="24"/>
  <c r="E668" i="24"/>
  <c r="E690" i="24"/>
  <c r="E695" i="24"/>
  <c r="E674" i="24"/>
  <c r="E646" i="24"/>
  <c r="E693" i="24"/>
  <c r="E672" i="24"/>
  <c r="E691" i="24"/>
  <c r="E689" i="24"/>
  <c r="E643" i="24"/>
  <c r="E638" i="24"/>
  <c r="E635" i="24"/>
  <c r="E677" i="24"/>
  <c r="E632" i="24"/>
  <c r="E629" i="24"/>
  <c r="E704" i="24"/>
  <c r="E687" i="24"/>
  <c r="E647" i="24"/>
  <c r="E644" i="24"/>
  <c r="E641" i="24"/>
  <c r="E701" i="24"/>
  <c r="E698" i="24"/>
  <c r="E682" i="24"/>
  <c r="E624" i="24"/>
  <c r="F624" i="24" s="1"/>
  <c r="F633" i="24" s="1"/>
  <c r="E707" i="24"/>
  <c r="E710" i="24"/>
  <c r="E692" i="24"/>
  <c r="E681" i="24"/>
  <c r="E713" i="24"/>
  <c r="E679" i="24"/>
  <c r="E669" i="24"/>
  <c r="E640" i="24"/>
  <c r="E684" i="24"/>
  <c r="E637" i="24"/>
  <c r="E628" i="24"/>
  <c r="E709" i="24"/>
  <c r="E686" i="24"/>
  <c r="E676" i="24"/>
  <c r="E634" i="24"/>
  <c r="E703" i="24"/>
  <c r="E697" i="24"/>
  <c r="E694" i="24"/>
  <c r="E706" i="24"/>
  <c r="E700" i="24"/>
  <c r="E671" i="24"/>
  <c r="E631" i="24"/>
  <c r="E627" i="24"/>
  <c r="E712" i="24"/>
  <c r="E699" i="24"/>
  <c r="E716" i="24"/>
  <c r="E642" i="24"/>
  <c r="E626" i="24"/>
  <c r="E683" i="24"/>
  <c r="E670" i="24"/>
  <c r="E705" i="24"/>
  <c r="E696" i="24"/>
  <c r="E633" i="24"/>
  <c r="E685" i="24"/>
  <c r="E625" i="24"/>
  <c r="E675" i="24"/>
  <c r="E702" i="24"/>
  <c r="E630" i="24"/>
  <c r="E678" i="24"/>
  <c r="E636" i="24"/>
  <c r="E680" i="24"/>
  <c r="E639" i="24"/>
  <c r="E711" i="24"/>
  <c r="E673" i="24"/>
  <c r="E645" i="24"/>
  <c r="F710" i="34"/>
  <c r="F690" i="34"/>
  <c r="F670" i="34"/>
  <c r="F646" i="34"/>
  <c r="F699" i="34"/>
  <c r="F679" i="34"/>
  <c r="F641" i="34"/>
  <c r="F636" i="34"/>
  <c r="F631" i="34"/>
  <c r="F708" i="34"/>
  <c r="F688" i="34"/>
  <c r="F668" i="34"/>
  <c r="F628" i="34"/>
  <c r="F716" i="34"/>
  <c r="F695" i="34"/>
  <c r="F675" i="34"/>
  <c r="F643" i="34"/>
  <c r="F638" i="34"/>
  <c r="F633" i="34"/>
  <c r="F713" i="34"/>
  <c r="F693" i="34"/>
  <c r="F673" i="34"/>
  <c r="F627" i="34"/>
  <c r="F700" i="34"/>
  <c r="F680" i="34"/>
  <c r="F707" i="34"/>
  <c r="F687" i="34"/>
  <c r="F642" i="34"/>
  <c r="F637" i="34"/>
  <c r="F632" i="34"/>
  <c r="F705" i="34"/>
  <c r="F685" i="34"/>
  <c r="F686" i="34"/>
  <c r="F683" i="34"/>
  <c r="F706" i="34"/>
  <c r="F703" i="34"/>
  <c r="F645" i="34"/>
  <c r="F629" i="34"/>
  <c r="F709" i="34"/>
  <c r="F697" i="34"/>
  <c r="F694" i="34"/>
  <c r="F677" i="34"/>
  <c r="F674" i="34"/>
  <c r="F712" i="34"/>
  <c r="F691" i="34"/>
  <c r="F671" i="34"/>
  <c r="F676" i="34"/>
  <c r="F702" i="34"/>
  <c r="F672" i="34"/>
  <c r="F647" i="34"/>
  <c r="F698" i="34"/>
  <c r="F689" i="34"/>
  <c r="F630" i="34"/>
  <c r="F711" i="34"/>
  <c r="F684" i="34"/>
  <c r="F635" i="34"/>
  <c r="F640" i="34"/>
  <c r="F701" i="34"/>
  <c r="F696" i="34"/>
  <c r="F634" i="34"/>
  <c r="F692" i="34"/>
  <c r="F639" i="34"/>
  <c r="F678" i="34"/>
  <c r="F669" i="34"/>
  <c r="F682" i="34"/>
  <c r="F681" i="34"/>
  <c r="F704" i="34"/>
  <c r="F644" i="34"/>
  <c r="F625" i="34"/>
  <c r="F626" i="34"/>
  <c r="C168" i="8"/>
  <c r="D421" i="24"/>
  <c r="F642" i="24" l="1"/>
  <c r="F640" i="24"/>
  <c r="F638" i="24"/>
  <c r="F670" i="24"/>
  <c r="F672" i="24"/>
  <c r="F678" i="24"/>
  <c r="F676" i="24"/>
  <c r="F679" i="24"/>
  <c r="F695" i="24"/>
  <c r="F630" i="24"/>
  <c r="F675" i="24"/>
  <c r="F671" i="24"/>
  <c r="F647" i="24"/>
  <c r="F711" i="24"/>
  <c r="F641" i="24"/>
  <c r="F685" i="24"/>
  <c r="F709" i="24"/>
  <c r="F636" i="24"/>
  <c r="F700" i="24"/>
  <c r="F713" i="24"/>
  <c r="F639" i="24"/>
  <c r="F706" i="24"/>
  <c r="F629" i="24"/>
  <c r="F716" i="24"/>
  <c r="F702" i="24"/>
  <c r="F673" i="24"/>
  <c r="F632" i="24"/>
  <c r="F686" i="24"/>
  <c r="F691" i="24"/>
  <c r="F710" i="24"/>
  <c r="F707" i="24"/>
  <c r="F625" i="24"/>
  <c r="G625" i="24" s="1"/>
  <c r="F634" i="24"/>
  <c r="F690" i="24"/>
  <c r="F688" i="24"/>
  <c r="F712" i="24"/>
  <c r="F698" i="24"/>
  <c r="F628" i="24"/>
  <c r="F646" i="24"/>
  <c r="F682" i="24"/>
  <c r="F631" i="24"/>
  <c r="F635" i="24"/>
  <c r="F637" i="24"/>
  <c r="F687" i="24"/>
  <c r="F697" i="24"/>
  <c r="F645" i="24"/>
  <c r="F701" i="24"/>
  <c r="F705" i="24"/>
  <c r="F683" i="24"/>
  <c r="F643" i="24"/>
  <c r="F668" i="24"/>
  <c r="F708" i="24"/>
  <c r="F669" i="24"/>
  <c r="F692" i="24"/>
  <c r="F681" i="24"/>
  <c r="F694" i="24"/>
  <c r="F644" i="24"/>
  <c r="F704" i="24"/>
  <c r="F696" i="24"/>
  <c r="F627" i="24"/>
  <c r="F699" i="24"/>
  <c r="F674" i="24"/>
  <c r="F689" i="24"/>
  <c r="F680" i="24"/>
  <c r="F693" i="24"/>
  <c r="F703" i="24"/>
  <c r="F677" i="24"/>
  <c r="F626" i="24"/>
  <c r="F684" i="24"/>
  <c r="E715" i="24"/>
  <c r="C172" i="8"/>
  <c r="D424" i="24"/>
  <c r="C177" i="8" s="1"/>
  <c r="F715" i="34"/>
  <c r="G625" i="34"/>
  <c r="F715" i="24" l="1"/>
  <c r="G684" i="24"/>
  <c r="G695" i="24"/>
  <c r="G703" i="24"/>
  <c r="G636" i="24"/>
  <c r="G704" i="24"/>
  <c r="G682" i="24"/>
  <c r="G699" i="24"/>
  <c r="G710" i="24"/>
  <c r="G697" i="24"/>
  <c r="G711" i="24"/>
  <c r="G700" i="24"/>
  <c r="G672" i="24"/>
  <c r="G691" i="24"/>
  <c r="G707" i="24"/>
  <c r="G694" i="24"/>
  <c r="G632" i="24"/>
  <c r="G698" i="24"/>
  <c r="G706" i="24"/>
  <c r="G670" i="24"/>
  <c r="G692" i="24"/>
  <c r="G676" i="24"/>
  <c r="G678" i="24"/>
  <c r="G705" i="24"/>
  <c r="G690" i="24"/>
  <c r="G631" i="24"/>
  <c r="G702" i="24"/>
  <c r="G639" i="24"/>
  <c r="G708" i="24"/>
  <c r="G638" i="24"/>
  <c r="G679" i="24"/>
  <c r="G673" i="24"/>
  <c r="G630" i="24"/>
  <c r="G634" i="24"/>
  <c r="G644" i="24"/>
  <c r="G629" i="24"/>
  <c r="G646" i="24"/>
  <c r="G627" i="24"/>
  <c r="G633" i="24"/>
  <c r="G669" i="24"/>
  <c r="G645" i="24"/>
  <c r="G693" i="24"/>
  <c r="G635" i="24"/>
  <c r="G647" i="24"/>
  <c r="G686" i="24"/>
  <c r="G689" i="24"/>
  <c r="G640" i="24"/>
  <c r="G716" i="24"/>
  <c r="G680" i="24"/>
  <c r="G642" i="24"/>
  <c r="G643" i="24"/>
  <c r="G626" i="24"/>
  <c r="G677" i="24"/>
  <c r="G668" i="24"/>
  <c r="G713" i="24"/>
  <c r="G674" i="24"/>
  <c r="G681" i="24"/>
  <c r="G688" i="24"/>
  <c r="G687" i="24"/>
  <c r="G637" i="24"/>
  <c r="G696" i="24"/>
  <c r="G675" i="24"/>
  <c r="G712" i="24"/>
  <c r="G701" i="24"/>
  <c r="G685" i="24"/>
  <c r="G628" i="24"/>
  <c r="G683" i="24"/>
  <c r="G671" i="24"/>
  <c r="G641" i="24"/>
  <c r="G709" i="24"/>
  <c r="G699" i="34"/>
  <c r="G679" i="34"/>
  <c r="G641" i="34"/>
  <c r="G636" i="34"/>
  <c r="G631" i="34"/>
  <c r="G708" i="34"/>
  <c r="G688" i="34"/>
  <c r="G668" i="34"/>
  <c r="G628" i="34"/>
  <c r="G697" i="34"/>
  <c r="G677" i="34"/>
  <c r="G706" i="34"/>
  <c r="G704" i="34"/>
  <c r="G684" i="34"/>
  <c r="G702" i="34"/>
  <c r="G682" i="34"/>
  <c r="G645" i="34"/>
  <c r="G709" i="34"/>
  <c r="G689" i="34"/>
  <c r="G669" i="34"/>
  <c r="G696" i="34"/>
  <c r="G676" i="34"/>
  <c r="G694" i="34"/>
  <c r="G674" i="34"/>
  <c r="G629" i="34"/>
  <c r="G683" i="34"/>
  <c r="G703" i="34"/>
  <c r="G700" i="34"/>
  <c r="G680" i="34"/>
  <c r="G712" i="34"/>
  <c r="G637" i="34"/>
  <c r="G633" i="34"/>
  <c r="G691" i="34"/>
  <c r="G671" i="34"/>
  <c r="G685" i="34"/>
  <c r="G672" i="34"/>
  <c r="G647" i="34"/>
  <c r="G698" i="34"/>
  <c r="G693" i="34"/>
  <c r="G642" i="34"/>
  <c r="G630" i="34"/>
  <c r="G711" i="34"/>
  <c r="G707" i="34"/>
  <c r="G635" i="34"/>
  <c r="G640" i="34"/>
  <c r="G675" i="34"/>
  <c r="G646" i="34"/>
  <c r="G716" i="34"/>
  <c r="G701" i="34"/>
  <c r="G670" i="34"/>
  <c r="G634" i="34"/>
  <c r="G627" i="34"/>
  <c r="G705" i="34"/>
  <c r="G692" i="34"/>
  <c r="G639" i="34"/>
  <c r="G687" i="34"/>
  <c r="G644" i="34"/>
  <c r="G710" i="34"/>
  <c r="G632" i="34"/>
  <c r="G673" i="34"/>
  <c r="G626" i="34"/>
  <c r="G690" i="34"/>
  <c r="G638" i="34"/>
  <c r="G681" i="34"/>
  <c r="G678" i="34"/>
  <c r="G713" i="34"/>
  <c r="G686" i="34"/>
  <c r="G695" i="34"/>
  <c r="G643" i="34"/>
  <c r="G715" i="24" l="1"/>
  <c r="H628" i="24"/>
  <c r="H628" i="34"/>
  <c r="G715" i="34"/>
  <c r="H668" i="24" l="1"/>
  <c r="H684" i="24"/>
  <c r="H670" i="24"/>
  <c r="H686" i="24"/>
  <c r="H695" i="24"/>
  <c r="H643" i="24"/>
  <c r="H673" i="24"/>
  <c r="H687" i="24"/>
  <c r="H634" i="24"/>
  <c r="H705" i="24"/>
  <c r="H632" i="24"/>
  <c r="H669" i="24"/>
  <c r="H675" i="24"/>
  <c r="H639" i="24"/>
  <c r="H685" i="24"/>
  <c r="H700" i="24"/>
  <c r="H696" i="24"/>
  <c r="H672" i="24"/>
  <c r="H694" i="24"/>
  <c r="H692" i="24"/>
  <c r="H680" i="24"/>
  <c r="H636" i="24"/>
  <c r="H689" i="24"/>
  <c r="H683" i="24"/>
  <c r="H671" i="24"/>
  <c r="H690" i="24"/>
  <c r="H642" i="24"/>
  <c r="H645" i="24"/>
  <c r="H640" i="24"/>
  <c r="H631" i="24"/>
  <c r="H677" i="24"/>
  <c r="H676" i="24"/>
  <c r="H679" i="24"/>
  <c r="H697" i="24"/>
  <c r="H635" i="24"/>
  <c r="H681" i="24"/>
  <c r="H633" i="24"/>
  <c r="H641" i="24"/>
  <c r="H693" i="24"/>
  <c r="H713" i="24"/>
  <c r="H637" i="24"/>
  <c r="H630" i="24"/>
  <c r="H646" i="24"/>
  <c r="H704" i="24"/>
  <c r="H698" i="24"/>
  <c r="H709" i="24"/>
  <c r="H708" i="24"/>
  <c r="H691" i="24"/>
  <c r="H688" i="24"/>
  <c r="H707" i="24"/>
  <c r="H711" i="24"/>
  <c r="H638" i="24"/>
  <c r="H644" i="24"/>
  <c r="H701" i="24"/>
  <c r="H702" i="24"/>
  <c r="H699" i="24"/>
  <c r="H716" i="24"/>
  <c r="H674" i="24"/>
  <c r="H710" i="24"/>
  <c r="H703" i="24"/>
  <c r="H629" i="24"/>
  <c r="H706" i="24"/>
  <c r="H712" i="24"/>
  <c r="H647" i="24"/>
  <c r="H682" i="24"/>
  <c r="H678" i="24"/>
  <c r="H708" i="34"/>
  <c r="H688" i="34"/>
  <c r="H668" i="34"/>
  <c r="H697" i="34"/>
  <c r="H677" i="34"/>
  <c r="H706" i="34"/>
  <c r="H686" i="34"/>
  <c r="H716" i="34"/>
  <c r="H713" i="34"/>
  <c r="H693" i="34"/>
  <c r="H673" i="34"/>
  <c r="H711" i="34"/>
  <c r="H691" i="34"/>
  <c r="H671" i="34"/>
  <c r="H640" i="34"/>
  <c r="H635" i="34"/>
  <c r="H630" i="34"/>
  <c r="H698" i="34"/>
  <c r="H678" i="34"/>
  <c r="H647" i="34"/>
  <c r="H705" i="34"/>
  <c r="H685" i="34"/>
  <c r="H703" i="34"/>
  <c r="H683" i="34"/>
  <c r="H644" i="34"/>
  <c r="H639" i="34"/>
  <c r="H634" i="34"/>
  <c r="H700" i="34"/>
  <c r="H680" i="34"/>
  <c r="H645" i="34"/>
  <c r="H629" i="34"/>
  <c r="H712" i="34"/>
  <c r="H709" i="34"/>
  <c r="H694" i="34"/>
  <c r="H674" i="34"/>
  <c r="H637" i="34"/>
  <c r="H633" i="34"/>
  <c r="H641" i="34"/>
  <c r="H682" i="34"/>
  <c r="H702" i="34"/>
  <c r="H642" i="34"/>
  <c r="H707" i="34"/>
  <c r="H689" i="34"/>
  <c r="H684" i="34"/>
  <c r="H675" i="34"/>
  <c r="H679" i="34"/>
  <c r="H646" i="34"/>
  <c r="H701" i="34"/>
  <c r="H670" i="34"/>
  <c r="H696" i="34"/>
  <c r="H692" i="34"/>
  <c r="H687" i="34"/>
  <c r="H710" i="34"/>
  <c r="H669" i="34"/>
  <c r="H631" i="34"/>
  <c r="H699" i="34"/>
  <c r="H676" i="34"/>
  <c r="H690" i="34"/>
  <c r="H681" i="34"/>
  <c r="H638" i="34"/>
  <c r="H636" i="34"/>
  <c r="H695" i="34"/>
  <c r="H704" i="34"/>
  <c r="H632" i="34"/>
  <c r="H672" i="34"/>
  <c r="H643" i="34"/>
  <c r="H715" i="24" l="1"/>
  <c r="I629" i="24"/>
  <c r="H715" i="34"/>
  <c r="I629" i="34"/>
  <c r="I681" i="24" l="1"/>
  <c r="I712" i="24"/>
  <c r="I641" i="24"/>
  <c r="I716" i="24"/>
  <c r="I686" i="24"/>
  <c r="I640" i="24"/>
  <c r="I701" i="24"/>
  <c r="I635" i="24"/>
  <c r="I689" i="24"/>
  <c r="I687" i="24"/>
  <c r="I645" i="24"/>
  <c r="I697" i="24"/>
  <c r="I632" i="24"/>
  <c r="I682" i="24"/>
  <c r="I647" i="24"/>
  <c r="I644" i="24"/>
  <c r="I671" i="24"/>
  <c r="I695" i="24"/>
  <c r="I696" i="24"/>
  <c r="I675" i="24"/>
  <c r="I691" i="24"/>
  <c r="I630" i="24"/>
  <c r="I700" i="24"/>
  <c r="I676" i="24"/>
  <c r="I704" i="24"/>
  <c r="I710" i="24"/>
  <c r="I642" i="24"/>
  <c r="I699" i="24"/>
  <c r="I709" i="24"/>
  <c r="I698" i="24"/>
  <c r="I631" i="24"/>
  <c r="I633" i="24"/>
  <c r="I684" i="24"/>
  <c r="I692" i="24"/>
  <c r="I639" i="24"/>
  <c r="I672" i="24"/>
  <c r="I703" i="24"/>
  <c r="I670" i="24"/>
  <c r="I688" i="24"/>
  <c r="I680" i="24"/>
  <c r="I679" i="24"/>
  <c r="I646" i="24"/>
  <c r="I678" i="24"/>
  <c r="I713" i="24"/>
  <c r="I669" i="24"/>
  <c r="I673" i="24"/>
  <c r="I638" i="24"/>
  <c r="I674" i="24"/>
  <c r="I636" i="24"/>
  <c r="I693" i="24"/>
  <c r="I643" i="24"/>
  <c r="I702" i="24"/>
  <c r="I711" i="24"/>
  <c r="I677" i="24"/>
  <c r="I685" i="24"/>
  <c r="I683" i="24"/>
  <c r="I707" i="24"/>
  <c r="I637" i="24"/>
  <c r="I690" i="24"/>
  <c r="I668" i="24"/>
  <c r="I705" i="24"/>
  <c r="I634" i="24"/>
  <c r="I708" i="24"/>
  <c r="I706" i="24"/>
  <c r="I694" i="24"/>
  <c r="I697" i="34"/>
  <c r="I677" i="34"/>
  <c r="I706" i="34"/>
  <c r="I686" i="34"/>
  <c r="I716" i="34"/>
  <c r="I695" i="34"/>
  <c r="I675" i="34"/>
  <c r="I643" i="34"/>
  <c r="I638" i="34"/>
  <c r="I633" i="34"/>
  <c r="I704" i="34"/>
  <c r="I702" i="34"/>
  <c r="I682" i="34"/>
  <c r="I645" i="34"/>
  <c r="I700" i="34"/>
  <c r="I680" i="34"/>
  <c r="I707" i="34"/>
  <c r="I687" i="34"/>
  <c r="I642" i="34"/>
  <c r="I637" i="34"/>
  <c r="I632" i="34"/>
  <c r="I694" i="34"/>
  <c r="I674" i="34"/>
  <c r="I712" i="34"/>
  <c r="I692" i="34"/>
  <c r="I672" i="34"/>
  <c r="I703" i="34"/>
  <c r="I709" i="34"/>
  <c r="I641" i="34"/>
  <c r="I691" i="34"/>
  <c r="I671" i="34"/>
  <c r="I688" i="34"/>
  <c r="I668" i="34"/>
  <c r="I685" i="34"/>
  <c r="I644" i="34"/>
  <c r="I640" i="34"/>
  <c r="I698" i="34"/>
  <c r="I693" i="34"/>
  <c r="I689" i="34"/>
  <c r="I630" i="34"/>
  <c r="I711" i="34"/>
  <c r="I684" i="34"/>
  <c r="I635" i="34"/>
  <c r="I679" i="34"/>
  <c r="I646" i="34"/>
  <c r="I701" i="34"/>
  <c r="I670" i="34"/>
  <c r="I696" i="34"/>
  <c r="I634" i="34"/>
  <c r="I705" i="34"/>
  <c r="I639" i="34"/>
  <c r="I710" i="34"/>
  <c r="I683" i="34"/>
  <c r="I669" i="34"/>
  <c r="I631" i="34"/>
  <c r="I708" i="34"/>
  <c r="I699" i="34"/>
  <c r="I676" i="34"/>
  <c r="I690" i="34"/>
  <c r="I673" i="34"/>
  <c r="I647" i="34"/>
  <c r="I681" i="34"/>
  <c r="I636" i="34"/>
  <c r="I678" i="34"/>
  <c r="I713" i="34"/>
  <c r="I715" i="24" l="1"/>
  <c r="J630" i="24"/>
  <c r="I715" i="34"/>
  <c r="J630" i="34"/>
  <c r="J705" i="24" l="1"/>
  <c r="J637" i="24"/>
  <c r="J639" i="24"/>
  <c r="J701" i="24"/>
  <c r="J684" i="24"/>
  <c r="J645" i="24"/>
  <c r="J673" i="24"/>
  <c r="J703" i="24"/>
  <c r="J636" i="24"/>
  <c r="J668" i="24"/>
  <c r="J634" i="24"/>
  <c r="J698" i="24"/>
  <c r="J678" i="24"/>
  <c r="J695" i="24"/>
  <c r="J711" i="24"/>
  <c r="J642" i="24"/>
  <c r="J640" i="24"/>
  <c r="J687" i="24"/>
  <c r="J707" i="24"/>
  <c r="J670" i="24"/>
  <c r="J631" i="24"/>
  <c r="J675" i="24"/>
  <c r="J686" i="24"/>
  <c r="J716" i="24"/>
  <c r="J691" i="24"/>
  <c r="J699" i="24"/>
  <c r="J671" i="24"/>
  <c r="J690" i="24"/>
  <c r="J685" i="24"/>
  <c r="J635" i="24"/>
  <c r="J713" i="24"/>
  <c r="J644" i="24"/>
  <c r="J677" i="24"/>
  <c r="J676" i="24"/>
  <c r="J680" i="24"/>
  <c r="J679" i="24"/>
  <c r="J683" i="24"/>
  <c r="J689" i="24"/>
  <c r="J688" i="24"/>
  <c r="J646" i="24"/>
  <c r="J643" i="24"/>
  <c r="J694" i="24"/>
  <c r="J647" i="24"/>
  <c r="J700" i="24"/>
  <c r="J641" i="24"/>
  <c r="J632" i="24"/>
  <c r="J712" i="24"/>
  <c r="J708" i="24"/>
  <c r="J710" i="24"/>
  <c r="J692" i="24"/>
  <c r="J702" i="24"/>
  <c r="J706" i="24"/>
  <c r="J682" i="24"/>
  <c r="J697" i="24"/>
  <c r="J672" i="24"/>
  <c r="J638" i="24"/>
  <c r="J696" i="24"/>
  <c r="J669" i="24"/>
  <c r="J681" i="24"/>
  <c r="J704" i="24"/>
  <c r="J633" i="24"/>
  <c r="J693" i="24"/>
  <c r="J709" i="24"/>
  <c r="J674" i="24"/>
  <c r="J706" i="34"/>
  <c r="J686" i="34"/>
  <c r="J716" i="34"/>
  <c r="J695" i="34"/>
  <c r="J675" i="34"/>
  <c r="J643" i="34"/>
  <c r="J638" i="34"/>
  <c r="J633" i="34"/>
  <c r="J704" i="34"/>
  <c r="J684" i="34"/>
  <c r="J713" i="34"/>
  <c r="J711" i="34"/>
  <c r="J691" i="34"/>
  <c r="J671" i="34"/>
  <c r="J640" i="34"/>
  <c r="J635" i="34"/>
  <c r="J709" i="34"/>
  <c r="J689" i="34"/>
  <c r="J669" i="34"/>
  <c r="J696" i="34"/>
  <c r="J676" i="34"/>
  <c r="J703" i="34"/>
  <c r="J683" i="34"/>
  <c r="J644" i="34"/>
  <c r="J639" i="34"/>
  <c r="J634" i="34"/>
  <c r="J701" i="34"/>
  <c r="J681" i="34"/>
  <c r="J700" i="34"/>
  <c r="J680" i="34"/>
  <c r="J645" i="34"/>
  <c r="J712" i="34"/>
  <c r="J694" i="34"/>
  <c r="J674" i="34"/>
  <c r="J641" i="34"/>
  <c r="J637" i="34"/>
  <c r="J697" i="34"/>
  <c r="J677" i="34"/>
  <c r="J688" i="34"/>
  <c r="J668" i="34"/>
  <c r="J685" i="34"/>
  <c r="J682" i="34"/>
  <c r="J702" i="34"/>
  <c r="J636" i="34"/>
  <c r="J632" i="34"/>
  <c r="J707" i="34"/>
  <c r="J679" i="34"/>
  <c r="J646" i="34"/>
  <c r="J670" i="34"/>
  <c r="J705" i="34"/>
  <c r="J692" i="34"/>
  <c r="J710" i="34"/>
  <c r="J687" i="34"/>
  <c r="J678" i="34"/>
  <c r="J673" i="34"/>
  <c r="J693" i="34"/>
  <c r="J642" i="34"/>
  <c r="J631" i="34"/>
  <c r="J708" i="34"/>
  <c r="J699" i="34"/>
  <c r="J690" i="34"/>
  <c r="J647" i="34"/>
  <c r="J698" i="34"/>
  <c r="J672" i="34"/>
  <c r="K644" i="24" l="1"/>
  <c r="K685" i="24" s="1"/>
  <c r="L647" i="24"/>
  <c r="L707" i="24" s="1"/>
  <c r="K702" i="24"/>
  <c r="K669" i="24"/>
  <c r="K670" i="24"/>
  <c r="K705" i="24"/>
  <c r="K675" i="24"/>
  <c r="K676" i="24"/>
  <c r="K711" i="24"/>
  <c r="K706" i="24"/>
  <c r="K698" i="24"/>
  <c r="K680" i="24"/>
  <c r="K681" i="24"/>
  <c r="K692" i="24"/>
  <c r="K700" i="24"/>
  <c r="K688" i="24"/>
  <c r="L687" i="24"/>
  <c r="L708" i="24"/>
  <c r="J715" i="24"/>
  <c r="J715" i="34"/>
  <c r="L647" i="34"/>
  <c r="K644" i="34"/>
  <c r="K709" i="24" l="1"/>
  <c r="K679" i="24"/>
  <c r="K697" i="24"/>
  <c r="K716" i="24"/>
  <c r="L685" i="24"/>
  <c r="K699" i="24"/>
  <c r="L712" i="24"/>
  <c r="K693" i="24"/>
  <c r="M693" i="24" s="1"/>
  <c r="G55" i="32" s="1"/>
  <c r="L716" i="24"/>
  <c r="K704" i="24"/>
  <c r="L691" i="24"/>
  <c r="K708" i="24"/>
  <c r="M708" i="24" s="1"/>
  <c r="H183" i="32" s="1"/>
  <c r="L680" i="24"/>
  <c r="M680" i="24" s="1"/>
  <c r="H55" i="32" s="1"/>
  <c r="K710" i="24"/>
  <c r="L672" i="24"/>
  <c r="M672" i="24" s="1"/>
  <c r="G23" i="32" s="1"/>
  <c r="K691" i="24"/>
  <c r="L668" i="24"/>
  <c r="K689" i="24"/>
  <c r="L692" i="24"/>
  <c r="M692" i="24" s="1"/>
  <c r="F55" i="32" s="1"/>
  <c r="L697" i="24"/>
  <c r="L698" i="24"/>
  <c r="L673" i="24"/>
  <c r="K694" i="24"/>
  <c r="M694" i="24" s="1"/>
  <c r="H119" i="32" s="1"/>
  <c r="K671" i="24"/>
  <c r="L669" i="24"/>
  <c r="M669" i="24" s="1"/>
  <c r="D23" i="32" s="1"/>
  <c r="L681" i="24"/>
  <c r="M681" i="24" s="1"/>
  <c r="I55" i="32" s="1"/>
  <c r="K683" i="24"/>
  <c r="K684" i="24"/>
  <c r="M684" i="24" s="1"/>
  <c r="E87" i="32" s="1"/>
  <c r="L704" i="24"/>
  <c r="L676" i="24"/>
  <c r="M676" i="24" s="1"/>
  <c r="D55" i="32" s="1"/>
  <c r="K701" i="24"/>
  <c r="K674" i="24"/>
  <c r="L693" i="24"/>
  <c r="L711" i="24"/>
  <c r="M711" i="24" s="1"/>
  <c r="D215" i="32" s="1"/>
  <c r="K690" i="24"/>
  <c r="M690" i="24" s="1"/>
  <c r="D119" i="32" s="1"/>
  <c r="K707" i="24"/>
  <c r="L701" i="24"/>
  <c r="L709" i="24"/>
  <c r="K696" i="24"/>
  <c r="K682" i="24"/>
  <c r="L694" i="24"/>
  <c r="L695" i="24"/>
  <c r="K695" i="24"/>
  <c r="K713" i="24"/>
  <c r="L702" i="24"/>
  <c r="M702" i="24" s="1"/>
  <c r="I151" i="32" s="1"/>
  <c r="L713" i="24"/>
  <c r="K677" i="24"/>
  <c r="K668" i="24"/>
  <c r="L696" i="24"/>
  <c r="L690" i="24"/>
  <c r="K673" i="24"/>
  <c r="K712" i="24"/>
  <c r="M712" i="24" s="1"/>
  <c r="E215" i="32" s="1"/>
  <c r="L678" i="24"/>
  <c r="L677" i="24"/>
  <c r="M677" i="24" s="1"/>
  <c r="K687" i="24"/>
  <c r="M687" i="24" s="1"/>
  <c r="H87" i="32" s="1"/>
  <c r="K703" i="24"/>
  <c r="L710" i="24"/>
  <c r="L686" i="24"/>
  <c r="K678" i="24"/>
  <c r="K672" i="24"/>
  <c r="L670" i="24"/>
  <c r="M670" i="24" s="1"/>
  <c r="E23" i="32" s="1"/>
  <c r="L674" i="24"/>
  <c r="K686" i="24"/>
  <c r="M698" i="24"/>
  <c r="E151" i="32" s="1"/>
  <c r="L671" i="24"/>
  <c r="L689" i="24"/>
  <c r="M689" i="24" s="1"/>
  <c r="C119" i="32" s="1"/>
  <c r="L705" i="24"/>
  <c r="L682" i="24"/>
  <c r="M685" i="24"/>
  <c r="F87" i="32" s="1"/>
  <c r="L703" i="24"/>
  <c r="L688" i="24"/>
  <c r="M688" i="24" s="1"/>
  <c r="I87" i="32" s="1"/>
  <c r="M704" i="24"/>
  <c r="D183" i="32" s="1"/>
  <c r="M705" i="24"/>
  <c r="E183" i="32" s="1"/>
  <c r="L675" i="24"/>
  <c r="M675" i="24" s="1"/>
  <c r="C55" i="32" s="1"/>
  <c r="L679" i="24"/>
  <c r="M679" i="24" s="1"/>
  <c r="L683" i="24"/>
  <c r="L684" i="24"/>
  <c r="L700" i="24"/>
  <c r="M707" i="24"/>
  <c r="G183" i="32" s="1"/>
  <c r="M697" i="24"/>
  <c r="D151" i="32" s="1"/>
  <c r="L699" i="24"/>
  <c r="M683" i="24"/>
  <c r="D87" i="32" s="1"/>
  <c r="M700" i="24"/>
  <c r="G151" i="32" s="1"/>
  <c r="M696" i="24"/>
  <c r="C151" i="32" s="1"/>
  <c r="L706" i="24"/>
  <c r="M706" i="24" s="1"/>
  <c r="F183" i="32" s="1"/>
  <c r="M668" i="24"/>
  <c r="K716" i="34"/>
  <c r="K695" i="34"/>
  <c r="K675" i="34"/>
  <c r="K704" i="34"/>
  <c r="K684" i="34"/>
  <c r="K713" i="34"/>
  <c r="K693" i="34"/>
  <c r="K673" i="34"/>
  <c r="K702" i="34"/>
  <c r="K700" i="34"/>
  <c r="K680" i="34"/>
  <c r="K698" i="34"/>
  <c r="K678" i="34"/>
  <c r="K705" i="34"/>
  <c r="K685" i="34"/>
  <c r="K712" i="34"/>
  <c r="K692" i="34"/>
  <c r="K672" i="34"/>
  <c r="K710" i="34"/>
  <c r="K690" i="34"/>
  <c r="K670" i="34"/>
  <c r="K703" i="34"/>
  <c r="K709" i="34"/>
  <c r="K694" i="34"/>
  <c r="K674" i="34"/>
  <c r="K706" i="34"/>
  <c r="K697" i="34"/>
  <c r="K677" i="34"/>
  <c r="K691" i="34"/>
  <c r="K688" i="34"/>
  <c r="K671" i="34"/>
  <c r="K668" i="34"/>
  <c r="K682" i="34"/>
  <c r="K699" i="34"/>
  <c r="K679" i="34"/>
  <c r="K707" i="34"/>
  <c r="K689" i="34"/>
  <c r="K711" i="34"/>
  <c r="K701" i="34"/>
  <c r="K696" i="34"/>
  <c r="K687" i="34"/>
  <c r="K683" i="34"/>
  <c r="K669" i="34"/>
  <c r="K708" i="34"/>
  <c r="K676" i="34"/>
  <c r="K681" i="34"/>
  <c r="K686" i="34"/>
  <c r="L716" i="34"/>
  <c r="L704" i="34"/>
  <c r="L684" i="34"/>
  <c r="M684" i="34" s="1"/>
  <c r="L713" i="34"/>
  <c r="M713" i="34" s="1"/>
  <c r="L693" i="34"/>
  <c r="M693" i="34" s="1"/>
  <c r="L673" i="34"/>
  <c r="M673" i="34" s="1"/>
  <c r="L702" i="34"/>
  <c r="M702" i="34" s="1"/>
  <c r="L682" i="34"/>
  <c r="M682" i="34" s="1"/>
  <c r="L711" i="34"/>
  <c r="L709" i="34"/>
  <c r="M709" i="34" s="1"/>
  <c r="L689" i="34"/>
  <c r="M689" i="34" s="1"/>
  <c r="L669" i="34"/>
  <c r="M669" i="34" s="1"/>
  <c r="L707" i="34"/>
  <c r="M707" i="34" s="1"/>
  <c r="L687" i="34"/>
  <c r="M687" i="34" s="1"/>
  <c r="L694" i="34"/>
  <c r="L674" i="34"/>
  <c r="L701" i="34"/>
  <c r="L681" i="34"/>
  <c r="L699" i="34"/>
  <c r="L679" i="34"/>
  <c r="L712" i="34"/>
  <c r="L706" i="34"/>
  <c r="L697" i="34"/>
  <c r="M697" i="34" s="1"/>
  <c r="L677" i="34"/>
  <c r="M677" i="34" s="1"/>
  <c r="L691" i="34"/>
  <c r="M691" i="34" s="1"/>
  <c r="L688" i="34"/>
  <c r="M688" i="34" s="1"/>
  <c r="L671" i="34"/>
  <c r="M671" i="34" s="1"/>
  <c r="L668" i="34"/>
  <c r="L685" i="34"/>
  <c r="M685" i="34" s="1"/>
  <c r="L708" i="34"/>
  <c r="M708" i="34" s="1"/>
  <c r="L705" i="34"/>
  <c r="M705" i="34" s="1"/>
  <c r="L696" i="34"/>
  <c r="L676" i="34"/>
  <c r="M676" i="34" s="1"/>
  <c r="L680" i="34"/>
  <c r="L675" i="34"/>
  <c r="M675" i="34" s="1"/>
  <c r="L670" i="34"/>
  <c r="M670" i="34" s="1"/>
  <c r="L692" i="34"/>
  <c r="L710" i="34"/>
  <c r="L683" i="34"/>
  <c r="M683" i="34" s="1"/>
  <c r="L678" i="34"/>
  <c r="L700" i="34"/>
  <c r="M700" i="34" s="1"/>
  <c r="L690" i="34"/>
  <c r="L698" i="34"/>
  <c r="L695" i="34"/>
  <c r="M695" i="34" s="1"/>
  <c r="L703" i="34"/>
  <c r="M703" i="34" s="1"/>
  <c r="L672" i="34"/>
  <c r="L686" i="34"/>
  <c r="M686" i="34" s="1"/>
  <c r="M691" i="24" l="1"/>
  <c r="M699" i="24"/>
  <c r="F151" i="32" s="1"/>
  <c r="M713" i="24"/>
  <c r="F215" i="32" s="1"/>
  <c r="K715" i="24"/>
  <c r="M674" i="24"/>
  <c r="I23" i="32" s="1"/>
  <c r="M673" i="24"/>
  <c r="H23" i="32" s="1"/>
  <c r="M682" i="24"/>
  <c r="C87" i="32" s="1"/>
  <c r="M709" i="24"/>
  <c r="I183" i="32" s="1"/>
  <c r="M710" i="24"/>
  <c r="C215" i="32" s="1"/>
  <c r="M701" i="24"/>
  <c r="H151" i="32" s="1"/>
  <c r="M703" i="24"/>
  <c r="C183" i="32" s="1"/>
  <c r="M695" i="24"/>
  <c r="I119" i="32" s="1"/>
  <c r="M686" i="24"/>
  <c r="G87" i="32" s="1"/>
  <c r="M678" i="24"/>
  <c r="M671" i="24"/>
  <c r="F23" i="32" s="1"/>
  <c r="F119" i="32"/>
  <c r="G119" i="32"/>
  <c r="L715" i="24"/>
  <c r="C23" i="32"/>
  <c r="M690" i="34"/>
  <c r="M706" i="34"/>
  <c r="M704" i="34"/>
  <c r="M679" i="34"/>
  <c r="M699" i="34"/>
  <c r="K715" i="34"/>
  <c r="M712" i="34"/>
  <c r="M681" i="34"/>
  <c r="M696" i="34"/>
  <c r="M701" i="34"/>
  <c r="M674" i="34"/>
  <c r="M711" i="34"/>
  <c r="M710" i="34"/>
  <c r="M692" i="34"/>
  <c r="M694" i="34"/>
  <c r="L715" i="34"/>
  <c r="M668" i="34"/>
  <c r="M672" i="34"/>
  <c r="M698" i="34"/>
  <c r="M678" i="34"/>
  <c r="M680" i="34"/>
  <c r="E119" i="32" l="1"/>
  <c r="E55" i="32"/>
  <c r="M715" i="24"/>
  <c r="M7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tc={452A6BC4-AA22-4943-9AB7-D0AD91C4E0D1}</author>
    <author>tc={8F1C5DF6-2480-4C22-8BF4-0BDE3D79C7EC}</author>
    <author>tc={59A768A5-CB16-4562-9BAE-E1B6DB03EE14}</author>
    <author>tc={B69A7626-D8B5-45B5-87E2-319DB2A978AF}</author>
  </authors>
  <commentList>
    <comment ref="C215" authorId="0" shapeId="0" xr:uid="{452A6BC4-AA22-4943-9AB7-D0AD91C4E0D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Audit adjustment done after year end close for 2023
</t>
      </text>
    </comment>
    <comment ref="C216" authorId="1" shapeId="0" xr:uid="{8F1C5DF6-2480-4C22-8BF4-0BDE3D79C7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Audit adjustment done after 2023 YE close.
</t>
      </text>
    </comment>
    <comment ref="C228" authorId="2" shapeId="0" xr:uid="{59A768A5-CB16-4562-9BAE-E1B6DB03EE1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Audit adjustment done after YE close for 2023
</t>
      </text>
    </comment>
    <comment ref="C229" authorId="3" shapeId="0" xr:uid="{B69A7626-D8B5-45B5-87E2-319DB2A978A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Audit adjustment done after YE close for 2023
</t>
      </text>
    </comment>
  </commentList>
</comments>
</file>

<file path=xl/sharedStrings.xml><?xml version="1.0" encoding="utf-8"?>
<sst xmlns="http://schemas.openxmlformats.org/spreadsheetml/2006/main" count="4917" uniqueCount="1424">
  <si>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</si>
  <si>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</si>
  <si>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</si>
  <si>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</si>
  <si>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</si>
  <si>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</si>
  <si>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</si>
  <si>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</si>
  <si>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</si>
  <si>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</si>
  <si>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</si>
  <si>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</si>
  <si>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</si>
  <si>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</si>
  <si>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</si>
  <si>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</si>
  <si>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</si>
  <si>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</si>
  <si>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</si>
  <si>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</si>
  <si>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</si>
  <si>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</si>
  <si>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</si>
  <si>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</si>
  <si>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</si>
  <si>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</si>
  <si>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</si>
  <si>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</si>
  <si>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</si>
  <si>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</si>
  <si>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</si>
  <si>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</si>
  <si>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</si>
  <si>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</si>
  <si>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</si>
  <si>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</si>
  <si>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</si>
  <si>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</si>
  <si>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</si>
  <si>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</si>
  <si>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</si>
  <si>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</si>
  <si>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</si>
  <si>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</si>
  <si>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</si>
  <si>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</si>
  <si>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</si>
  <si>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</si>
  <si>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</si>
  <si>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</si>
  <si>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</si>
  <si>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</si>
  <si>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</si>
  <si>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</si>
  <si>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</si>
  <si>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</si>
  <si>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</si>
  <si>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</si>
  <si>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</si>
  <si>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</si>
  <si>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</si>
  <si>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</si>
  <si>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</si>
  <si>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</si>
  <si>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</si>
  <si>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</si>
  <si>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</si>
  <si>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</si>
  <si>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</si>
  <si>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</si>
  <si>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</si>
  <si>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</si>
  <si>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</si>
  <si>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</si>
  <si>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</si>
  <si>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</si>
  <si>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</si>
  <si>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</si>
  <si>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</si>
  <si>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</si>
  <si>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</si>
  <si>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</si>
  <si>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</si>
  <si>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</si>
  <si>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</si>
  <si>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</si>
  <si>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</si>
  <si>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</si>
  <si>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</si>
  <si>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</si>
  <si>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</si>
  <si>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</si>
  <si>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</si>
  <si>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</si>
  <si>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</si>
  <si>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</si>
  <si>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</si>
  <si>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</si>
  <si>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</si>
  <si>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</si>
  <si>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</si>
  <si>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</si>
  <si>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</si>
  <si>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</si>
  <si>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</si>
  <si>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</si>
  <si>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</si>
  <si>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</si>
  <si>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</si>
  <si>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</si>
  <si>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</si>
  <si>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</si>
  <si>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</si>
  <si>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</si>
  <si>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</si>
  <si>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</si>
  <si>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</si>
  <si>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</si>
  <si>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</si>
  <si>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</si>
  <si>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</si>
  <si>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</si>
  <si>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</si>
  <si>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</si>
  <si>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</si>
  <si>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</si>
  <si>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</si>
  <si>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</si>
  <si>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</si>
  <si>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</si>
  <si>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</si>
  <si>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</si>
  <si>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</si>
  <si>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</si>
  <si>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</si>
  <si>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</si>
  <si>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</si>
  <si>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</si>
  <si>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</si>
  <si>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</si>
  <si>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</si>
  <si>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</si>
  <si>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</si>
  <si>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</si>
  <si>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</si>
  <si>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</si>
  <si>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</si>
  <si>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</si>
  <si>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</si>
  <si>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</si>
  <si>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</si>
  <si>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</si>
  <si>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</si>
  <si>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</si>
  <si>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</si>
  <si>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</si>
  <si>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</si>
  <si>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</si>
  <si>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</si>
  <si>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</si>
  <si>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</si>
  <si>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</si>
  <si>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</si>
  <si>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</si>
  <si>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</si>
  <si>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</si>
  <si>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</si>
  <si>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</si>
  <si>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</si>
  <si>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</si>
  <si>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</si>
  <si>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</si>
  <si>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</si>
  <si>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</si>
  <si>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</si>
  <si>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</si>
  <si>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</si>
  <si>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</si>
  <si>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</si>
  <si>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</si>
  <si>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</si>
  <si>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</si>
  <si>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</si>
  <si>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</si>
  <si>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</si>
  <si>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</si>
  <si>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</si>
  <si>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</si>
  <si>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</si>
  <si>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</si>
  <si>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</si>
  <si>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</si>
  <si>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</si>
  <si>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</si>
  <si>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</si>
  <si>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</si>
  <si>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</si>
  <si>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</si>
  <si>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</si>
  <si>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</si>
  <si>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</si>
  <si>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</si>
  <si>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</si>
  <si>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</si>
  <si>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</si>
  <si>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</si>
  <si>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</si>
  <si>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</si>
  <si>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</si>
  <si>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</si>
  <si>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</si>
  <si>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</si>
  <si>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</si>
  <si>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</si>
  <si>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</si>
  <si>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</si>
  <si>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</si>
  <si>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</si>
  <si>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</si>
  <si>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</si>
  <si>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</si>
  <si>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</si>
  <si>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</si>
  <si>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</si>
  <si>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</si>
  <si>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</si>
  <si>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</si>
  <si>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</si>
  <si>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</si>
  <si>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</si>
  <si>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</si>
  <si>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</si>
  <si>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</si>
  <si>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</si>
  <si>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</si>
  <si>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</si>
  <si>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</si>
  <si>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</si>
  <si>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</si>
  <si>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</si>
  <si>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</si>
  <si>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</si>
  <si>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</si>
  <si>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</si>
  <si>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</si>
  <si>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</si>
  <si>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</si>
  <si>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</si>
  <si>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</si>
  <si>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</si>
  <si>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</si>
  <si>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</si>
  <si>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</si>
  <si>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</si>
  <si>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</si>
  <si>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</si>
  <si>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</si>
  <si>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</si>
  <si>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</si>
  <si>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</si>
  <si>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</si>
  <si>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</si>
  <si>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</si>
  <si>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</si>
  <si>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</si>
  <si>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</si>
  <si>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</si>
  <si>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</si>
  <si>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</si>
  <si>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</si>
  <si>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</si>
  <si>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</si>
  <si>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</si>
  <si>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</si>
  <si>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</si>
  <si>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</si>
  <si>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</si>
  <si>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</si>
  <si>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</si>
  <si>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</si>
  <si>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</si>
  <si>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</si>
  <si>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</si>
  <si>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</si>
  <si>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</si>
  <si>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</si>
  <si>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</si>
  <si>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</si>
  <si>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</si>
  <si>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</si>
  <si>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</si>
  <si>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</si>
  <si>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</si>
  <si>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</si>
  <si>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</si>
  <si>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</si>
  <si>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</si>
  <si>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</si>
  <si>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</si>
  <si>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</si>
  <si>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058</t>
  </si>
  <si>
    <t>Hospital Name</t>
  </si>
  <si>
    <t xml:space="preserve">YAKIMA VALLEY MEMORIAL </t>
  </si>
  <si>
    <t>Mailing Address</t>
  </si>
  <si>
    <t>2811 TIETON DRIVE</t>
  </si>
  <si>
    <t>City</t>
  </si>
  <si>
    <t>YAKIMA</t>
  </si>
  <si>
    <t>State</t>
  </si>
  <si>
    <t>WASHINGTON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</si>
  <si>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</si>
  <si>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</si>
  <si>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</si>
  <si>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</si>
  <si>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</si>
  <si>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</si>
  <si>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(509) 575-8000</t>
  </si>
  <si>
    <t>Facsimile Number</t>
  </si>
  <si>
    <t>(509) 575-8863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</si>
  <si>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</si>
  <si>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</si>
  <si>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</si>
  <si>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</si>
  <si>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</si>
  <si>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</si>
  <si>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</si>
  <si>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</si>
  <si>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</si>
  <si>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</si>
  <si>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</si>
  <si>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</si>
  <si>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</si>
  <si>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</si>
  <si>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</si>
  <si>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</si>
  <si>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</si>
  <si>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</si>
  <si>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</si>
  <si>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</si>
  <si>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</si>
  <si>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</si>
  <si>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</si>
  <si>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</si>
  <si>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</si>
  <si>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</si>
  <si>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</si>
  <si>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</si>
  <si>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</si>
  <si>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</si>
  <si>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</si>
  <si>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</si>
  <si>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</si>
  <si>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</si>
  <si>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</si>
  <si>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</si>
  <si>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</si>
  <si>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</si>
  <si>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</si>
  <si>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</si>
  <si>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</si>
  <si>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</si>
  <si>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</si>
  <si>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</si>
  <si>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</si>
  <si>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</si>
  <si>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</si>
  <si>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</si>
  <si>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</si>
  <si>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</si>
  <si>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</si>
  <si>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</si>
  <si>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</si>
  <si>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</si>
  <si>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</si>
  <si>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</si>
  <si>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</si>
  <si>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</si>
  <si>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</si>
  <si>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</si>
  <si>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</si>
  <si>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</si>
  <si>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</si>
  <si>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</si>
  <si>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</si>
  <si>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</si>
  <si>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</si>
  <si>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</si>
  <si>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</si>
  <si>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</si>
  <si>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</si>
  <si>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</si>
  <si>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</si>
  <si>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</si>
  <si>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</si>
  <si>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</si>
  <si>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</si>
  <si>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</si>
  <si>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</si>
  <si>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</si>
  <si>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</si>
  <si>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</si>
  <si>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</si>
  <si>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</si>
  <si>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</si>
  <si>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</si>
  <si>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</si>
  <si>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</si>
  <si>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</si>
  <si>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</si>
  <si>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</si>
  <si>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</si>
  <si>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</si>
  <si>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</si>
  <si>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</si>
  <si>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</si>
  <si>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</si>
  <si>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</si>
  <si>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</si>
  <si>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</si>
  <si>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</si>
  <si>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</si>
  <si>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</si>
  <si>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</si>
  <si>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</si>
  <si>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</si>
  <si>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</si>
  <si>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</si>
  <si>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</si>
  <si>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</si>
  <si>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</si>
  <si>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</si>
  <si>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</si>
  <si>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</si>
  <si>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</si>
  <si>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</si>
  <si>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</si>
  <si>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</si>
  <si>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</si>
  <si>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</si>
  <si>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</si>
  <si>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</si>
  <si>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</si>
  <si>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</si>
  <si>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</si>
  <si>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</si>
  <si>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</si>
  <si>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</si>
  <si>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</si>
  <si>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</si>
  <si>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</si>
  <si>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</si>
  <si>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</si>
  <si>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</si>
  <si>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</si>
  <si>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</si>
  <si>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</si>
  <si>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</si>
  <si>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</si>
  <si>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</si>
  <si>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</si>
  <si>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</si>
  <si>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</si>
  <si>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</si>
  <si>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</si>
  <si>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</si>
  <si>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</si>
  <si>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</si>
  <si>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</si>
  <si>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</si>
  <si>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</si>
  <si>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</si>
  <si>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</si>
  <si>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</si>
  <si>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</si>
  <si>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</si>
  <si>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</si>
  <si>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</si>
  <si>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</si>
  <si>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</si>
  <si>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</si>
  <si>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</si>
  <si>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</si>
  <si>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</si>
  <si>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</si>
  <si>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</si>
  <si>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</si>
  <si>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</si>
  <si>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</si>
  <si>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</si>
  <si>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</si>
  <si>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</si>
  <si>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</si>
  <si>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</si>
  <si>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</si>
  <si>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</si>
  <si>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</si>
  <si>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</si>
  <si>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</si>
  <si>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</si>
  <si>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</si>
  <si>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</si>
  <si>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</si>
  <si>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</si>
  <si>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</si>
  <si>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</si>
  <si>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</si>
  <si>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</si>
  <si>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</si>
  <si>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</si>
  <si>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</si>
  <si>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</si>
  <si>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</si>
  <si>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</si>
  <si>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</si>
  <si>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</si>
  <si>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</si>
  <si>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</si>
  <si>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</si>
  <si>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</si>
  <si>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</si>
  <si>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</si>
  <si>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</si>
  <si>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</si>
  <si>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</si>
  <si>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</si>
  <si>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</si>
  <si>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</si>
  <si>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</si>
  <si>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</si>
  <si>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</si>
  <si>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</si>
  <si>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</si>
  <si>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</si>
  <si>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</si>
  <si>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</si>
  <si>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</si>
  <si>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</si>
  <si>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</si>
  <si>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</si>
  <si>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</si>
  <si>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</si>
  <si>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</si>
  <si>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</si>
  <si>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</si>
  <si>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</si>
  <si>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</si>
  <si>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</si>
  <si>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</si>
  <si>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</si>
  <si>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</si>
  <si>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</si>
  <si>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</si>
  <si>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</si>
  <si>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</si>
  <si>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</si>
  <si>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</si>
  <si>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</si>
  <si>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</si>
  <si>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</si>
  <si>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</si>
  <si>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</si>
  <si>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</si>
  <si>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</si>
  <si>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</si>
  <si>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</si>
  <si>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</si>
  <si>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</si>
  <si>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</si>
  <si>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</si>
  <si>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</si>
  <si>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</si>
  <si>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</si>
  <si>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</si>
  <si>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</si>
  <si>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</si>
  <si>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</si>
  <si>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</si>
  <si>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</si>
  <si>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</si>
  <si>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</si>
  <si>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</si>
  <si>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</si>
  <si>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</si>
  <si>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</si>
  <si>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</si>
  <si>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</si>
  <si>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</si>
  <si>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</si>
  <si>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</si>
  <si>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</si>
  <si>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</si>
  <si>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</si>
  <si>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</si>
  <si>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</si>
  <si>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</si>
  <si>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</si>
  <si>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</si>
  <si>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</si>
  <si>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</si>
  <si>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</si>
  <si>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</si>
  <si>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</si>
  <si>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</si>
  <si>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</si>
  <si>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</si>
  <si>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</si>
  <si>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</si>
  <si>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</si>
  <si>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</si>
  <si>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</si>
  <si>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</si>
  <si>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</si>
  <si>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</si>
  <si>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</si>
  <si>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</si>
  <si>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</si>
  <si>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</si>
  <si>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</si>
  <si>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</si>
  <si>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</si>
  <si>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</si>
  <si>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</si>
  <si>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</si>
  <si>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</si>
  <si>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</si>
  <si>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</si>
  <si>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</si>
  <si>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</si>
  <si>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</si>
  <si>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</si>
  <si>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</si>
  <si>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</si>
  <si>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</si>
  <si>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</si>
  <si>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</si>
  <si>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</si>
  <si>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</si>
  <si>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</si>
  <si>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</si>
  <si>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</si>
  <si>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</si>
  <si>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</si>
  <si>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</si>
  <si>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</si>
  <si>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</si>
  <si>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</si>
  <si>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</si>
  <si>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</si>
  <si>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</si>
  <si>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</si>
  <si>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</si>
  <si>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</si>
  <si>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</si>
  <si>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</si>
  <si>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</si>
  <si>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</si>
  <si>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</si>
  <si>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</si>
  <si>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</si>
  <si>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</si>
  <si>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</si>
  <si>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</si>
  <si>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</si>
  <si>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</si>
  <si>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</si>
  <si>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</si>
  <si>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</si>
  <si>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</si>
  <si>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</si>
  <si>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</si>
  <si>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</si>
  <si>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</si>
  <si>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</si>
  <si>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</si>
  <si>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</si>
  <si>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</si>
  <si>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</si>
  <si>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</si>
  <si>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</si>
  <si>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</si>
  <si>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</si>
  <si>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</si>
  <si>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</si>
  <si>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</si>
  <si>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</si>
  <si>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</si>
  <si>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</si>
  <si>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</si>
  <si>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</si>
  <si>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</si>
  <si>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</si>
  <si>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</si>
  <si>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</si>
  <si>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</si>
  <si>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</si>
  <si>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</si>
  <si>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</si>
  <si>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</si>
  <si>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</si>
  <si>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</si>
  <si>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</si>
  <si>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</si>
  <si>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</si>
  <si>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</si>
  <si>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</si>
  <si>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</si>
  <si>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</si>
  <si>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</si>
  <si>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</si>
  <si>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</si>
  <si>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</si>
  <si>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</si>
  <si>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</si>
  <si>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</si>
  <si>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</si>
  <si>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</si>
  <si>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</si>
  <si>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</si>
  <si>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</si>
  <si>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</si>
  <si>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</si>
  <si>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</si>
  <si>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</si>
  <si>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</si>
  <si>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</si>
  <si>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</si>
  <si>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</si>
  <si>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</si>
  <si>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</si>
  <si>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</si>
  <si>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</si>
  <si>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</si>
  <si>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</si>
  <si>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</si>
  <si>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</si>
  <si>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</si>
  <si>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</si>
  <si>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</si>
  <si>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</si>
  <si>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</si>
  <si>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</si>
  <si>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</si>
  <si>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</si>
  <si>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</si>
  <si>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</si>
  <si>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</si>
  <si>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</si>
  <si>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</si>
  <si>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</si>
  <si>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</si>
  <si>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</si>
  <si>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</si>
  <si>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</si>
  <si>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</si>
  <si>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</si>
  <si>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</si>
  <si>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</si>
  <si>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</si>
  <si>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</si>
  <si>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</si>
  <si>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</si>
  <si>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</si>
  <si>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</si>
  <si>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</si>
  <si>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</si>
  <si>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</si>
  <si>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</si>
  <si>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</si>
  <si>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</si>
  <si>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</si>
  <si>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</si>
  <si>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</si>
  <si>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</si>
  <si>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</si>
  <si>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</si>
  <si>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</si>
  <si>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</si>
  <si>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</si>
  <si>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</si>
  <si>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</si>
  <si>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</si>
  <si>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</si>
  <si>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</si>
  <si>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</si>
  <si>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</si>
  <si>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</si>
  <si>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</si>
  <si>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</si>
  <si>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</si>
  <si>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</si>
  <si>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</si>
  <si>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</si>
  <si>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</si>
  <si>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</si>
  <si>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</si>
  <si>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</si>
  <si>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</si>
  <si>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</si>
  <si>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</si>
  <si>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</si>
  <si>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</si>
  <si>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</si>
  <si>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</si>
  <si>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</si>
  <si>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</si>
  <si>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</si>
  <si>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</si>
  <si>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</si>
  <si>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</si>
  <si>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</si>
  <si>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</si>
  <si>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</si>
  <si>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</si>
  <si>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</si>
  <si>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</si>
  <si>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</si>
  <si>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</si>
  <si>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</si>
  <si>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</si>
  <si>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</si>
  <si>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</si>
  <si>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</si>
  <si>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</si>
  <si>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</si>
  <si>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</si>
  <si>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</si>
  <si>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</si>
  <si>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</si>
  <si>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</si>
  <si>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</si>
  <si>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</si>
  <si>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</si>
  <si>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</si>
  <si>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</si>
  <si>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</si>
  <si>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</si>
  <si>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</si>
  <si>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</si>
  <si>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</si>
  <si>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</si>
  <si>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</si>
  <si>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</si>
  <si>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</si>
  <si>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</si>
  <si>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</si>
  <si>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</si>
  <si>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</si>
  <si>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</si>
  <si>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</si>
  <si>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</si>
  <si>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</si>
  <si>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</si>
  <si>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</si>
  <si>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</si>
  <si>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</si>
  <si>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</si>
  <si>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</si>
  <si>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</si>
  <si>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</si>
  <si>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</si>
  <si>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</si>
  <si>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</si>
  <si>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</si>
  <si>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</si>
  <si>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</si>
  <si>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</si>
  <si>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</si>
  <si>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</si>
  <si>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</si>
  <si>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</si>
  <si>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</si>
  <si>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</si>
  <si>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</si>
  <si>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</si>
  <si>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</si>
  <si>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</si>
  <si>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</si>
  <si>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</si>
  <si>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</si>
  <si>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</si>
  <si>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</si>
  <si>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</si>
  <si>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</si>
  <si>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</si>
  <si>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</si>
  <si>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</si>
  <si>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</si>
  <si>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</si>
  <si>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</si>
  <si>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</si>
  <si>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</si>
  <si>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</si>
  <si>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</si>
  <si>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</si>
  <si>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</si>
  <si>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</si>
  <si>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</si>
  <si>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</si>
  <si>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</si>
  <si>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</si>
  <si>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</si>
  <si>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</si>
  <si>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</si>
  <si>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</si>
  <si>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</si>
  <si>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</si>
  <si>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</si>
  <si>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</si>
  <si>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</si>
  <si>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</si>
  <si>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</si>
  <si>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</si>
  <si>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</si>
  <si>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</si>
  <si>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</si>
  <si>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</si>
  <si>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</si>
  <si>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</si>
  <si>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</si>
  <si>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</si>
  <si>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</si>
  <si>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</si>
  <si>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</si>
  <si>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</si>
  <si>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</si>
  <si>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</si>
  <si>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</si>
  <si>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</si>
  <si>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</si>
  <si>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</si>
  <si>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</si>
  <si>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</si>
  <si>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</si>
  <si>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</si>
  <si>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</si>
  <si>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</si>
  <si>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</si>
  <si>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</si>
  <si>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</si>
  <si>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</si>
  <si>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</si>
  <si>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</si>
  <si>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</si>
  <si>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</si>
  <si>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</si>
  <si>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</si>
  <si>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</si>
  <si>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</si>
  <si>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</si>
  <si>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</si>
  <si>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</si>
  <si>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</si>
  <si>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</si>
  <si>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</si>
  <si>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</si>
  <si>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</si>
  <si>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</si>
  <si>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</si>
  <si>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</si>
  <si>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</si>
  <si>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</si>
  <si>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</si>
  <si>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</si>
  <si>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</si>
  <si>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</si>
  <si>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</si>
  <si>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</si>
  <si>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</si>
  <si>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</si>
  <si>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</si>
  <si>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</si>
  <si>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</si>
  <si>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</si>
  <si>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</si>
  <si>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</si>
  <si>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</si>
  <si>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</si>
  <si>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</si>
  <si>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</si>
  <si>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</si>
  <si>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</si>
  <si>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</si>
  <si>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</si>
  <si>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</si>
  <si>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</si>
  <si>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</si>
  <si>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</si>
  <si>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</si>
  <si>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</si>
  <si>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</si>
  <si>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</si>
  <si>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</si>
  <si>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</si>
  <si>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</si>
  <si>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</si>
  <si>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</si>
  <si>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</si>
  <si>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</si>
  <si>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</si>
  <si>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</si>
  <si>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</si>
  <si>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</si>
  <si>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</si>
  <si>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</si>
  <si>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</si>
  <si>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</si>
  <si>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</si>
  <si>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</si>
  <si>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</si>
  <si>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</si>
  <si>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</si>
  <si>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</si>
  <si>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</si>
  <si>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</si>
  <si>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</si>
  <si>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</si>
  <si>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</si>
  <si>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</si>
  <si>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</si>
  <si>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</si>
  <si>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</si>
  <si>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</si>
  <si>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</si>
  <si>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</si>
  <si>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</si>
  <si>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</si>
  <si>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</si>
  <si>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</si>
  <si>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</si>
  <si>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</si>
  <si>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</si>
  <si>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</si>
  <si>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</si>
  <si>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</si>
  <si>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</si>
  <si>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</si>
  <si>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</si>
  <si>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</si>
  <si>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</si>
  <si>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</si>
  <si>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</si>
  <si>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</si>
  <si>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</si>
  <si>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</si>
  <si>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</si>
  <si>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</si>
  <si>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</si>
  <si>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</si>
  <si>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</si>
  <si>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</si>
  <si>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</si>
  <si>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</si>
  <si>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</si>
  <si>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</si>
  <si>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</si>
  <si>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</si>
  <si>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</si>
  <si>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</si>
  <si>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TAMMY BUYOK</t>
  </si>
  <si>
    <t>VACANT</t>
  </si>
  <si>
    <t>DAVE HARGREAVES</t>
  </si>
  <si>
    <t>ANNE BEAUVAIS</t>
  </si>
  <si>
    <t>ANNE.BEAUVAIS@MULTICARE.ORG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</si>
  <si>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</si>
  <si>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</si>
  <si>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</si>
  <si>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</si>
  <si>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</si>
  <si>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</si>
  <si>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</si>
  <si>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</si>
  <si>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</si>
  <si>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</si>
  <si>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</si>
  <si>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</si>
  <si>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</si>
  <si>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</si>
  <si>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</si>
  <si>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</si>
  <si>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</si>
  <si>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</si>
  <si>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</si>
  <si>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</si>
  <si>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</si>
  <si>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</si>
  <si>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</si>
  <si>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</si>
  <si>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</si>
  <si>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</si>
  <si>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</si>
  <si>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</si>
  <si>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</si>
  <si>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</si>
  <si>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</si>
  <si>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</si>
  <si>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</si>
  <si>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</si>
  <si>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</si>
  <si>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</si>
  <si>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</si>
  <si>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</si>
  <si>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</si>
  <si>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</si>
  <si>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</si>
  <si>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</si>
  <si>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</si>
  <si>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</si>
  <si>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</si>
  <si>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</si>
  <si>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</si>
  <si>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</si>
  <si>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</si>
  <si>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</si>
  <si>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</si>
  <si>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</si>
  <si>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</si>
  <si>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</si>
  <si>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</si>
  <si>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</si>
  <si>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</si>
  <si>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</si>
  <si>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</si>
  <si>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</si>
  <si>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</si>
  <si>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</si>
  <si>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</si>
  <si>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</si>
  <si>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</si>
  <si>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</si>
  <si>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</si>
  <si>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</si>
  <si>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</si>
  <si>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</si>
  <si>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</si>
  <si>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</si>
  <si>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</si>
  <si>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</si>
  <si>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</si>
  <si>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</si>
  <si>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</si>
  <si>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</si>
  <si>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</si>
  <si>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</si>
  <si>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</si>
  <si>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</si>
  <si>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</si>
  <si>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</si>
  <si>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</si>
  <si>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</si>
  <si>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</si>
  <si>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</si>
  <si>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</si>
  <si>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</si>
  <si>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</si>
  <si>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</si>
  <si>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</si>
  <si>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</si>
  <si>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</si>
  <si>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</si>
  <si>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</si>
  <si>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</si>
  <si>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</si>
  <si>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</si>
  <si>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</si>
  <si>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</si>
  <si>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</si>
  <si>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</si>
  <si>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</si>
  <si>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</si>
  <si>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</si>
  <si>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</si>
  <si>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</si>
  <si>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</si>
  <si>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</si>
  <si>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</si>
  <si>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</si>
  <si>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</si>
  <si>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</si>
  <si>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</si>
  <si>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</si>
  <si>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</si>
  <si>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</si>
  <si>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</si>
  <si>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</si>
  <si>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</si>
  <si>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</si>
  <si>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</si>
  <si>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</si>
  <si>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</si>
  <si>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</si>
  <si>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</si>
  <si>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</si>
  <si>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</si>
  <si>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</si>
  <si>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</si>
  <si>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</si>
  <si>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</si>
  <si>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</si>
  <si>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</si>
  <si>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</si>
  <si>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</si>
  <si>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</si>
  <si>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</si>
  <si>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</si>
  <si>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</si>
  <si>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</si>
  <si>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</si>
  <si>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</si>
  <si>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</si>
  <si>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</si>
  <si>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</si>
  <si>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</si>
  <si>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</si>
  <si>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</si>
  <si>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</si>
  <si>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</si>
  <si>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</si>
  <si>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</si>
  <si>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</si>
  <si>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</si>
  <si>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</si>
  <si>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</si>
  <si>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</si>
  <si>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</si>
  <si>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</si>
  <si>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</si>
  <si>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</si>
  <si>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</si>
  <si>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</si>
  <si>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</si>
  <si>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</si>
  <si>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</si>
  <si>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</si>
  <si>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</si>
  <si>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</si>
  <si>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</si>
  <si>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</si>
  <si>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</si>
  <si>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</si>
  <si>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</si>
  <si>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</si>
  <si>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</si>
  <si>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</si>
  <si>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</si>
  <si>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</si>
  <si>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</si>
  <si>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</si>
  <si>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</si>
  <si>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</si>
  <si>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</si>
  <si>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</si>
  <si>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</si>
  <si>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</si>
  <si>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</si>
  <si>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</si>
  <si>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</si>
  <si>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</si>
  <si>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</si>
  <si>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</si>
  <si>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</si>
  <si>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</si>
  <si>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</si>
  <si>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</si>
  <si>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</si>
  <si>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</si>
  <si>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</si>
  <si>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</si>
  <si>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</si>
  <si>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</si>
  <si>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</si>
  <si>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</si>
  <si>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</si>
  <si>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</si>
  <si>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</si>
  <si>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</si>
  <si>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</si>
  <si>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</si>
  <si>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</si>
  <si>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</si>
  <si>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</si>
  <si>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</si>
  <si>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</si>
  <si>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</si>
  <si>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</si>
  <si>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</si>
  <si>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</si>
  <si>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</si>
  <si>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</si>
  <si>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</si>
  <si>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</si>
  <si>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</si>
  <si>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</si>
  <si>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</si>
  <si>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</si>
  <si>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</si>
  <si>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</si>
  <si>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</si>
  <si>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</si>
  <si>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</si>
  <si>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</si>
  <si>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</si>
  <si>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</si>
  <si>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</si>
  <si>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</si>
  <si>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</si>
  <si>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</si>
  <si>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</si>
  <si>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</si>
  <si>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</si>
  <si>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</si>
  <si>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</si>
  <si>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</si>
  <si>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</si>
  <si>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</si>
  <si>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</si>
  <si>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</si>
  <si>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</si>
  <si>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</si>
  <si>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</si>
  <si>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</si>
  <si>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</si>
  <si>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</si>
  <si>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</si>
  <si>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</si>
  <si>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</si>
  <si>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</si>
  <si>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</si>
  <si>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</si>
  <si>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</si>
  <si>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</si>
  <si>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</si>
  <si>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</si>
  <si>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</si>
  <si>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</si>
  <si>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</si>
  <si>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</si>
  <si>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</si>
  <si>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</si>
  <si>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</si>
  <si>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</si>
  <si>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</si>
  <si>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</si>
  <si>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</si>
  <si>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</si>
  <si>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</si>
  <si>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</si>
  <si>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</si>
  <si>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</si>
  <si>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</si>
  <si>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</si>
  <si>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</si>
  <si>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</si>
  <si>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</si>
  <si>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</si>
  <si>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</si>
  <si>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</si>
  <si>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</si>
  <si>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</si>
  <si>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</si>
  <si>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</si>
  <si>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</si>
  <si>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</si>
  <si>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</si>
  <si>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</si>
  <si>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</si>
  <si>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</si>
  <si>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</si>
  <si>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</si>
  <si>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</si>
  <si>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MAX OWENS</t>
  </si>
  <si>
    <t>DAVID HARGREAVES</t>
  </si>
  <si>
    <t>Cancer Trials</t>
  </si>
  <si>
    <t>Childbirth Education</t>
  </si>
  <si>
    <t>Compliance</t>
  </si>
  <si>
    <t>Childrens Village</t>
  </si>
  <si>
    <t>Cornerstone Clinic</t>
  </si>
  <si>
    <t>Finance</t>
  </si>
  <si>
    <t>Hospitalist</t>
  </si>
  <si>
    <t>Interpreting Classes</t>
  </si>
  <si>
    <t>IT</t>
  </si>
  <si>
    <t>Lab</t>
  </si>
  <si>
    <t>Med Staff dues</t>
  </si>
  <si>
    <t>Nutrition</t>
  </si>
  <si>
    <t>Orthopedics Northwest</t>
  </si>
  <si>
    <t>Surgery</t>
  </si>
  <si>
    <t>Outreach &amp; education</t>
  </si>
  <si>
    <t>Security</t>
  </si>
  <si>
    <t>Supply Chain rebates</t>
  </si>
  <si>
    <t>Valley Imaging</t>
  </si>
  <si>
    <t>FEMA</t>
  </si>
  <si>
    <t>Safety Net</t>
  </si>
  <si>
    <t>YVFWC - MB</t>
  </si>
  <si>
    <t>Unknown - posted by MHS</t>
  </si>
  <si>
    <t>Gain/loss on disposal</t>
  </si>
  <si>
    <t>Vending Machines</t>
  </si>
  <si>
    <t>FDN Net Assets Released from Restriction</t>
  </si>
  <si>
    <t>Non FFS Contra Commercial</t>
  </si>
  <si>
    <t>Non FFS Contra Medicaid</t>
  </si>
  <si>
    <t>Advertising</t>
  </si>
  <si>
    <t>Books and Subscritions</t>
  </si>
  <si>
    <t>Cash Over/Short</t>
  </si>
  <si>
    <t>Client Support Funds</t>
  </si>
  <si>
    <t>Dues</t>
  </si>
  <si>
    <t>Foundation Funding</t>
  </si>
  <si>
    <t>Fuel</t>
  </si>
  <si>
    <t>Hazardous Waste</t>
  </si>
  <si>
    <t>Medical Gases</t>
  </si>
  <si>
    <t>Medical Waste</t>
  </si>
  <si>
    <t>Penalties</t>
  </si>
  <si>
    <t>Postage</t>
  </si>
  <si>
    <t>Provider CME</t>
  </si>
  <si>
    <t>Retreats &amp; Planning</t>
  </si>
  <si>
    <t>Staff Education</t>
  </si>
  <si>
    <t>Trash Removal</t>
  </si>
  <si>
    <t>Travel</t>
  </si>
  <si>
    <t>Vehicles</t>
  </si>
  <si>
    <t>Amortization</t>
  </si>
  <si>
    <t>Health Equity</t>
  </si>
  <si>
    <t>Foundation</t>
  </si>
  <si>
    <t>Non Operating</t>
  </si>
  <si>
    <t>Yakima Urology Reimbursement</t>
  </si>
  <si>
    <t>Orthopedics NW Reimbursement</t>
  </si>
  <si>
    <t xml:space="preserve">This is due to increase in cost of food and also change in accounting system and how things are accounted for.  </t>
  </si>
  <si>
    <t>Signature of Chief Financial Officer</t>
  </si>
  <si>
    <t>Max Owens, MBA, FHFMA, FACHE/CFO Yakima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</si>
</sst>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2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8" fontId="26" fillId="29" borderId="14" xfId="0" applyNumberFormat="1" applyFont="1" applyFill="1" applyBorder="1" applyProtection="1"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ne Beauvais" id="{1284D9C5-6E46-4088-980C-38946C60881F}" userId="S::anne0030@multicare.org::e253a86c-5a44-423a-9678-c19c6ff749f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5" dT="2025-05-16T16:13:51.81" personId="{1284D9C5-6E46-4088-980C-38946C60881F}" id="{452A6BC4-AA22-4943-9AB7-D0AD91C4E0D1}">
    <text xml:space="preserve">Audit adjustment done after year end close for 2023
</text>
  </threadedComment>
  <threadedComment ref="C216" dT="2025-05-16T16:14:43.21" personId="{1284D9C5-6E46-4088-980C-38946C60881F}" id="{8F1C5DF6-2480-4C22-8BF4-0BDE3D79C7EC}">
    <text xml:space="preserve">Audit adjustment done after 2023 YE close.
</text>
  </threadedComment>
  <threadedComment ref="C228" dT="2025-05-16T16:25:00.84" personId="{1284D9C5-6E46-4088-980C-38946C60881F}" id="{59A768A5-CB16-4562-9BAE-E1B6DB03EE14}">
    <text xml:space="preserve">Audit adjustment done after YE close for 2023
</text>
  </threadedComment>
  <threadedComment ref="C229" dT="2025-05-16T16:25:24.82" personId="{1284D9C5-6E46-4088-980C-38946C60881F}" id="{B69A7626-D8B5-45B5-87E2-319DB2A978AF}">
    <text xml:space="preserve">Audit adjustment done after YE close for 2023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7" Type="http://schemas.microsoft.com/office/2017/10/relationships/threadedComment" Target="../threadedComments/threadedComment1.xm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ANNE.BEAUVAIS@multicar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112" zoomScaleNormal="112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47152289.990000002</v>
      </c>
      <c r="C47" s="273">
        <v>1414851.04</v>
      </c>
      <c r="D47" s="273"/>
      <c r="E47" s="273">
        <v>5595808.9199999999</v>
      </c>
      <c r="F47" s="273">
        <v>1204880.53</v>
      </c>
      <c r="G47" s="273"/>
      <c r="H47" s="273">
        <v>803490.87</v>
      </c>
      <c r="I47" s="273"/>
      <c r="J47" s="273"/>
      <c r="K47" s="273"/>
      <c r="L47" s="273"/>
      <c r="M47" s="273"/>
      <c r="N47" s="273"/>
      <c r="O47" s="273">
        <v>1338181.8700000001</v>
      </c>
      <c r="P47" s="273">
        <v>2904968.55</v>
      </c>
      <c r="Q47" s="273">
        <v>1279286.6599999999</v>
      </c>
      <c r="R47" s="273">
        <v>1295747.83</v>
      </c>
      <c r="S47" s="273">
        <v>395705.59</v>
      </c>
      <c r="T47" s="273">
        <v>284497.86</v>
      </c>
      <c r="U47" s="273">
        <v>1510269.15</v>
      </c>
      <c r="V47" s="273">
        <v>22136</v>
      </c>
      <c r="W47" s="273">
        <v>278397</v>
      </c>
      <c r="X47" s="273">
        <v>399177.22</v>
      </c>
      <c r="Y47" s="273">
        <v>1170833.21</v>
      </c>
      <c r="Z47" s="273">
        <v>337910.53</v>
      </c>
      <c r="AA47" s="273">
        <v>122151.32</v>
      </c>
      <c r="AB47" s="273">
        <v>2287782.5</v>
      </c>
      <c r="AC47" s="273">
        <v>377027.45</v>
      </c>
      <c r="AD47" s="273"/>
      <c r="AE47" s="273">
        <v>758078.71</v>
      </c>
      <c r="AF47" s="273"/>
      <c r="AG47" s="273">
        <v>2222068.9500000002</v>
      </c>
      <c r="AH47" s="273"/>
      <c r="AI47" s="273"/>
      <c r="AJ47" s="273">
        <v>9298195.25</v>
      </c>
      <c r="AK47" s="273"/>
      <c r="AL47" s="273">
        <v>289855.51</v>
      </c>
      <c r="AM47" s="273"/>
      <c r="AN47" s="273"/>
      <c r="AO47" s="273"/>
      <c r="AP47" s="273"/>
      <c r="AQ47" s="273"/>
      <c r="AR47" s="273">
        <v>1786155.91</v>
      </c>
      <c r="AS47" s="273"/>
      <c r="AT47" s="273"/>
      <c r="AU47" s="273"/>
      <c r="AV47" s="273">
        <v>4211699.37</v>
      </c>
      <c r="AW47" s="273">
        <v>19270.12</v>
      </c>
      <c r="AX47" s="273"/>
      <c r="AY47" s="273">
        <v>696578.14</v>
      </c>
      <c r="AZ47" s="273">
        <v>276536.40999999997</v>
      </c>
      <c r="BA47" s="273">
        <v>37844.339999999997</v>
      </c>
      <c r="BB47" s="273"/>
      <c r="BC47" s="273"/>
      <c r="BD47" s="273">
        <v>420153.14</v>
      </c>
      <c r="BE47" s="273">
        <v>383465.86</v>
      </c>
      <c r="BF47" s="273">
        <v>989405.71</v>
      </c>
      <c r="BG47" s="273">
        <v>61515.39</v>
      </c>
      <c r="BH47" s="273">
        <v>502555.31</v>
      </c>
      <c r="BI47" s="273">
        <v>6863.4</v>
      </c>
      <c r="BJ47" s="273">
        <v>178189.12</v>
      </c>
      <c r="BK47" s="273">
        <v>1009589.17</v>
      </c>
      <c r="BL47" s="273">
        <v>1254904.08</v>
      </c>
      <c r="BM47" s="273">
        <v>251712.38</v>
      </c>
      <c r="BN47" s="273">
        <v>248112.14</v>
      </c>
      <c r="BO47" s="273">
        <v>36.979999999999997</v>
      </c>
      <c r="BP47" s="273">
        <v>14940.85</v>
      </c>
      <c r="BQ47" s="273"/>
      <c r="BR47" s="273">
        <v>473479</v>
      </c>
      <c r="BS47" s="273">
        <v>19742.59</v>
      </c>
      <c r="BT47" s="273">
        <v>23411.29</v>
      </c>
      <c r="BU47" s="273"/>
      <c r="BV47" s="273">
        <v>1022123.84</v>
      </c>
      <c r="BW47" s="273">
        <v>168695.87</v>
      </c>
      <c r="BX47" s="273">
        <v>1218835.07</v>
      </c>
      <c r="BY47" s="273">
        <v>314685.33</v>
      </c>
      <c r="BZ47" s="273">
        <v>544353.66</v>
      </c>
      <c r="CA47" s="273"/>
      <c r="CB47" s="273"/>
      <c r="CC47" s="273">
        <v>-4573866.34</v>
      </c>
      <c r="CD47" s="16"/>
      <c r="CE47" s="25">
        <f>SUM(C47:CC47)</f>
        <v>47152290.649999991</v>
      </c>
    </row>
    <row r="48" spans="1:83" x14ac:dyDescent="0.25">
      <c r="A48" s="25" t="s">
        <v>231</v>
      </c>
      <c r="B48" s="272">
        <v>133684.42000000001</v>
      </c>
      <c r="C48" s="25">
        <f t="shared" ref="C48:AH48" si="0">IF($B$48,(ROUND((($B$48/$CE$61)*C61),0)))</f>
        <v>3389</v>
      </c>
      <c r="D48" s="25">
        <f t="shared" si="0"/>
        <v>0</v>
      </c>
      <c r="E48" s="25">
        <f t="shared" si="0"/>
        <v>13717</v>
      </c>
      <c r="F48" s="25">
        <f t="shared" si="0"/>
        <v>2810</v>
      </c>
      <c r="G48" s="25">
        <f t="shared" si="0"/>
        <v>0</v>
      </c>
      <c r="H48" s="25">
        <f t="shared" si="0"/>
        <v>2115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3086</v>
      </c>
      <c r="P48" s="25">
        <f t="shared" si="0"/>
        <v>6536</v>
      </c>
      <c r="Q48" s="25">
        <f t="shared" si="0"/>
        <v>3000</v>
      </c>
      <c r="R48" s="25">
        <f t="shared" si="0"/>
        <v>7816</v>
      </c>
      <c r="S48" s="25">
        <f t="shared" si="0"/>
        <v>689</v>
      </c>
      <c r="T48" s="25">
        <f t="shared" si="0"/>
        <v>715</v>
      </c>
      <c r="U48" s="25">
        <f t="shared" si="0"/>
        <v>2522</v>
      </c>
      <c r="V48" s="25">
        <f t="shared" si="0"/>
        <v>41</v>
      </c>
      <c r="W48" s="25">
        <f t="shared" si="0"/>
        <v>600</v>
      </c>
      <c r="X48" s="25">
        <f t="shared" si="0"/>
        <v>839</v>
      </c>
      <c r="Y48" s="25">
        <f t="shared" si="0"/>
        <v>2256</v>
      </c>
      <c r="Z48" s="25">
        <f t="shared" si="0"/>
        <v>738</v>
      </c>
      <c r="AA48" s="25">
        <f t="shared" si="0"/>
        <v>274</v>
      </c>
      <c r="AB48" s="25">
        <f t="shared" si="0"/>
        <v>4891</v>
      </c>
      <c r="AC48" s="25">
        <f t="shared" si="0"/>
        <v>881</v>
      </c>
      <c r="AD48" s="25">
        <f t="shared" si="0"/>
        <v>0</v>
      </c>
      <c r="AE48" s="25">
        <f t="shared" si="0"/>
        <v>1617</v>
      </c>
      <c r="AF48" s="25">
        <f t="shared" si="0"/>
        <v>0</v>
      </c>
      <c r="AG48" s="25">
        <f t="shared" si="0"/>
        <v>7021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26732</v>
      </c>
      <c r="AK48" s="25">
        <f t="shared" si="1"/>
        <v>0</v>
      </c>
      <c r="AL48" s="25">
        <f t="shared" si="1"/>
        <v>641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4148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15003</v>
      </c>
      <c r="AW48" s="25">
        <f t="shared" si="1"/>
        <v>1</v>
      </c>
      <c r="AX48" s="25">
        <f t="shared" si="1"/>
        <v>0</v>
      </c>
      <c r="AY48" s="25">
        <f t="shared" si="1"/>
        <v>1023</v>
      </c>
      <c r="AZ48" s="25">
        <f t="shared" si="1"/>
        <v>553</v>
      </c>
      <c r="BA48" s="25">
        <f t="shared" si="1"/>
        <v>61</v>
      </c>
      <c r="BB48" s="25">
        <f t="shared" si="1"/>
        <v>0</v>
      </c>
      <c r="BC48" s="25">
        <f t="shared" si="1"/>
        <v>0</v>
      </c>
      <c r="BD48" s="25">
        <f t="shared" si="1"/>
        <v>701</v>
      </c>
      <c r="BE48" s="25">
        <f t="shared" si="1"/>
        <v>735</v>
      </c>
      <c r="BF48" s="25">
        <f t="shared" si="1"/>
        <v>1563</v>
      </c>
      <c r="BG48" s="25">
        <f t="shared" si="1"/>
        <v>104</v>
      </c>
      <c r="BH48" s="25">
        <f t="shared" si="1"/>
        <v>922</v>
      </c>
      <c r="BI48" s="25">
        <f t="shared" si="1"/>
        <v>15</v>
      </c>
      <c r="BJ48" s="25">
        <f t="shared" si="1"/>
        <v>342</v>
      </c>
      <c r="BK48" s="25">
        <f t="shared" si="1"/>
        <v>1653</v>
      </c>
      <c r="BL48" s="25">
        <f t="shared" si="1"/>
        <v>2052</v>
      </c>
      <c r="BM48" s="25">
        <f t="shared" si="1"/>
        <v>572</v>
      </c>
      <c r="BN48" s="25">
        <f t="shared" si="1"/>
        <v>482</v>
      </c>
      <c r="BO48" s="25">
        <f t="shared" ref="BO48:CD48" si="2">IF($B$48,(ROUND((($B$48/$CE$61)*BO61),0)))</f>
        <v>0</v>
      </c>
      <c r="BP48" s="25">
        <f t="shared" si="2"/>
        <v>36</v>
      </c>
      <c r="BQ48" s="25">
        <f t="shared" si="2"/>
        <v>0</v>
      </c>
      <c r="BR48" s="25">
        <f t="shared" si="2"/>
        <v>1011</v>
      </c>
      <c r="BS48" s="25">
        <f t="shared" si="2"/>
        <v>34</v>
      </c>
      <c r="BT48" s="25">
        <f t="shared" si="2"/>
        <v>42</v>
      </c>
      <c r="BU48" s="25">
        <f t="shared" si="2"/>
        <v>0</v>
      </c>
      <c r="BV48" s="25">
        <f t="shared" si="2"/>
        <v>1616</v>
      </c>
      <c r="BW48" s="25">
        <f t="shared" si="2"/>
        <v>124</v>
      </c>
      <c r="BX48" s="25">
        <f t="shared" si="2"/>
        <v>2846</v>
      </c>
      <c r="BY48" s="25">
        <f t="shared" si="2"/>
        <v>675</v>
      </c>
      <c r="BZ48" s="25">
        <f t="shared" si="2"/>
        <v>858</v>
      </c>
      <c r="CA48" s="25">
        <f t="shared" si="2"/>
        <v>0</v>
      </c>
      <c r="CB48" s="25">
        <f t="shared" si="2"/>
        <v>0</v>
      </c>
      <c r="CC48" s="25">
        <f t="shared" si="2"/>
        <v>3589</v>
      </c>
      <c r="CD48" s="25">
        <f t="shared" si="2"/>
        <v>0</v>
      </c>
      <c r="CE48" s="25">
        <f>SUM(C48:CD48)</f>
        <v>133687</v>
      </c>
    </row>
    <row r="49" spans="1:83" x14ac:dyDescent="0.25">
      <c r="A49" s="16" t="s">
        <v>232</v>
      </c>
      <c r="B49" s="25">
        <f>B47+B48</f>
        <v>47285974.410000004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2573976.62</v>
      </c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>
        <v>139388.75</v>
      </c>
      <c r="Q51" s="273"/>
      <c r="R51" s="273"/>
      <c r="S51" s="273"/>
      <c r="T51" s="273"/>
      <c r="U51" s="273">
        <v>14010.09</v>
      </c>
      <c r="V51" s="273"/>
      <c r="W51" s="273"/>
      <c r="X51" s="273">
        <v>266516.03999999998</v>
      </c>
      <c r="Y51" s="273">
        <v>341401.38</v>
      </c>
      <c r="Z51" s="273">
        <v>-5490.54</v>
      </c>
      <c r="AA51" s="273">
        <v>1342.11</v>
      </c>
      <c r="AB51" s="273">
        <v>2214.7199999999998</v>
      </c>
      <c r="AC51" s="273">
        <v>2476.69</v>
      </c>
      <c r="AD51" s="273"/>
      <c r="AE51" s="273">
        <v>29075.200000000001</v>
      </c>
      <c r="AF51" s="273"/>
      <c r="AG51" s="273"/>
      <c r="AH51" s="273"/>
      <c r="AI51" s="273"/>
      <c r="AJ51" s="273">
        <f>953983.69+66.34</f>
        <v>954050.02999999991</v>
      </c>
      <c r="AK51" s="273"/>
      <c r="AL51" s="273"/>
      <c r="AM51" s="273"/>
      <c r="AN51" s="273"/>
      <c r="AO51" s="273"/>
      <c r="AP51" s="273"/>
      <c r="AQ51" s="273"/>
      <c r="AR51" s="273">
        <v>6783</v>
      </c>
      <c r="AS51" s="273"/>
      <c r="AT51" s="273"/>
      <c r="AU51" s="273"/>
      <c r="AV51" s="273">
        <v>32823.68</v>
      </c>
      <c r="AW51" s="273"/>
      <c r="AX51" s="273"/>
      <c r="AY51" s="273"/>
      <c r="AZ51" s="273"/>
      <c r="BA51" s="273"/>
      <c r="BB51" s="273"/>
      <c r="BC51" s="273"/>
      <c r="BD51" s="273"/>
      <c r="BE51" s="273">
        <v>534177.94999999995</v>
      </c>
      <c r="BF51" s="273"/>
      <c r="BG51" s="273"/>
      <c r="BH51" s="273">
        <v>73599.210000000006</v>
      </c>
      <c r="BI51" s="273">
        <v>9085.51</v>
      </c>
      <c r="BJ51" s="273"/>
      <c r="BK51" s="273"/>
      <c r="BL51" s="273"/>
      <c r="BM51" s="273"/>
      <c r="BN51" s="273">
        <v>120000</v>
      </c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>
        <v>52522.8</v>
      </c>
      <c r="CD51" s="16"/>
      <c r="CE51" s="25">
        <f>SUM(C51:CD51)</f>
        <v>2573976.6199999992</v>
      </c>
    </row>
    <row r="52" spans="1:83" x14ac:dyDescent="0.25">
      <c r="A52" s="31" t="s">
        <v>234</v>
      </c>
      <c r="B52" s="272">
        <v>14532931.960000001</v>
      </c>
      <c r="C52" s="25">
        <f t="shared" ref="C52:AH52" si="3">IF($B$52,ROUND(($B$52/($CE$90+$CF$90)*C90),0))</f>
        <v>155572</v>
      </c>
      <c r="D52" s="25">
        <f t="shared" si="3"/>
        <v>0</v>
      </c>
      <c r="E52" s="25">
        <f t="shared" si="3"/>
        <v>871832</v>
      </c>
      <c r="F52" s="25">
        <f t="shared" si="3"/>
        <v>256885</v>
      </c>
      <c r="G52" s="25">
        <f t="shared" si="3"/>
        <v>0</v>
      </c>
      <c r="H52" s="25">
        <f t="shared" si="3"/>
        <v>182681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145175</v>
      </c>
      <c r="P52" s="25">
        <f t="shared" si="3"/>
        <v>654275</v>
      </c>
      <c r="Q52" s="25">
        <f t="shared" si="3"/>
        <v>74697</v>
      </c>
      <c r="R52" s="25">
        <f t="shared" si="3"/>
        <v>8575</v>
      </c>
      <c r="S52" s="25">
        <f t="shared" si="3"/>
        <v>470443</v>
      </c>
      <c r="T52" s="25">
        <f t="shared" si="3"/>
        <v>4000</v>
      </c>
      <c r="U52" s="25">
        <f t="shared" si="3"/>
        <v>130093</v>
      </c>
      <c r="V52" s="25">
        <f t="shared" si="3"/>
        <v>3096</v>
      </c>
      <c r="W52" s="25">
        <f t="shared" si="3"/>
        <v>31177</v>
      </c>
      <c r="X52" s="25">
        <f t="shared" si="3"/>
        <v>32753</v>
      </c>
      <c r="Y52" s="25">
        <f t="shared" si="3"/>
        <v>501716</v>
      </c>
      <c r="Z52" s="25">
        <f t="shared" si="3"/>
        <v>173901</v>
      </c>
      <c r="AA52" s="25">
        <f t="shared" si="3"/>
        <v>31342</v>
      </c>
      <c r="AB52" s="25">
        <f t="shared" si="3"/>
        <v>214914</v>
      </c>
      <c r="AC52" s="25">
        <f t="shared" si="3"/>
        <v>42136</v>
      </c>
      <c r="AD52" s="25">
        <f t="shared" si="3"/>
        <v>3657</v>
      </c>
      <c r="AE52" s="25">
        <f t="shared" si="3"/>
        <v>11520</v>
      </c>
      <c r="AF52" s="25">
        <f t="shared" si="3"/>
        <v>0</v>
      </c>
      <c r="AG52" s="25">
        <f t="shared" si="3"/>
        <v>297816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2000221</v>
      </c>
      <c r="AK52" s="25">
        <f t="shared" si="4"/>
        <v>0</v>
      </c>
      <c r="AL52" s="25">
        <f t="shared" si="4"/>
        <v>139586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349048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296241</v>
      </c>
      <c r="AW52" s="25">
        <f t="shared" si="4"/>
        <v>0</v>
      </c>
      <c r="AX52" s="25">
        <f t="shared" si="4"/>
        <v>0</v>
      </c>
      <c r="AY52" s="25">
        <f t="shared" si="4"/>
        <v>90834</v>
      </c>
      <c r="AZ52" s="25">
        <f t="shared" si="4"/>
        <v>74944</v>
      </c>
      <c r="BA52" s="25">
        <f t="shared" si="4"/>
        <v>35972</v>
      </c>
      <c r="BB52" s="25">
        <f t="shared" si="4"/>
        <v>0</v>
      </c>
      <c r="BC52" s="25">
        <f t="shared" si="4"/>
        <v>0</v>
      </c>
      <c r="BD52" s="25">
        <f t="shared" si="4"/>
        <v>91258</v>
      </c>
      <c r="BE52" s="25">
        <f t="shared" si="4"/>
        <v>5845241</v>
      </c>
      <c r="BF52" s="25">
        <f t="shared" si="4"/>
        <v>19438</v>
      </c>
      <c r="BG52" s="25">
        <f t="shared" si="4"/>
        <v>2685</v>
      </c>
      <c r="BH52" s="25">
        <f t="shared" si="4"/>
        <v>86738</v>
      </c>
      <c r="BI52" s="25">
        <f t="shared" si="4"/>
        <v>13027</v>
      </c>
      <c r="BJ52" s="25">
        <f t="shared" si="4"/>
        <v>45328</v>
      </c>
      <c r="BK52" s="25">
        <f t="shared" si="4"/>
        <v>117765</v>
      </c>
      <c r="BL52" s="25">
        <f t="shared" si="4"/>
        <v>53985</v>
      </c>
      <c r="BM52" s="25">
        <f t="shared" si="4"/>
        <v>30808</v>
      </c>
      <c r="BN52" s="25">
        <f t="shared" si="4"/>
        <v>26095</v>
      </c>
      <c r="BO52" s="25">
        <f t="shared" ref="BO52:CD52" si="5">IF($B$52,ROUND(($B$52/($CE$90+$CF$90)*BO90),0))</f>
        <v>34438</v>
      </c>
      <c r="BP52" s="25">
        <f t="shared" si="5"/>
        <v>50711</v>
      </c>
      <c r="BQ52" s="25">
        <f t="shared" si="5"/>
        <v>0</v>
      </c>
      <c r="BR52" s="25">
        <f t="shared" si="5"/>
        <v>48629</v>
      </c>
      <c r="BS52" s="25">
        <f t="shared" si="5"/>
        <v>6931</v>
      </c>
      <c r="BT52" s="25">
        <f t="shared" si="5"/>
        <v>4096</v>
      </c>
      <c r="BU52" s="25">
        <f t="shared" si="5"/>
        <v>0</v>
      </c>
      <c r="BV52" s="25">
        <f t="shared" si="5"/>
        <v>50711</v>
      </c>
      <c r="BW52" s="25">
        <f t="shared" si="5"/>
        <v>23794</v>
      </c>
      <c r="BX52" s="25">
        <f t="shared" si="5"/>
        <v>79957</v>
      </c>
      <c r="BY52" s="25">
        <f t="shared" si="5"/>
        <v>0</v>
      </c>
      <c r="BZ52" s="25">
        <f t="shared" si="5"/>
        <v>2164</v>
      </c>
      <c r="CA52" s="25">
        <f t="shared" si="5"/>
        <v>5794</v>
      </c>
      <c r="CB52" s="25">
        <f t="shared" si="5"/>
        <v>0</v>
      </c>
      <c r="CC52" s="25">
        <f t="shared" si="5"/>
        <v>608235</v>
      </c>
      <c r="CD52" s="25">
        <f t="shared" si="5"/>
        <v>0</v>
      </c>
      <c r="CE52" s="25">
        <f>SUM(C52:CD52)</f>
        <v>14532930</v>
      </c>
    </row>
    <row r="53" spans="1:83" x14ac:dyDescent="0.25">
      <c r="A53" s="16" t="s">
        <v>232</v>
      </c>
      <c r="B53" s="25">
        <f>B51+B52</f>
        <v>17106908.580000002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f>2216+2886</f>
        <v>5102</v>
      </c>
      <c r="D59" s="273"/>
      <c r="E59" s="273">
        <v>42534</v>
      </c>
      <c r="F59" s="273">
        <v>3845</v>
      </c>
      <c r="G59" s="273"/>
      <c r="H59" s="273">
        <v>5525</v>
      </c>
      <c r="I59" s="273"/>
      <c r="J59" s="273"/>
      <c r="K59" s="273"/>
      <c r="L59" s="273"/>
      <c r="M59" s="273"/>
      <c r="N59" s="273"/>
      <c r="O59" s="273">
        <v>12901</v>
      </c>
      <c r="P59" s="274">
        <v>1801326</v>
      </c>
      <c r="Q59" s="275">
        <v>1672890</v>
      </c>
      <c r="R59" s="275">
        <v>1131833</v>
      </c>
      <c r="S59" s="263">
        <v>0</v>
      </c>
      <c r="T59" s="263">
        <v>0</v>
      </c>
      <c r="U59" s="276">
        <v>1783868</v>
      </c>
      <c r="V59" s="275"/>
      <c r="W59" s="275">
        <v>83754</v>
      </c>
      <c r="X59" s="275"/>
      <c r="Y59" s="275">
        <v>239529</v>
      </c>
      <c r="Z59" s="275">
        <v>44407</v>
      </c>
      <c r="AA59" s="275">
        <v>17621</v>
      </c>
      <c r="AB59" s="263">
        <v>0</v>
      </c>
      <c r="AC59" s="275">
        <v>248189</v>
      </c>
      <c r="AD59" s="275"/>
      <c r="AE59" s="275">
        <v>56272</v>
      </c>
      <c r="AF59" s="275"/>
      <c r="AG59" s="275">
        <v>87348</v>
      </c>
      <c r="AH59" s="275"/>
      <c r="AI59" s="275"/>
      <c r="AJ59" s="275">
        <v>261701</v>
      </c>
      <c r="AK59" s="275"/>
      <c r="AL59" s="275">
        <v>9414</v>
      </c>
      <c r="AM59" s="275"/>
      <c r="AN59" s="275"/>
      <c r="AO59" s="275"/>
      <c r="AP59" s="275"/>
      <c r="AQ59" s="275"/>
      <c r="AR59" s="275">
        <v>17176</v>
      </c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153923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1060925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49.65</v>
      </c>
      <c r="D60" s="277"/>
      <c r="E60" s="277">
        <v>230.7</v>
      </c>
      <c r="F60" s="277">
        <v>47.2</v>
      </c>
      <c r="G60" s="277"/>
      <c r="H60" s="277">
        <v>29.65</v>
      </c>
      <c r="I60" s="277"/>
      <c r="J60" s="277"/>
      <c r="K60" s="277"/>
      <c r="L60" s="277"/>
      <c r="M60" s="277"/>
      <c r="N60" s="277"/>
      <c r="O60" s="277">
        <v>45.9</v>
      </c>
      <c r="P60" s="274">
        <v>108.65</v>
      </c>
      <c r="Q60" s="274">
        <v>35.85</v>
      </c>
      <c r="R60" s="274">
        <v>1.75</v>
      </c>
      <c r="S60" s="278">
        <v>22.9</v>
      </c>
      <c r="T60" s="278">
        <v>9.65</v>
      </c>
      <c r="U60" s="279">
        <v>87.2</v>
      </c>
      <c r="V60" s="274">
        <v>1</v>
      </c>
      <c r="W60" s="274">
        <v>10.9</v>
      </c>
      <c r="X60" s="274">
        <v>16</v>
      </c>
      <c r="Y60" s="274">
        <v>60.9</v>
      </c>
      <c r="Z60" s="274">
        <v>13.05</v>
      </c>
      <c r="AA60" s="274">
        <v>6</v>
      </c>
      <c r="AB60" s="278">
        <v>65</v>
      </c>
      <c r="AC60" s="274">
        <v>12.75</v>
      </c>
      <c r="AD60" s="274"/>
      <c r="AE60" s="274">
        <v>23.4</v>
      </c>
      <c r="AF60" s="274"/>
      <c r="AG60" s="274">
        <v>90.45</v>
      </c>
      <c r="AH60" s="274"/>
      <c r="AI60" s="274"/>
      <c r="AJ60" s="274">
        <v>453.96</v>
      </c>
      <c r="AK60" s="274"/>
      <c r="AL60" s="274"/>
      <c r="AM60" s="274"/>
      <c r="AN60" s="274"/>
      <c r="AO60" s="274"/>
      <c r="AP60" s="274"/>
      <c r="AQ60" s="274"/>
      <c r="AR60" s="274">
        <v>71.849999999999994</v>
      </c>
      <c r="AS60" s="274"/>
      <c r="AT60" s="274"/>
      <c r="AU60" s="274"/>
      <c r="AV60" s="278">
        <v>193</v>
      </c>
      <c r="AW60" s="278"/>
      <c r="AX60" s="278"/>
      <c r="AY60" s="274">
        <v>36.950000000000003</v>
      </c>
      <c r="AZ60" s="274">
        <v>14.4</v>
      </c>
      <c r="BA60" s="278">
        <v>3</v>
      </c>
      <c r="BB60" s="278"/>
      <c r="BC60" s="278"/>
      <c r="BD60" s="278">
        <v>23</v>
      </c>
      <c r="BE60" s="274">
        <v>20.5</v>
      </c>
      <c r="BF60" s="278">
        <v>55.3</v>
      </c>
      <c r="BG60" s="278">
        <v>3.8</v>
      </c>
      <c r="BH60" s="278">
        <v>20</v>
      </c>
      <c r="BI60" s="278">
        <v>1</v>
      </c>
      <c r="BJ60" s="278">
        <v>7</v>
      </c>
      <c r="BK60" s="278">
        <v>54</v>
      </c>
      <c r="BL60" s="278">
        <v>49.9</v>
      </c>
      <c r="BM60" s="278">
        <v>5</v>
      </c>
      <c r="BN60" s="278">
        <v>6</v>
      </c>
      <c r="BO60" s="278"/>
      <c r="BP60" s="278">
        <v>1</v>
      </c>
      <c r="BQ60" s="278"/>
      <c r="BR60" s="278">
        <v>21.5</v>
      </c>
      <c r="BS60" s="278">
        <v>1</v>
      </c>
      <c r="BT60" s="278">
        <v>1</v>
      </c>
      <c r="BU60" s="278"/>
      <c r="BV60" s="278">
        <v>54.3</v>
      </c>
      <c r="BW60" s="278">
        <v>3</v>
      </c>
      <c r="BX60" s="278">
        <v>45.7</v>
      </c>
      <c r="BY60" s="278">
        <v>10.6</v>
      </c>
      <c r="BZ60" s="278">
        <v>41.25</v>
      </c>
      <c r="CA60" s="278"/>
      <c r="CB60" s="278"/>
      <c r="CC60" s="278">
        <v>71.575000000000003</v>
      </c>
      <c r="CD60" s="209" t="s">
        <v>247</v>
      </c>
      <c r="CE60" s="227">
        <f t="shared" ref="CE60:CE68" si="6">SUM(C60:CD60)</f>
        <v>2238.1349999999993</v>
      </c>
    </row>
    <row r="61" spans="1:83" x14ac:dyDescent="0.25">
      <c r="A61" s="31" t="s">
        <v>262</v>
      </c>
      <c r="B61" s="16"/>
      <c r="C61" s="273">
        <v>6956426.2300000004</v>
      </c>
      <c r="D61" s="273"/>
      <c r="E61" s="273">
        <v>28153621.75</v>
      </c>
      <c r="F61" s="273">
        <v>5766518.7300000004</v>
      </c>
      <c r="G61" s="273"/>
      <c r="H61" s="273">
        <v>4341757.34</v>
      </c>
      <c r="I61" s="273"/>
      <c r="J61" s="273"/>
      <c r="K61" s="273"/>
      <c r="L61" s="273"/>
      <c r="M61" s="273"/>
      <c r="N61" s="273"/>
      <c r="O61" s="273">
        <v>6333041.8700000001</v>
      </c>
      <c r="P61" s="275">
        <v>13414052.779999999</v>
      </c>
      <c r="Q61" s="275">
        <v>6157164.4900000002</v>
      </c>
      <c r="R61" s="275">
        <v>16041793.59</v>
      </c>
      <c r="S61" s="280">
        <v>1414228.81</v>
      </c>
      <c r="T61" s="280">
        <v>1467489.78</v>
      </c>
      <c r="U61" s="276">
        <v>5175447.97</v>
      </c>
      <c r="V61" s="275">
        <v>85035.92</v>
      </c>
      <c r="W61" s="275">
        <v>1231610.49</v>
      </c>
      <c r="X61" s="275">
        <v>1721575.62</v>
      </c>
      <c r="Y61" s="275">
        <v>4631090.57</v>
      </c>
      <c r="Z61" s="275">
        <v>1514179.59</v>
      </c>
      <c r="AA61" s="275">
        <v>561521.18000000005</v>
      </c>
      <c r="AB61" s="281">
        <v>10039146.99</v>
      </c>
      <c r="AC61" s="275">
        <v>1807894.71</v>
      </c>
      <c r="AD61" s="275"/>
      <c r="AE61" s="275">
        <v>3319346.36</v>
      </c>
      <c r="AF61" s="275"/>
      <c r="AG61" s="275">
        <v>14410369.42</v>
      </c>
      <c r="AH61" s="275"/>
      <c r="AI61" s="275"/>
      <c r="AJ61" s="275">
        <v>54865448.060000002</v>
      </c>
      <c r="AK61" s="275"/>
      <c r="AL61" s="275">
        <v>1315590.32</v>
      </c>
      <c r="AM61" s="275"/>
      <c r="AN61" s="275"/>
      <c r="AO61" s="275">
        <v>-219.2</v>
      </c>
      <c r="AP61" s="275"/>
      <c r="AQ61" s="275"/>
      <c r="AR61" s="275">
        <v>8512590.0899999999</v>
      </c>
      <c r="AS61" s="275"/>
      <c r="AT61" s="275"/>
      <c r="AU61" s="275"/>
      <c r="AV61" s="280">
        <v>30792235.199999999</v>
      </c>
      <c r="AW61" s="280">
        <v>2572.52</v>
      </c>
      <c r="AX61" s="280"/>
      <c r="AY61" s="275">
        <v>2100085.62</v>
      </c>
      <c r="AZ61" s="275">
        <v>1134916.49</v>
      </c>
      <c r="BA61" s="280">
        <v>124509.68</v>
      </c>
      <c r="BB61" s="280"/>
      <c r="BC61" s="280"/>
      <c r="BD61" s="280">
        <v>1438145.23</v>
      </c>
      <c r="BE61" s="275">
        <v>1509535.94</v>
      </c>
      <c r="BF61" s="280">
        <v>3207966.54</v>
      </c>
      <c r="BG61" s="280">
        <v>212434.63</v>
      </c>
      <c r="BH61" s="280">
        <v>1892494.58</v>
      </c>
      <c r="BI61" s="280">
        <v>30170.720000000001</v>
      </c>
      <c r="BJ61" s="280">
        <v>701370.22</v>
      </c>
      <c r="BK61" s="280">
        <v>3392509.81</v>
      </c>
      <c r="BL61" s="280">
        <v>4212655.2</v>
      </c>
      <c r="BM61" s="280">
        <v>1174331.6499999999</v>
      </c>
      <c r="BN61" s="280">
        <v>989543.67</v>
      </c>
      <c r="BO61" s="280"/>
      <c r="BP61" s="280">
        <v>74845.857999999993</v>
      </c>
      <c r="BQ61" s="280"/>
      <c r="BR61" s="280">
        <v>2074164.6</v>
      </c>
      <c r="BS61" s="280">
        <v>69012.960000000006</v>
      </c>
      <c r="BT61" s="280">
        <v>87013.8</v>
      </c>
      <c r="BU61" s="280"/>
      <c r="BV61" s="280">
        <v>3316024.44</v>
      </c>
      <c r="BW61" s="280">
        <v>253959.57</v>
      </c>
      <c r="BX61" s="280">
        <v>5841517.9299999997</v>
      </c>
      <c r="BY61" s="280">
        <v>1385266.99</v>
      </c>
      <c r="BZ61" s="280">
        <v>1760467.19</v>
      </c>
      <c r="CA61" s="280"/>
      <c r="CB61" s="280"/>
      <c r="CC61" s="280">
        <v>7366272.5700000003</v>
      </c>
      <c r="CD61" s="24" t="s">
        <v>247</v>
      </c>
      <c r="CE61" s="25">
        <f t="shared" si="6"/>
        <v>274380747.06800008</v>
      </c>
    </row>
    <row r="62" spans="1:83" x14ac:dyDescent="0.25">
      <c r="A62" s="31" t="s">
        <v>10</v>
      </c>
      <c r="B62" s="16"/>
      <c r="C62" s="25">
        <f t="shared" ref="C62:AH62" si="7">ROUND(C47+C48,0)</f>
        <v>1418240</v>
      </c>
      <c r="D62" s="25">
        <f t="shared" si="7"/>
        <v>0</v>
      </c>
      <c r="E62" s="25">
        <f t="shared" si="7"/>
        <v>5609526</v>
      </c>
      <c r="F62" s="25">
        <f t="shared" si="7"/>
        <v>1207691</v>
      </c>
      <c r="G62" s="25">
        <f t="shared" si="7"/>
        <v>0</v>
      </c>
      <c r="H62" s="25">
        <f t="shared" si="7"/>
        <v>805606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1341268</v>
      </c>
      <c r="P62" s="25">
        <f t="shared" si="7"/>
        <v>2911505</v>
      </c>
      <c r="Q62" s="25">
        <f t="shared" si="7"/>
        <v>1282287</v>
      </c>
      <c r="R62" s="25">
        <f t="shared" si="7"/>
        <v>1303564</v>
      </c>
      <c r="S62" s="25">
        <f t="shared" si="7"/>
        <v>396395</v>
      </c>
      <c r="T62" s="25">
        <f t="shared" si="7"/>
        <v>285213</v>
      </c>
      <c r="U62" s="25">
        <f t="shared" si="7"/>
        <v>1512791</v>
      </c>
      <c r="V62" s="25">
        <f t="shared" si="7"/>
        <v>22177</v>
      </c>
      <c r="W62" s="25">
        <f t="shared" si="7"/>
        <v>278997</v>
      </c>
      <c r="X62" s="25">
        <f t="shared" si="7"/>
        <v>400016</v>
      </c>
      <c r="Y62" s="25">
        <f t="shared" si="7"/>
        <v>1173089</v>
      </c>
      <c r="Z62" s="25">
        <f t="shared" si="7"/>
        <v>338649</v>
      </c>
      <c r="AA62" s="25">
        <f t="shared" si="7"/>
        <v>122425</v>
      </c>
      <c r="AB62" s="25">
        <f t="shared" si="7"/>
        <v>2292674</v>
      </c>
      <c r="AC62" s="25">
        <f t="shared" si="7"/>
        <v>377908</v>
      </c>
      <c r="AD62" s="25">
        <f t="shared" si="7"/>
        <v>0</v>
      </c>
      <c r="AE62" s="25">
        <f t="shared" si="7"/>
        <v>759696</v>
      </c>
      <c r="AF62" s="25">
        <f t="shared" si="7"/>
        <v>0</v>
      </c>
      <c r="AG62" s="25">
        <f t="shared" si="7"/>
        <v>2229090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9324927</v>
      </c>
      <c r="AK62" s="25">
        <f t="shared" si="8"/>
        <v>0</v>
      </c>
      <c r="AL62" s="25">
        <f t="shared" si="8"/>
        <v>290497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1790304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4226702</v>
      </c>
      <c r="AW62" s="25">
        <f t="shared" si="8"/>
        <v>19271</v>
      </c>
      <c r="AX62" s="25">
        <f t="shared" si="8"/>
        <v>0</v>
      </c>
      <c r="AY62" s="25">
        <f t="shared" si="8"/>
        <v>697601</v>
      </c>
      <c r="AZ62" s="25">
        <f t="shared" si="8"/>
        <v>277089</v>
      </c>
      <c r="BA62" s="25">
        <f t="shared" si="8"/>
        <v>37905</v>
      </c>
      <c r="BB62" s="25">
        <f t="shared" si="8"/>
        <v>0</v>
      </c>
      <c r="BC62" s="25">
        <f t="shared" si="8"/>
        <v>0</v>
      </c>
      <c r="BD62" s="25">
        <f t="shared" si="8"/>
        <v>420854</v>
      </c>
      <c r="BE62" s="25">
        <f t="shared" si="8"/>
        <v>384201</v>
      </c>
      <c r="BF62" s="25">
        <f t="shared" si="8"/>
        <v>990969</v>
      </c>
      <c r="BG62" s="25">
        <f t="shared" si="8"/>
        <v>61619</v>
      </c>
      <c r="BH62" s="25">
        <f t="shared" si="8"/>
        <v>503477</v>
      </c>
      <c r="BI62" s="25">
        <f t="shared" si="8"/>
        <v>6878</v>
      </c>
      <c r="BJ62" s="25">
        <f t="shared" si="8"/>
        <v>178531</v>
      </c>
      <c r="BK62" s="25">
        <f t="shared" si="8"/>
        <v>1011242</v>
      </c>
      <c r="BL62" s="25">
        <f t="shared" si="8"/>
        <v>1256956</v>
      </c>
      <c r="BM62" s="25">
        <f t="shared" si="8"/>
        <v>252284</v>
      </c>
      <c r="BN62" s="25">
        <f t="shared" si="8"/>
        <v>248594</v>
      </c>
      <c r="BO62" s="25">
        <f t="shared" ref="BO62:CC62" si="9">ROUND(BO47+BO48,0)</f>
        <v>37</v>
      </c>
      <c r="BP62" s="25">
        <f t="shared" si="9"/>
        <v>14977</v>
      </c>
      <c r="BQ62" s="25">
        <f t="shared" si="9"/>
        <v>0</v>
      </c>
      <c r="BR62" s="25">
        <f t="shared" si="9"/>
        <v>474490</v>
      </c>
      <c r="BS62" s="25">
        <f t="shared" si="9"/>
        <v>19777</v>
      </c>
      <c r="BT62" s="25">
        <f t="shared" si="9"/>
        <v>23453</v>
      </c>
      <c r="BU62" s="25">
        <f t="shared" si="9"/>
        <v>0</v>
      </c>
      <c r="BV62" s="25">
        <f t="shared" si="9"/>
        <v>1023740</v>
      </c>
      <c r="BW62" s="25">
        <f t="shared" si="9"/>
        <v>168820</v>
      </c>
      <c r="BX62" s="25">
        <f t="shared" si="9"/>
        <v>1221681</v>
      </c>
      <c r="BY62" s="25">
        <f t="shared" si="9"/>
        <v>315360</v>
      </c>
      <c r="BZ62" s="25">
        <f t="shared" si="9"/>
        <v>545212</v>
      </c>
      <c r="CA62" s="25">
        <f t="shared" si="9"/>
        <v>0</v>
      </c>
      <c r="CB62" s="25">
        <f t="shared" si="9"/>
        <v>0</v>
      </c>
      <c r="CC62" s="25">
        <f t="shared" si="9"/>
        <v>-4570277</v>
      </c>
      <c r="CD62" s="24" t="s">
        <v>247</v>
      </c>
      <c r="CE62" s="25">
        <f t="shared" si="6"/>
        <v>47285978</v>
      </c>
    </row>
    <row r="63" spans="1:83" x14ac:dyDescent="0.25">
      <c r="A63" s="31" t="s">
        <v>263</v>
      </c>
      <c r="B63" s="16"/>
      <c r="C63" s="273">
        <v>405486.54</v>
      </c>
      <c r="D63" s="273"/>
      <c r="E63" s="273"/>
      <c r="F63" s="273">
        <v>48750.03</v>
      </c>
      <c r="G63" s="273"/>
      <c r="H63" s="273">
        <v>584358.36</v>
      </c>
      <c r="I63" s="273"/>
      <c r="J63" s="273"/>
      <c r="K63" s="273"/>
      <c r="L63" s="273"/>
      <c r="M63" s="273"/>
      <c r="N63" s="273"/>
      <c r="O63" s="273"/>
      <c r="P63" s="275">
        <v>14103.11</v>
      </c>
      <c r="Q63" s="275"/>
      <c r="R63" s="275">
        <v>3416053.11</v>
      </c>
      <c r="S63" s="280"/>
      <c r="T63" s="280"/>
      <c r="U63" s="276">
        <v>130500</v>
      </c>
      <c r="V63" s="275"/>
      <c r="W63" s="275"/>
      <c r="X63" s="275">
        <v>580</v>
      </c>
      <c r="Y63" s="275">
        <v>244228.44</v>
      </c>
      <c r="Z63" s="275">
        <v>381711.42</v>
      </c>
      <c r="AA63" s="275"/>
      <c r="AB63" s="281">
        <v>13277.38</v>
      </c>
      <c r="AC63" s="275">
        <v>227216.63</v>
      </c>
      <c r="AD63" s="275"/>
      <c r="AE63" s="275"/>
      <c r="AF63" s="275"/>
      <c r="AG63" s="275">
        <v>13224663.130000001</v>
      </c>
      <c r="AH63" s="275"/>
      <c r="AI63" s="275"/>
      <c r="AJ63" s="275">
        <v>14227232.18</v>
      </c>
      <c r="AK63" s="275"/>
      <c r="AL63" s="275"/>
      <c r="AM63" s="275"/>
      <c r="AN63" s="275"/>
      <c r="AO63" s="275"/>
      <c r="AP63" s="275"/>
      <c r="AQ63" s="275"/>
      <c r="AR63" s="275">
        <v>106646.91</v>
      </c>
      <c r="AS63" s="275"/>
      <c r="AT63" s="275"/>
      <c r="AU63" s="275"/>
      <c r="AV63" s="280">
        <v>145852.70000000001</v>
      </c>
      <c r="AW63" s="280">
        <v>1757574.24</v>
      </c>
      <c r="AX63" s="280"/>
      <c r="AY63" s="275"/>
      <c r="AZ63" s="275"/>
      <c r="BA63" s="280"/>
      <c r="BB63" s="280"/>
      <c r="BC63" s="280"/>
      <c r="BD63" s="280"/>
      <c r="BE63" s="275">
        <v>171695.74</v>
      </c>
      <c r="BF63" s="280"/>
      <c r="BG63" s="280"/>
      <c r="BH63" s="280">
        <v>33890.86</v>
      </c>
      <c r="BI63" s="280"/>
      <c r="BJ63" s="280"/>
      <c r="BK63" s="280"/>
      <c r="BL63" s="280"/>
      <c r="BM63" s="280">
        <v>14107.63</v>
      </c>
      <c r="BN63" s="280">
        <v>1184210.67</v>
      </c>
      <c r="BO63" s="280"/>
      <c r="BP63" s="280"/>
      <c r="BQ63" s="280"/>
      <c r="BR63" s="280">
        <v>21800</v>
      </c>
      <c r="BS63" s="280"/>
      <c r="BT63" s="280"/>
      <c r="BU63" s="280"/>
      <c r="BV63" s="280"/>
      <c r="BW63" s="280">
        <v>81081.759999999995</v>
      </c>
      <c r="BX63" s="280">
        <v>61521.82</v>
      </c>
      <c r="BY63" s="280"/>
      <c r="BZ63" s="280"/>
      <c r="CA63" s="280"/>
      <c r="CB63" s="280"/>
      <c r="CC63" s="280">
        <v>504001.1</v>
      </c>
      <c r="CD63" s="24" t="s">
        <v>247</v>
      </c>
      <c r="CE63" s="25">
        <f t="shared" si="6"/>
        <v>37000543.760000005</v>
      </c>
    </row>
    <row r="64" spans="1:83" x14ac:dyDescent="0.25">
      <c r="A64" s="31" t="s">
        <v>264</v>
      </c>
      <c r="B64" s="16"/>
      <c r="C64" s="273">
        <v>604153.30000000005</v>
      </c>
      <c r="D64" s="273"/>
      <c r="E64" s="273">
        <f>1448245.97+1614.94</f>
        <v>1449860.91</v>
      </c>
      <c r="F64" s="273">
        <f>193064.44+7200</f>
        <v>200264.44</v>
      </c>
      <c r="G64" s="273"/>
      <c r="H64" s="273">
        <v>60345.8</v>
      </c>
      <c r="I64" s="273"/>
      <c r="J64" s="273"/>
      <c r="K64" s="273"/>
      <c r="L64" s="273"/>
      <c r="M64" s="273"/>
      <c r="N64" s="273"/>
      <c r="O64" s="273">
        <v>750418.14</v>
      </c>
      <c r="P64" s="275">
        <v>31009567.23</v>
      </c>
      <c r="Q64" s="275">
        <v>98404.73</v>
      </c>
      <c r="R64" s="275">
        <v>507782.17</v>
      </c>
      <c r="S64" s="280">
        <v>491612.59</v>
      </c>
      <c r="T64" s="280">
        <v>355418.91</v>
      </c>
      <c r="U64" s="276">
        <v>6091029.6900000004</v>
      </c>
      <c r="V64" s="275">
        <v>2393.71</v>
      </c>
      <c r="W64" s="275">
        <v>52832.44</v>
      </c>
      <c r="X64" s="275">
        <v>1615156.94</v>
      </c>
      <c r="Y64" s="275">
        <v>442147.52</v>
      </c>
      <c r="Z64" s="275">
        <v>62487.92</v>
      </c>
      <c r="AA64" s="275">
        <v>551440.01</v>
      </c>
      <c r="AB64" s="281">
        <v>35481610.859999999</v>
      </c>
      <c r="AC64" s="275">
        <v>425412.08</v>
      </c>
      <c r="AD64" s="275"/>
      <c r="AE64" s="275">
        <v>56449.440000000002</v>
      </c>
      <c r="AF64" s="275"/>
      <c r="AG64" s="275">
        <f>1802998.6+146.21</f>
        <v>1803144.81</v>
      </c>
      <c r="AH64" s="275"/>
      <c r="AI64" s="275"/>
      <c r="AJ64" s="275">
        <f>38858568.61+25650.89</f>
        <v>38884219.5</v>
      </c>
      <c r="AK64" s="275"/>
      <c r="AL64" s="275">
        <v>12964.25</v>
      </c>
      <c r="AM64" s="275"/>
      <c r="AN64" s="275"/>
      <c r="AO64" s="275"/>
      <c r="AP64" s="275"/>
      <c r="AQ64" s="275"/>
      <c r="AR64" s="275">
        <v>240301.39</v>
      </c>
      <c r="AS64" s="275"/>
      <c r="AT64" s="275"/>
      <c r="AU64" s="275"/>
      <c r="AV64" s="280">
        <v>448523.2</v>
      </c>
      <c r="AW64" s="280">
        <v>14302.62</v>
      </c>
      <c r="AX64" s="280">
        <v>6067.5</v>
      </c>
      <c r="AY64" s="275">
        <f>397183.86+2410.25</f>
        <v>399594.11</v>
      </c>
      <c r="AZ64" s="275">
        <f>1466419.64+2581.35</f>
        <v>1469000.99</v>
      </c>
      <c r="BA64" s="280">
        <v>74377.64</v>
      </c>
      <c r="BB64" s="280"/>
      <c r="BC64" s="280"/>
      <c r="BD64" s="280">
        <f>-113951.34+2146.47</f>
        <v>-111804.87</v>
      </c>
      <c r="BE64" s="275">
        <f>429265.31+2817.54</f>
        <v>432082.85</v>
      </c>
      <c r="BF64" s="280">
        <f>705067.86+47143.34</f>
        <v>752211.2</v>
      </c>
      <c r="BG64" s="280">
        <v>287.83999999999997</v>
      </c>
      <c r="BH64" s="280">
        <v>497928.53</v>
      </c>
      <c r="BI64" s="280">
        <v>17595.740000000002</v>
      </c>
      <c r="BJ64" s="280">
        <v>4282.3999999999996</v>
      </c>
      <c r="BK64" s="280">
        <v>23491.87</v>
      </c>
      <c r="BL64" s="280">
        <v>57008.71</v>
      </c>
      <c r="BM64" s="280">
        <v>5572.57</v>
      </c>
      <c r="BN64" s="280">
        <v>36941.18</v>
      </c>
      <c r="BO64" s="280">
        <v>4421.45</v>
      </c>
      <c r="BP64" s="280">
        <v>1155</v>
      </c>
      <c r="BQ64" s="280"/>
      <c r="BR64" s="280">
        <v>6017.33</v>
      </c>
      <c r="BS64" s="280">
        <v>1560</v>
      </c>
      <c r="BT64" s="280">
        <v>6.85</v>
      </c>
      <c r="BU64" s="280"/>
      <c r="BV64" s="280">
        <v>852.26</v>
      </c>
      <c r="BW64" s="280">
        <v>22718.12</v>
      </c>
      <c r="BX64" s="280">
        <f>31315.15+308.71</f>
        <v>31623.86</v>
      </c>
      <c r="BY64" s="280">
        <v>1701.58</v>
      </c>
      <c r="BZ64" s="280">
        <v>5452.95</v>
      </c>
      <c r="CA64" s="280"/>
      <c r="CB64" s="280"/>
      <c r="CC64" s="280">
        <v>-72602</v>
      </c>
      <c r="CD64" s="24" t="s">
        <v>247</v>
      </c>
      <c r="CE64" s="25">
        <f t="shared" si="6"/>
        <v>125379790.26000001</v>
      </c>
    </row>
    <row r="65" spans="1:83" x14ac:dyDescent="0.25">
      <c r="A65" s="31" t="s">
        <v>265</v>
      </c>
      <c r="B65" s="16"/>
      <c r="C65" s="273"/>
      <c r="D65" s="273"/>
      <c r="E65" s="273">
        <v>2782.77</v>
      </c>
      <c r="F65" s="273"/>
      <c r="G65" s="273"/>
      <c r="H65" s="273">
        <v>377.58</v>
      </c>
      <c r="I65" s="273"/>
      <c r="J65" s="273"/>
      <c r="K65" s="273"/>
      <c r="L65" s="273"/>
      <c r="M65" s="273"/>
      <c r="N65" s="273"/>
      <c r="O65" s="273"/>
      <c r="P65" s="275">
        <f>58000.33+175.8</f>
        <v>58176.130000000005</v>
      </c>
      <c r="Q65" s="275">
        <v>1438.39</v>
      </c>
      <c r="R65" s="275">
        <v>592.29999999999995</v>
      </c>
      <c r="S65" s="280"/>
      <c r="T65" s="280"/>
      <c r="U65" s="276">
        <v>10566.46</v>
      </c>
      <c r="V65" s="275"/>
      <c r="W65" s="275"/>
      <c r="X65" s="275"/>
      <c r="Y65" s="275">
        <v>201822.21</v>
      </c>
      <c r="Z65" s="275"/>
      <c r="AA65" s="275"/>
      <c r="AB65" s="281">
        <v>12502.97</v>
      </c>
      <c r="AC65" s="275"/>
      <c r="AD65" s="275"/>
      <c r="AE65" s="275">
        <v>28763.47</v>
      </c>
      <c r="AF65" s="275"/>
      <c r="AG65" s="275">
        <v>9294.06</v>
      </c>
      <c r="AH65" s="275"/>
      <c r="AI65" s="275"/>
      <c r="AJ65" s="275">
        <f>624422.71+522.95</f>
        <v>624945.65999999992</v>
      </c>
      <c r="AK65" s="275"/>
      <c r="AL65" s="275">
        <v>3973.96</v>
      </c>
      <c r="AM65" s="275"/>
      <c r="AN65" s="275"/>
      <c r="AO65" s="275"/>
      <c r="AP65" s="275"/>
      <c r="AQ65" s="275"/>
      <c r="AR65" s="275">
        <v>147755.45000000001</v>
      </c>
      <c r="AS65" s="275"/>
      <c r="AT65" s="275"/>
      <c r="AU65" s="275"/>
      <c r="AV65" s="280">
        <v>76123.42</v>
      </c>
      <c r="AW65" s="280">
        <v>982.56</v>
      </c>
      <c r="AX65" s="280"/>
      <c r="AY65" s="275"/>
      <c r="AZ65" s="275"/>
      <c r="BA65" s="280"/>
      <c r="BB65" s="280"/>
      <c r="BC65" s="280"/>
      <c r="BD65" s="280"/>
      <c r="BE65" s="275">
        <v>1813403.95</v>
      </c>
      <c r="BF65" s="280">
        <v>50864.4</v>
      </c>
      <c r="BG65" s="280">
        <f>126804.74+252.53</f>
        <v>127057.27</v>
      </c>
      <c r="BH65" s="280">
        <f>381629.63+164.55</f>
        <v>381794.18</v>
      </c>
      <c r="BI65" s="280">
        <v>4638.3</v>
      </c>
      <c r="BJ65" s="280"/>
      <c r="BK65" s="280">
        <v>459.87</v>
      </c>
      <c r="BL65" s="280">
        <v>8.3000000000000007</v>
      </c>
      <c r="BM65" s="280"/>
      <c r="BN65" s="280">
        <v>12845.4</v>
      </c>
      <c r="BO65" s="280">
        <v>4222.74</v>
      </c>
      <c r="BP65" s="280">
        <v>5511.74</v>
      </c>
      <c r="BQ65" s="280"/>
      <c r="BR65" s="280">
        <v>780.96</v>
      </c>
      <c r="BS65" s="280"/>
      <c r="BT65" s="280">
        <v>592.29999999999995</v>
      </c>
      <c r="BU65" s="280"/>
      <c r="BV65" s="280">
        <v>459.92</v>
      </c>
      <c r="BW65" s="280"/>
      <c r="BX65" s="280">
        <v>5535.8</v>
      </c>
      <c r="BY65" s="280"/>
      <c r="BZ65" s="280"/>
      <c r="CA65" s="280"/>
      <c r="CB65" s="280"/>
      <c r="CC65" s="280">
        <f>377530.39+1201.86</f>
        <v>378732.25</v>
      </c>
      <c r="CD65" s="24" t="s">
        <v>247</v>
      </c>
      <c r="CE65" s="25">
        <f t="shared" si="6"/>
        <v>3967004.7699999996</v>
      </c>
    </row>
    <row r="66" spans="1:83" x14ac:dyDescent="0.25">
      <c r="A66" s="31" t="s">
        <v>266</v>
      </c>
      <c r="B66" s="16"/>
      <c r="C66" s="273">
        <v>20671.990000000002</v>
      </c>
      <c r="D66" s="273"/>
      <c r="E66" s="273">
        <v>929.45</v>
      </c>
      <c r="F66" s="273">
        <v>3196.1</v>
      </c>
      <c r="G66" s="273"/>
      <c r="H66" s="273">
        <v>2173.4899999999998</v>
      </c>
      <c r="I66" s="273"/>
      <c r="J66" s="273"/>
      <c r="K66" s="273"/>
      <c r="L66" s="273"/>
      <c r="M66" s="273"/>
      <c r="N66" s="273"/>
      <c r="O66" s="273">
        <v>1072.3900000000001</v>
      </c>
      <c r="P66" s="275">
        <v>1020587.68</v>
      </c>
      <c r="Q66" s="275">
        <v>18.239999999999998</v>
      </c>
      <c r="R66" s="275">
        <v>38231.769999999997</v>
      </c>
      <c r="S66" s="280">
        <v>127775.92</v>
      </c>
      <c r="T66" s="280"/>
      <c r="U66" s="276">
        <v>4057457.4</v>
      </c>
      <c r="V66" s="275">
        <v>1.63</v>
      </c>
      <c r="W66" s="275">
        <v>112384.42</v>
      </c>
      <c r="X66" s="275">
        <v>55489.84</v>
      </c>
      <c r="Y66" s="275">
        <v>469499.74</v>
      </c>
      <c r="Z66" s="275">
        <v>706091.09</v>
      </c>
      <c r="AA66" s="275">
        <v>17766.36</v>
      </c>
      <c r="AB66" s="281">
        <v>407610.38</v>
      </c>
      <c r="AC66" s="275">
        <v>14617.5</v>
      </c>
      <c r="AD66" s="275">
        <v>1570807.14</v>
      </c>
      <c r="AE66" s="275">
        <v>16782.919999999998</v>
      </c>
      <c r="AF66" s="275"/>
      <c r="AG66" s="275">
        <v>1080747.1399999999</v>
      </c>
      <c r="AH66" s="275"/>
      <c r="AI66" s="275"/>
      <c r="AJ66" s="275">
        <v>4320374.3499999996</v>
      </c>
      <c r="AK66" s="275"/>
      <c r="AL66" s="275">
        <v>2959.13</v>
      </c>
      <c r="AM66" s="275"/>
      <c r="AN66" s="275"/>
      <c r="AO66" s="275"/>
      <c r="AP66" s="275"/>
      <c r="AQ66" s="275"/>
      <c r="AR66" s="275">
        <v>1372906.02</v>
      </c>
      <c r="AS66" s="275"/>
      <c r="AT66" s="275"/>
      <c r="AU66" s="275"/>
      <c r="AV66" s="280">
        <v>628370.84</v>
      </c>
      <c r="AW66" s="280"/>
      <c r="AX66" s="280"/>
      <c r="AY66" s="275">
        <v>3170.97</v>
      </c>
      <c r="AZ66" s="275">
        <v>75776.850000000006</v>
      </c>
      <c r="BA66" s="280">
        <v>36261.379999999997</v>
      </c>
      <c r="BB66" s="280"/>
      <c r="BC66" s="280"/>
      <c r="BD66" s="280">
        <v>33</v>
      </c>
      <c r="BE66" s="275">
        <v>485250.84</v>
      </c>
      <c r="BF66" s="280">
        <v>1030567.49</v>
      </c>
      <c r="BG66" s="280">
        <v>1669.06</v>
      </c>
      <c r="BH66" s="280">
        <v>367613.97</v>
      </c>
      <c r="BI66" s="280">
        <v>1903554.31</v>
      </c>
      <c r="BJ66" s="280">
        <v>1014509.37</v>
      </c>
      <c r="BK66" s="280">
        <v>1351287.8</v>
      </c>
      <c r="BL66" s="280">
        <v>1513085.08</v>
      </c>
      <c r="BM66" s="280">
        <v>305478.82</v>
      </c>
      <c r="BN66" s="280">
        <v>2748021.73</v>
      </c>
      <c r="BO66" s="280">
        <v>289600.90000000002</v>
      </c>
      <c r="BP66" s="280">
        <v>100136.76</v>
      </c>
      <c r="BQ66" s="280"/>
      <c r="BR66" s="280">
        <v>837295.16</v>
      </c>
      <c r="BS66" s="280"/>
      <c r="BT66" s="280"/>
      <c r="BU66" s="280"/>
      <c r="BV66" s="280">
        <v>1627479.6</v>
      </c>
      <c r="BW66" s="280">
        <v>97780.27</v>
      </c>
      <c r="BX66" s="280">
        <v>3966454.23</v>
      </c>
      <c r="BY66" s="280"/>
      <c r="BZ66" s="280"/>
      <c r="CA66" s="280"/>
      <c r="CB66" s="280"/>
      <c r="CC66" s="280">
        <v>2687744.92</v>
      </c>
      <c r="CD66" s="24" t="s">
        <v>247</v>
      </c>
      <c r="CE66" s="25">
        <f t="shared" si="6"/>
        <v>36491295.439999998</v>
      </c>
    </row>
    <row r="67" spans="1:83" x14ac:dyDescent="0.25">
      <c r="A67" s="31" t="s">
        <v>15</v>
      </c>
      <c r="B67" s="16"/>
      <c r="C67" s="25">
        <f t="shared" ref="C67:AH67" si="10">ROUND(C51+C52,0)</f>
        <v>155572</v>
      </c>
      <c r="D67" s="25">
        <f t="shared" si="10"/>
        <v>0</v>
      </c>
      <c r="E67" s="25">
        <f t="shared" si="10"/>
        <v>871832</v>
      </c>
      <c r="F67" s="25">
        <f t="shared" si="10"/>
        <v>256885</v>
      </c>
      <c r="G67" s="25">
        <f t="shared" si="10"/>
        <v>0</v>
      </c>
      <c r="H67" s="25">
        <f t="shared" si="10"/>
        <v>182681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145175</v>
      </c>
      <c r="P67" s="25">
        <f t="shared" si="10"/>
        <v>793664</v>
      </c>
      <c r="Q67" s="25">
        <f t="shared" si="10"/>
        <v>74697</v>
      </c>
      <c r="R67" s="25">
        <f t="shared" si="10"/>
        <v>8575</v>
      </c>
      <c r="S67" s="25">
        <f t="shared" si="10"/>
        <v>470443</v>
      </c>
      <c r="T67" s="25">
        <f t="shared" si="10"/>
        <v>4000</v>
      </c>
      <c r="U67" s="25">
        <f t="shared" si="10"/>
        <v>144103</v>
      </c>
      <c r="V67" s="25">
        <f t="shared" si="10"/>
        <v>3096</v>
      </c>
      <c r="W67" s="25">
        <f t="shared" si="10"/>
        <v>31177</v>
      </c>
      <c r="X67" s="25">
        <f t="shared" si="10"/>
        <v>299269</v>
      </c>
      <c r="Y67" s="25">
        <f t="shared" si="10"/>
        <v>843117</v>
      </c>
      <c r="Z67" s="25">
        <f t="shared" si="10"/>
        <v>168410</v>
      </c>
      <c r="AA67" s="25">
        <f t="shared" si="10"/>
        <v>32684</v>
      </c>
      <c r="AB67" s="25">
        <f t="shared" si="10"/>
        <v>217129</v>
      </c>
      <c r="AC67" s="25">
        <f t="shared" si="10"/>
        <v>44613</v>
      </c>
      <c r="AD67" s="25">
        <f t="shared" si="10"/>
        <v>3657</v>
      </c>
      <c r="AE67" s="25">
        <f t="shared" si="10"/>
        <v>40595</v>
      </c>
      <c r="AF67" s="25">
        <f t="shared" si="10"/>
        <v>0</v>
      </c>
      <c r="AG67" s="25">
        <f t="shared" si="10"/>
        <v>297816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2954271</v>
      </c>
      <c r="AK67" s="25">
        <f t="shared" si="11"/>
        <v>0</v>
      </c>
      <c r="AL67" s="25">
        <f t="shared" si="11"/>
        <v>139586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355831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329065</v>
      </c>
      <c r="AW67" s="25">
        <f t="shared" si="11"/>
        <v>0</v>
      </c>
      <c r="AX67" s="25">
        <f t="shared" si="11"/>
        <v>0</v>
      </c>
      <c r="AY67" s="25">
        <f t="shared" si="11"/>
        <v>90834</v>
      </c>
      <c r="AZ67" s="25">
        <f t="shared" si="11"/>
        <v>74944</v>
      </c>
      <c r="BA67" s="25">
        <f t="shared" si="11"/>
        <v>35972</v>
      </c>
      <c r="BB67" s="25">
        <f t="shared" si="11"/>
        <v>0</v>
      </c>
      <c r="BC67" s="25">
        <f t="shared" si="11"/>
        <v>0</v>
      </c>
      <c r="BD67" s="25">
        <f t="shared" si="11"/>
        <v>91258</v>
      </c>
      <c r="BE67" s="25">
        <f t="shared" si="11"/>
        <v>6379419</v>
      </c>
      <c r="BF67" s="25">
        <f t="shared" si="11"/>
        <v>19438</v>
      </c>
      <c r="BG67" s="25">
        <f t="shared" si="11"/>
        <v>2685</v>
      </c>
      <c r="BH67" s="25">
        <f t="shared" si="11"/>
        <v>160337</v>
      </c>
      <c r="BI67" s="25">
        <f t="shared" si="11"/>
        <v>22113</v>
      </c>
      <c r="BJ67" s="25">
        <f t="shared" si="11"/>
        <v>45328</v>
      </c>
      <c r="BK67" s="25">
        <f t="shared" si="11"/>
        <v>117765</v>
      </c>
      <c r="BL67" s="25">
        <f t="shared" si="11"/>
        <v>53985</v>
      </c>
      <c r="BM67" s="25">
        <f t="shared" si="11"/>
        <v>30808</v>
      </c>
      <c r="BN67" s="25">
        <f t="shared" si="11"/>
        <v>146095</v>
      </c>
      <c r="BO67" s="25">
        <f t="shared" ref="BO67:CC67" si="12">ROUND(BO51+BO52,0)</f>
        <v>34438</v>
      </c>
      <c r="BP67" s="25">
        <f t="shared" si="12"/>
        <v>50711</v>
      </c>
      <c r="BQ67" s="25">
        <f t="shared" si="12"/>
        <v>0</v>
      </c>
      <c r="BR67" s="25">
        <f t="shared" si="12"/>
        <v>48629</v>
      </c>
      <c r="BS67" s="25">
        <f t="shared" si="12"/>
        <v>6931</v>
      </c>
      <c r="BT67" s="25">
        <f t="shared" si="12"/>
        <v>4096</v>
      </c>
      <c r="BU67" s="25">
        <f t="shared" si="12"/>
        <v>0</v>
      </c>
      <c r="BV67" s="25">
        <f t="shared" si="12"/>
        <v>50711</v>
      </c>
      <c r="BW67" s="25">
        <f t="shared" si="12"/>
        <v>23794</v>
      </c>
      <c r="BX67" s="25">
        <f t="shared" si="12"/>
        <v>79957</v>
      </c>
      <c r="BY67" s="25">
        <f t="shared" si="12"/>
        <v>0</v>
      </c>
      <c r="BZ67" s="25">
        <f t="shared" si="12"/>
        <v>2164</v>
      </c>
      <c r="CA67" s="25">
        <f t="shared" si="12"/>
        <v>5794</v>
      </c>
      <c r="CB67" s="25">
        <f t="shared" si="12"/>
        <v>0</v>
      </c>
      <c r="CC67" s="25">
        <f t="shared" si="12"/>
        <v>660758</v>
      </c>
      <c r="CD67" s="24" t="s">
        <v>247</v>
      </c>
      <c r="CE67" s="25">
        <f t="shared" si="6"/>
        <v>17106907</v>
      </c>
    </row>
    <row r="68" spans="1:83" x14ac:dyDescent="0.25">
      <c r="A68" s="31" t="s">
        <v>267</v>
      </c>
      <c r="B68" s="25"/>
      <c r="C68" s="273">
        <v>721.82</v>
      </c>
      <c r="D68" s="273"/>
      <c r="E68" s="273">
        <v>6600.98</v>
      </c>
      <c r="F68" s="273">
        <v>9999.52</v>
      </c>
      <c r="G68" s="273"/>
      <c r="H68" s="273">
        <v>1893.99</v>
      </c>
      <c r="I68" s="273"/>
      <c r="J68" s="273"/>
      <c r="K68" s="273"/>
      <c r="L68" s="273"/>
      <c r="M68" s="273"/>
      <c r="N68" s="273"/>
      <c r="O68" s="273">
        <v>258.8</v>
      </c>
      <c r="P68" s="275">
        <v>1293326.1399999999</v>
      </c>
      <c r="Q68" s="275">
        <v>94626.07</v>
      </c>
      <c r="R68" s="275">
        <v>146.80000000000001</v>
      </c>
      <c r="S68" s="280">
        <v>44337.35</v>
      </c>
      <c r="T68" s="280">
        <v>167.83</v>
      </c>
      <c r="U68" s="276">
        <v>472530.49</v>
      </c>
      <c r="V68" s="275">
        <v>284.67</v>
      </c>
      <c r="W68" s="275">
        <v>218.2</v>
      </c>
      <c r="X68" s="275">
        <v>893.47</v>
      </c>
      <c r="Y68" s="275">
        <v>401418.39</v>
      </c>
      <c r="Z68" s="275">
        <v>2185.96</v>
      </c>
      <c r="AA68" s="275">
        <v>534.96</v>
      </c>
      <c r="AB68" s="281">
        <v>61933.69</v>
      </c>
      <c r="AC68" s="275">
        <v>28764.82</v>
      </c>
      <c r="AD68" s="275"/>
      <c r="AE68" s="275">
        <v>296476.89</v>
      </c>
      <c r="AF68" s="275"/>
      <c r="AG68" s="275">
        <v>5071.3500000000004</v>
      </c>
      <c r="AH68" s="275"/>
      <c r="AI68" s="275"/>
      <c r="AJ68" s="275">
        <v>5466032.9000000004</v>
      </c>
      <c r="AK68" s="275"/>
      <c r="AL68" s="275">
        <v>18693.73</v>
      </c>
      <c r="AM68" s="275"/>
      <c r="AN68" s="275"/>
      <c r="AO68" s="275">
        <v>3.8</v>
      </c>
      <c r="AP68" s="275"/>
      <c r="AQ68" s="275"/>
      <c r="AR68" s="275">
        <v>233621.01</v>
      </c>
      <c r="AS68" s="275"/>
      <c r="AT68" s="275"/>
      <c r="AU68" s="275"/>
      <c r="AV68" s="280">
        <v>346511.47899999999</v>
      </c>
      <c r="AW68" s="280"/>
      <c r="AX68" s="280"/>
      <c r="AY68" s="275">
        <v>2473.5100000000002</v>
      </c>
      <c r="AZ68" s="275">
        <v>13</v>
      </c>
      <c r="BA68" s="280">
        <v>96404.62</v>
      </c>
      <c r="BB68" s="280"/>
      <c r="BC68" s="280"/>
      <c r="BD68" s="280">
        <v>3028.05</v>
      </c>
      <c r="BE68" s="275">
        <v>68056.09</v>
      </c>
      <c r="BF68" s="280">
        <v>130456.8</v>
      </c>
      <c r="BG68" s="280"/>
      <c r="BH68" s="280">
        <v>1138419.51</v>
      </c>
      <c r="BI68" s="280">
        <v>36622.99</v>
      </c>
      <c r="BJ68" s="280">
        <v>569.96</v>
      </c>
      <c r="BK68" s="280">
        <v>2211.7800000000002</v>
      </c>
      <c r="BL68" s="280">
        <v>7017.15</v>
      </c>
      <c r="BM68" s="280">
        <v>499.83</v>
      </c>
      <c r="BN68" s="280">
        <v>18050.330000000002</v>
      </c>
      <c r="BO68" s="280">
        <v>49566.69</v>
      </c>
      <c r="BP68" s="280">
        <v>150.11000000000001</v>
      </c>
      <c r="BQ68" s="280"/>
      <c r="BR68" s="280">
        <v>201028.98</v>
      </c>
      <c r="BS68" s="280">
        <v>120.37</v>
      </c>
      <c r="BT68" s="280">
        <v>19.309999999999999</v>
      </c>
      <c r="BU68" s="280"/>
      <c r="BV68" s="280">
        <v>55540.26</v>
      </c>
      <c r="BW68" s="280">
        <v>957.36</v>
      </c>
      <c r="BX68" s="280">
        <v>32539.77</v>
      </c>
      <c r="BY68" s="280">
        <v>22.9</v>
      </c>
      <c r="BZ68" s="280">
        <v>29.26</v>
      </c>
      <c r="CA68" s="280"/>
      <c r="CB68" s="280"/>
      <c r="CC68" s="280">
        <f>501879.44+2055</f>
        <v>503934.44</v>
      </c>
      <c r="CD68" s="24" t="s">
        <v>247</v>
      </c>
      <c r="CE68" s="25">
        <f t="shared" si="6"/>
        <v>11134988.179</v>
      </c>
    </row>
    <row r="69" spans="1:83" x14ac:dyDescent="0.25">
      <c r="A69" s="31" t="s">
        <v>268</v>
      </c>
      <c r="B69" s="16"/>
      <c r="C69" s="25">
        <f t="shared" ref="C69:AH69" si="13">SUM(C70:C83)</f>
        <v>955936.26</v>
      </c>
      <c r="D69" s="25">
        <f t="shared" si="13"/>
        <v>0</v>
      </c>
      <c r="E69" s="25">
        <f t="shared" si="13"/>
        <v>4649074.5</v>
      </c>
      <c r="F69" s="25">
        <f t="shared" si="13"/>
        <v>68544.709999999992</v>
      </c>
      <c r="G69" s="25">
        <f t="shared" si="13"/>
        <v>0</v>
      </c>
      <c r="H69" s="25">
        <f t="shared" si="13"/>
        <v>206347.36700000003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168793.31</v>
      </c>
      <c r="P69" s="25">
        <f t="shared" si="13"/>
        <v>3296118.67</v>
      </c>
      <c r="Q69" s="25">
        <f t="shared" si="13"/>
        <v>8006.31</v>
      </c>
      <c r="R69" s="25">
        <f t="shared" si="13"/>
        <v>-385761.55999999988</v>
      </c>
      <c r="S69" s="25">
        <f t="shared" si="13"/>
        <v>395687.32</v>
      </c>
      <c r="T69" s="25">
        <f t="shared" si="13"/>
        <v>9880.75</v>
      </c>
      <c r="U69" s="25">
        <f t="shared" si="13"/>
        <v>2119512.89</v>
      </c>
      <c r="V69" s="25">
        <f t="shared" si="13"/>
        <v>0</v>
      </c>
      <c r="W69" s="25">
        <f t="shared" si="13"/>
        <v>308939.97000000003</v>
      </c>
      <c r="X69" s="25">
        <f t="shared" si="13"/>
        <v>485123.77</v>
      </c>
      <c r="Y69" s="25">
        <f t="shared" si="13"/>
        <v>1790875.1300000001</v>
      </c>
      <c r="Z69" s="25">
        <f t="shared" si="13"/>
        <v>1239134.53</v>
      </c>
      <c r="AA69" s="25">
        <f t="shared" si="13"/>
        <v>62659.95</v>
      </c>
      <c r="AB69" s="25">
        <f t="shared" si="13"/>
        <v>969789.5780000001</v>
      </c>
      <c r="AC69" s="25">
        <f t="shared" si="13"/>
        <v>356825.8</v>
      </c>
      <c r="AD69" s="25">
        <f t="shared" si="13"/>
        <v>0</v>
      </c>
      <c r="AE69" s="25">
        <f t="shared" si="13"/>
        <v>36376.54</v>
      </c>
      <c r="AF69" s="25">
        <f t="shared" si="13"/>
        <v>0</v>
      </c>
      <c r="AG69" s="25">
        <f t="shared" si="13"/>
        <v>2183180.3699999996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5119767.1900000004</v>
      </c>
      <c r="AK69" s="25">
        <f t="shared" si="14"/>
        <v>0</v>
      </c>
      <c r="AL69" s="25">
        <f t="shared" si="14"/>
        <v>7063.12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369133.42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1557252.26</v>
      </c>
      <c r="AW69" s="25">
        <f t="shared" si="14"/>
        <v>116717.71</v>
      </c>
      <c r="AX69" s="25">
        <f t="shared" si="14"/>
        <v>0</v>
      </c>
      <c r="AY69" s="25">
        <f t="shared" si="14"/>
        <v>141613.17000000001</v>
      </c>
      <c r="AZ69" s="25">
        <f t="shared" si="14"/>
        <v>40578.67</v>
      </c>
      <c r="BA69" s="25">
        <f t="shared" si="14"/>
        <v>2150741.1399999997</v>
      </c>
      <c r="BB69" s="25">
        <f t="shared" si="14"/>
        <v>0</v>
      </c>
      <c r="BC69" s="25">
        <f t="shared" si="14"/>
        <v>0</v>
      </c>
      <c r="BD69" s="25">
        <f t="shared" si="14"/>
        <v>707258.64</v>
      </c>
      <c r="BE69" s="25">
        <f t="shared" si="14"/>
        <v>4975805.4399999995</v>
      </c>
      <c r="BF69" s="25">
        <f t="shared" si="14"/>
        <v>1289890.4099999999</v>
      </c>
      <c r="BG69" s="25">
        <f t="shared" si="14"/>
        <v>0</v>
      </c>
      <c r="BH69" s="25">
        <f t="shared" si="14"/>
        <v>8061529.9600000009</v>
      </c>
      <c r="BI69" s="25">
        <f t="shared" si="14"/>
        <v>659713.80900000001</v>
      </c>
      <c r="BJ69" s="25">
        <f t="shared" si="14"/>
        <v>630730.15</v>
      </c>
      <c r="BK69" s="25">
        <f t="shared" si="14"/>
        <v>228349.86</v>
      </c>
      <c r="BL69" s="25">
        <f t="shared" si="14"/>
        <v>32386.010000000002</v>
      </c>
      <c r="BM69" s="25">
        <f t="shared" si="14"/>
        <v>1095075.6200000001</v>
      </c>
      <c r="BN69" s="25">
        <f t="shared" si="14"/>
        <v>390930.74</v>
      </c>
      <c r="BO69" s="25">
        <f t="shared" ref="BO69:CE69" si="15">SUM(BO70:BO83)</f>
        <v>74151.73000000001</v>
      </c>
      <c r="BP69" s="25">
        <f t="shared" si="15"/>
        <v>267574.3</v>
      </c>
      <c r="BQ69" s="25">
        <f t="shared" si="15"/>
        <v>0</v>
      </c>
      <c r="BR69" s="25">
        <f t="shared" si="15"/>
        <v>1168435.52</v>
      </c>
      <c r="BS69" s="25">
        <f t="shared" si="15"/>
        <v>17961.38</v>
      </c>
      <c r="BT69" s="25">
        <f t="shared" si="15"/>
        <v>372.40000000000003</v>
      </c>
      <c r="BU69" s="25">
        <f t="shared" si="15"/>
        <v>0</v>
      </c>
      <c r="BV69" s="25">
        <f t="shared" si="15"/>
        <v>-117860.68</v>
      </c>
      <c r="BW69" s="25">
        <f t="shared" si="15"/>
        <v>2550686.7600000007</v>
      </c>
      <c r="BX69" s="25">
        <f t="shared" si="15"/>
        <v>479762.03</v>
      </c>
      <c r="BY69" s="25">
        <f t="shared" si="15"/>
        <v>115442.26000000001</v>
      </c>
      <c r="BZ69" s="25">
        <f t="shared" si="15"/>
        <v>147081.99</v>
      </c>
      <c r="CA69" s="25">
        <f t="shared" si="15"/>
        <v>0</v>
      </c>
      <c r="CB69" s="25">
        <f t="shared" si="15"/>
        <v>0</v>
      </c>
      <c r="CC69" s="25">
        <f t="shared" si="15"/>
        <v>27602581.859999999</v>
      </c>
      <c r="CD69" s="25">
        <f t="shared" si="15"/>
        <v>11239366.02</v>
      </c>
      <c r="CE69" s="25">
        <f t="shared" si="15"/>
        <v>90045139.05399999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>
        <v>364137.75</v>
      </c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364137.75</v>
      </c>
    </row>
    <row r="71" spans="1:83" x14ac:dyDescent="0.25">
      <c r="A71" s="26" t="s">
        <v>270</v>
      </c>
      <c r="B71" s="27"/>
      <c r="C71" s="282">
        <v>886156.91</v>
      </c>
      <c r="D71" s="282"/>
      <c r="E71" s="282">
        <v>4623762.79</v>
      </c>
      <c r="F71" s="282">
        <v>9941.64</v>
      </c>
      <c r="G71" s="282"/>
      <c r="H71" s="282">
        <v>173658.52</v>
      </c>
      <c r="I71" s="282"/>
      <c r="J71" s="282"/>
      <c r="K71" s="282"/>
      <c r="L71" s="282"/>
      <c r="M71" s="282"/>
      <c r="N71" s="282"/>
      <c r="O71" s="282">
        <v>142583.73000000001</v>
      </c>
      <c r="P71" s="282">
        <v>1203266.04</v>
      </c>
      <c r="Q71" s="282"/>
      <c r="R71" s="282">
        <v>-527704.81999999995</v>
      </c>
      <c r="S71" s="282">
        <v>277489.3</v>
      </c>
      <c r="T71" s="282"/>
      <c r="U71" s="282">
        <v>674793.53</v>
      </c>
      <c r="V71" s="282"/>
      <c r="W71" s="282"/>
      <c r="X71" s="282"/>
      <c r="Y71" s="282">
        <v>836043.52</v>
      </c>
      <c r="Z71" s="282">
        <v>60850.94</v>
      </c>
      <c r="AA71" s="282"/>
      <c r="AB71" s="282"/>
      <c r="AC71" s="282">
        <v>316692.55</v>
      </c>
      <c r="AD71" s="282"/>
      <c r="AE71" s="282"/>
      <c r="AF71" s="282"/>
      <c r="AG71" s="282">
        <v>2118046.75</v>
      </c>
      <c r="AH71" s="282"/>
      <c r="AI71" s="282"/>
      <c r="AJ71" s="282">
        <v>892615.56</v>
      </c>
      <c r="AK71" s="282"/>
      <c r="AL71" s="282"/>
      <c r="AM71" s="282"/>
      <c r="AN71" s="282"/>
      <c r="AO71" s="282"/>
      <c r="AP71" s="282"/>
      <c r="AQ71" s="282"/>
      <c r="AR71" s="282">
        <v>1406.11</v>
      </c>
      <c r="AS71" s="282"/>
      <c r="AT71" s="282"/>
      <c r="AU71" s="282"/>
      <c r="AV71" s="282">
        <v>1079357.03</v>
      </c>
      <c r="AW71" s="282"/>
      <c r="AX71" s="282"/>
      <c r="AY71" s="282"/>
      <c r="AZ71" s="282"/>
      <c r="BA71" s="282"/>
      <c r="BB71" s="282"/>
      <c r="BC71" s="282"/>
      <c r="BD71" s="282">
        <v>80459.289999999994</v>
      </c>
      <c r="BE71" s="282"/>
      <c r="BF71" s="282">
        <v>464020.99</v>
      </c>
      <c r="BG71" s="282"/>
      <c r="BH71" s="282">
        <v>16458.28</v>
      </c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>
        <v>1480</v>
      </c>
      <c r="BW71" s="282"/>
      <c r="BX71" s="282">
        <v>51197.99</v>
      </c>
      <c r="BY71" s="282"/>
      <c r="BZ71" s="282">
        <v>91656.25</v>
      </c>
      <c r="CA71" s="282"/>
      <c r="CB71" s="282"/>
      <c r="CC71" s="282">
        <v>399.75</v>
      </c>
      <c r="CD71" s="282"/>
      <c r="CE71" s="25">
        <f t="shared" si="16"/>
        <v>13474632.649999999</v>
      </c>
    </row>
    <row r="72" spans="1:83" x14ac:dyDescent="0.25">
      <c r="A72" s="26" t="s">
        <v>271</v>
      </c>
      <c r="B72" s="27"/>
      <c r="C72" s="282"/>
      <c r="D72" s="282"/>
      <c r="E72" s="282">
        <v>3777.12</v>
      </c>
      <c r="F72" s="282">
        <v>19411.5</v>
      </c>
      <c r="G72" s="282"/>
      <c r="H72" s="282">
        <v>6434.4769999999999</v>
      </c>
      <c r="I72" s="282"/>
      <c r="J72" s="282"/>
      <c r="K72" s="282"/>
      <c r="L72" s="282"/>
      <c r="M72" s="282"/>
      <c r="N72" s="282"/>
      <c r="O72" s="282">
        <v>419.68</v>
      </c>
      <c r="P72" s="282">
        <v>1031866.13</v>
      </c>
      <c r="Q72" s="282">
        <v>209.84</v>
      </c>
      <c r="R72" s="282">
        <v>9478.14</v>
      </c>
      <c r="S72" s="282">
        <v>3173.12</v>
      </c>
      <c r="T72" s="282"/>
      <c r="U72" s="282">
        <v>740425.78</v>
      </c>
      <c r="V72" s="282"/>
      <c r="W72" s="282">
        <v>245384.85</v>
      </c>
      <c r="X72" s="282">
        <v>306777.96000000002</v>
      </c>
      <c r="Y72" s="282">
        <v>583418.74</v>
      </c>
      <c r="Z72" s="282">
        <v>988340.48</v>
      </c>
      <c r="AA72" s="282">
        <v>21278.28</v>
      </c>
      <c r="AB72" s="282">
        <v>666096.69799999997</v>
      </c>
      <c r="AC72" s="282">
        <v>419.68</v>
      </c>
      <c r="AD72" s="282"/>
      <c r="AE72" s="282">
        <v>470.62</v>
      </c>
      <c r="AF72" s="282"/>
      <c r="AG72" s="282">
        <v>34016.5</v>
      </c>
      <c r="AH72" s="282"/>
      <c r="AI72" s="282"/>
      <c r="AJ72" s="282">
        <v>1252484.6399999999</v>
      </c>
      <c r="AK72" s="282"/>
      <c r="AL72" s="282">
        <v>209.84</v>
      </c>
      <c r="AM72" s="282"/>
      <c r="AN72" s="282"/>
      <c r="AO72" s="282"/>
      <c r="AP72" s="282"/>
      <c r="AQ72" s="282"/>
      <c r="AR72" s="282">
        <v>1520.43</v>
      </c>
      <c r="AS72" s="282"/>
      <c r="AT72" s="282"/>
      <c r="AU72" s="282"/>
      <c r="AV72" s="282">
        <v>91901.47</v>
      </c>
      <c r="AW72" s="282"/>
      <c r="AX72" s="282"/>
      <c r="AY72" s="282">
        <v>119083.65</v>
      </c>
      <c r="AZ72" s="282">
        <v>19948.86</v>
      </c>
      <c r="BA72" s="282"/>
      <c r="BB72" s="282"/>
      <c r="BC72" s="282"/>
      <c r="BD72" s="282">
        <v>40840.49</v>
      </c>
      <c r="BE72" s="282">
        <v>1892099.02</v>
      </c>
      <c r="BF72" s="282">
        <v>209.84</v>
      </c>
      <c r="BG72" s="282"/>
      <c r="BH72" s="282">
        <v>7969151.1900000004</v>
      </c>
      <c r="BI72" s="282"/>
      <c r="BJ72" s="282">
        <v>564576.64</v>
      </c>
      <c r="BK72" s="282">
        <v>157816.51999999999</v>
      </c>
      <c r="BL72" s="282">
        <v>32211.08</v>
      </c>
      <c r="BM72" s="282">
        <v>1063853.1000000001</v>
      </c>
      <c r="BN72" s="282"/>
      <c r="BO72" s="282">
        <v>18419.41</v>
      </c>
      <c r="BP72" s="282">
        <v>2203.19</v>
      </c>
      <c r="BQ72" s="282"/>
      <c r="BR72" s="282">
        <v>1088562.04</v>
      </c>
      <c r="BS72" s="282">
        <v>12340.66</v>
      </c>
      <c r="BT72" s="282"/>
      <c r="BU72" s="282"/>
      <c r="BV72" s="282">
        <v>11953.83</v>
      </c>
      <c r="BW72" s="282">
        <v>127157.95</v>
      </c>
      <c r="BX72" s="282">
        <v>83483.539999999994</v>
      </c>
      <c r="BY72" s="282">
        <v>98824.56</v>
      </c>
      <c r="BZ72" s="282">
        <v>54280.38</v>
      </c>
      <c r="CA72" s="282"/>
      <c r="CB72" s="282"/>
      <c r="CC72" s="282">
        <v>1787863.57</v>
      </c>
      <c r="CD72" s="282">
        <v>817.62</v>
      </c>
      <c r="CE72" s="25">
        <f t="shared" si="16"/>
        <v>21153213.114999995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>
        <v>300</v>
      </c>
      <c r="AC73" s="282"/>
      <c r="AD73" s="282"/>
      <c r="AE73" s="282"/>
      <c r="AF73" s="282"/>
      <c r="AG73" s="282"/>
      <c r="AH73" s="282"/>
      <c r="AI73" s="282"/>
      <c r="AJ73" s="282">
        <v>18321.099999999999</v>
      </c>
      <c r="AK73" s="282"/>
      <c r="AL73" s="282"/>
      <c r="AM73" s="282"/>
      <c r="AN73" s="282"/>
      <c r="AO73" s="282"/>
      <c r="AP73" s="282"/>
      <c r="AQ73" s="282"/>
      <c r="AR73" s="282">
        <v>300</v>
      </c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>
        <v>2344232.87</v>
      </c>
      <c r="BX73" s="282"/>
      <c r="BY73" s="282">
        <v>130</v>
      </c>
      <c r="BZ73" s="282"/>
      <c r="CA73" s="282"/>
      <c r="CB73" s="282"/>
      <c r="CC73" s="282"/>
      <c r="CD73" s="282">
        <v>7074.55</v>
      </c>
      <c r="CE73" s="25">
        <f t="shared" si="16"/>
        <v>2370358.52</v>
      </c>
    </row>
    <row r="74" spans="1:83" x14ac:dyDescent="0.25">
      <c r="A74" s="26" t="s">
        <v>273</v>
      </c>
      <c r="B74" s="27"/>
      <c r="C74" s="282">
        <v>287.55</v>
      </c>
      <c r="D74" s="282"/>
      <c r="E74" s="282">
        <v>18.38</v>
      </c>
      <c r="F74" s="282"/>
      <c r="G74" s="282"/>
      <c r="H74" s="282">
        <v>4.1100000000000003</v>
      </c>
      <c r="I74" s="282"/>
      <c r="J74" s="282"/>
      <c r="K74" s="282"/>
      <c r="L74" s="282"/>
      <c r="M74" s="282"/>
      <c r="N74" s="282"/>
      <c r="O74" s="282"/>
      <c r="P74" s="282">
        <v>27404.87</v>
      </c>
      <c r="Q74" s="282"/>
      <c r="R74" s="282"/>
      <c r="S74" s="282"/>
      <c r="T74" s="282"/>
      <c r="U74" s="282">
        <v>-2063.1</v>
      </c>
      <c r="V74" s="282"/>
      <c r="W74" s="282">
        <v>30.67</v>
      </c>
      <c r="X74" s="282"/>
      <c r="Y74" s="282">
        <v>605.27</v>
      </c>
      <c r="Z74" s="282"/>
      <c r="AA74" s="282"/>
      <c r="AB74" s="282">
        <v>1663.74</v>
      </c>
      <c r="AC74" s="282"/>
      <c r="AD74" s="282"/>
      <c r="AE74" s="282">
        <v>10372.73</v>
      </c>
      <c r="AF74" s="282"/>
      <c r="AG74" s="282">
        <v>134.54</v>
      </c>
      <c r="AH74" s="282"/>
      <c r="AI74" s="282"/>
      <c r="AJ74" s="282">
        <v>82139.88</v>
      </c>
      <c r="AK74" s="282"/>
      <c r="AL74" s="282"/>
      <c r="AM74" s="282"/>
      <c r="AN74" s="282"/>
      <c r="AO74" s="282"/>
      <c r="AP74" s="282"/>
      <c r="AQ74" s="282"/>
      <c r="AR74" s="282">
        <v>12331.49</v>
      </c>
      <c r="AS74" s="282"/>
      <c r="AT74" s="282"/>
      <c r="AU74" s="282"/>
      <c r="AV74" s="282">
        <v>17623.189999999999</v>
      </c>
      <c r="AW74" s="282"/>
      <c r="AX74" s="282"/>
      <c r="AY74" s="282">
        <v>11760.17</v>
      </c>
      <c r="AZ74" s="282">
        <v>10346.15</v>
      </c>
      <c r="BA74" s="282">
        <v>2150697.09</v>
      </c>
      <c r="BB74" s="282"/>
      <c r="BC74" s="282"/>
      <c r="BD74" s="282"/>
      <c r="BE74" s="282">
        <v>-4512.5</v>
      </c>
      <c r="BF74" s="282">
        <v>48119.75</v>
      </c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>
        <v>3692.14</v>
      </c>
      <c r="CD74" s="282"/>
      <c r="CE74" s="25">
        <f t="shared" si="16"/>
        <v>2370656.12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>
        <v>5344.42</v>
      </c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>
        <v>977126.97</v>
      </c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>
        <v>614.1</v>
      </c>
      <c r="BF75" s="282"/>
      <c r="BG75" s="282"/>
      <c r="BH75" s="282"/>
      <c r="BI75" s="282"/>
      <c r="BJ75" s="282">
        <v>53175</v>
      </c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>
        <v>16150</v>
      </c>
      <c r="BW75" s="282"/>
      <c r="BX75" s="282">
        <v>25987.17</v>
      </c>
      <c r="BY75" s="282"/>
      <c r="BZ75" s="282"/>
      <c r="CA75" s="282"/>
      <c r="CB75" s="282"/>
      <c r="CC75" s="282">
        <f>324853.46+4566345.96</f>
        <v>4891199.42</v>
      </c>
      <c r="CD75" s="282"/>
      <c r="CE75" s="25">
        <f t="shared" si="16"/>
        <v>5969597.0800000001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>
        <v>11810.24</v>
      </c>
      <c r="D77" s="282"/>
      <c r="E77" s="282">
        <v>17966</v>
      </c>
      <c r="F77" s="282"/>
      <c r="G77" s="282"/>
      <c r="H77" s="282">
        <v>8263.2000000000007</v>
      </c>
      <c r="I77" s="282"/>
      <c r="J77" s="282"/>
      <c r="K77" s="282"/>
      <c r="L77" s="282"/>
      <c r="M77" s="282"/>
      <c r="N77" s="282"/>
      <c r="O77" s="282">
        <v>21045.21</v>
      </c>
      <c r="P77" s="282">
        <v>933237.13</v>
      </c>
      <c r="Q77" s="282">
        <v>2310.5</v>
      </c>
      <c r="R77" s="282">
        <v>545.57000000000005</v>
      </c>
      <c r="S77" s="282">
        <v>114834.32</v>
      </c>
      <c r="T77" s="282">
        <v>9880.75</v>
      </c>
      <c r="U77" s="282">
        <v>266115.82</v>
      </c>
      <c r="V77" s="282"/>
      <c r="W77" s="282">
        <v>63524.45</v>
      </c>
      <c r="X77" s="282">
        <v>178047.42</v>
      </c>
      <c r="Y77" s="282">
        <v>222536.45</v>
      </c>
      <c r="Z77" s="282">
        <v>164082.06</v>
      </c>
      <c r="AA77" s="282">
        <v>31295.67</v>
      </c>
      <c r="AB77" s="282">
        <v>73249.429999999993</v>
      </c>
      <c r="AC77" s="282">
        <v>16973.400000000001</v>
      </c>
      <c r="AD77" s="282"/>
      <c r="AE77" s="282">
        <v>1092.8599999999999</v>
      </c>
      <c r="AF77" s="282"/>
      <c r="AG77" s="282">
        <v>24565.01</v>
      </c>
      <c r="AH77" s="282"/>
      <c r="AI77" s="282"/>
      <c r="AJ77" s="282">
        <v>662256.51</v>
      </c>
      <c r="AK77" s="282"/>
      <c r="AL77" s="282">
        <v>7.55</v>
      </c>
      <c r="AM77" s="282"/>
      <c r="AN77" s="282"/>
      <c r="AO77" s="282"/>
      <c r="AP77" s="282"/>
      <c r="AQ77" s="282"/>
      <c r="AR77" s="282">
        <v>73996.600000000006</v>
      </c>
      <c r="AS77" s="282"/>
      <c r="AT77" s="282"/>
      <c r="AU77" s="282"/>
      <c r="AV77" s="282">
        <v>35703.97</v>
      </c>
      <c r="AW77" s="282"/>
      <c r="AX77" s="282"/>
      <c r="AY77" s="282">
        <v>9346.6200000000008</v>
      </c>
      <c r="AZ77" s="282">
        <v>9392.66</v>
      </c>
      <c r="BA77" s="282"/>
      <c r="BB77" s="282"/>
      <c r="BC77" s="282"/>
      <c r="BD77" s="282">
        <v>5397.72</v>
      </c>
      <c r="BE77" s="282">
        <v>3065440.14</v>
      </c>
      <c r="BF77" s="282">
        <v>334771.11</v>
      </c>
      <c r="BG77" s="282"/>
      <c r="BH77" s="282">
        <v>67128.789999999994</v>
      </c>
      <c r="BI77" s="282">
        <v>629447.88</v>
      </c>
      <c r="BJ77" s="282">
        <v>35.520000000000003</v>
      </c>
      <c r="BK77" s="282">
        <v>36209.42</v>
      </c>
      <c r="BL77" s="282"/>
      <c r="BM77" s="282">
        <v>16079.55</v>
      </c>
      <c r="BN77" s="282">
        <v>15174.3</v>
      </c>
      <c r="BO77" s="282">
        <v>44518.78</v>
      </c>
      <c r="BP77" s="282">
        <v>5226.63</v>
      </c>
      <c r="BQ77" s="282"/>
      <c r="BR77" s="282"/>
      <c r="BS77" s="282"/>
      <c r="BT77" s="282">
        <v>16.23</v>
      </c>
      <c r="BU77" s="282"/>
      <c r="BV77" s="282">
        <v>-160358.12</v>
      </c>
      <c r="BW77" s="282"/>
      <c r="BX77" s="282">
        <v>22158.3</v>
      </c>
      <c r="BY77" s="282">
        <v>13230</v>
      </c>
      <c r="BZ77" s="282"/>
      <c r="CA77" s="282"/>
      <c r="CB77" s="282"/>
      <c r="CC77" s="282">
        <v>36193.42</v>
      </c>
      <c r="CD77" s="282">
        <f>-5596.24+308.43</f>
        <v>-5287.8099999999995</v>
      </c>
      <c r="CE77" s="25">
        <f t="shared" si="16"/>
        <v>7077461.2599999998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>
        <v>2126.84</v>
      </c>
      <c r="S79" s="282"/>
      <c r="T79" s="282"/>
      <c r="U79" s="282"/>
      <c r="V79" s="282"/>
      <c r="W79" s="282"/>
      <c r="X79" s="282"/>
      <c r="Y79" s="282"/>
      <c r="Z79" s="282"/>
      <c r="AA79" s="282">
        <v>960</v>
      </c>
      <c r="AB79" s="282"/>
      <c r="AC79" s="282"/>
      <c r="AD79" s="282"/>
      <c r="AE79" s="282"/>
      <c r="AF79" s="282"/>
      <c r="AG79" s="282"/>
      <c r="AH79" s="282"/>
      <c r="AI79" s="282"/>
      <c r="AJ79" s="282">
        <v>16447.07</v>
      </c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>
        <v>14095.54</v>
      </c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>
        <v>460</v>
      </c>
      <c r="BN79" s="282">
        <v>1122</v>
      </c>
      <c r="BO79" s="282"/>
      <c r="BP79" s="282"/>
      <c r="BQ79" s="282"/>
      <c r="BR79" s="282">
        <v>77504.649999999994</v>
      </c>
      <c r="BS79" s="282"/>
      <c r="BT79" s="282"/>
      <c r="BU79" s="282"/>
      <c r="BV79" s="282"/>
      <c r="BW79" s="282">
        <v>19678.22</v>
      </c>
      <c r="BX79" s="282">
        <v>67936.460000000006</v>
      </c>
      <c r="BY79" s="282">
        <v>3102.5</v>
      </c>
      <c r="BZ79" s="282"/>
      <c r="CA79" s="282"/>
      <c r="CB79" s="282"/>
      <c r="CC79" s="282">
        <v>738.34</v>
      </c>
      <c r="CD79" s="282"/>
      <c r="CE79" s="25">
        <f t="shared" si="16"/>
        <v>204171.62000000002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>
        <v>78</v>
      </c>
      <c r="S80" s="282">
        <v>14.78</v>
      </c>
      <c r="T80" s="282"/>
      <c r="U80" s="282"/>
      <c r="V80" s="282"/>
      <c r="W80" s="282"/>
      <c r="X80" s="282"/>
      <c r="Y80" s="282"/>
      <c r="Z80" s="282"/>
      <c r="AA80" s="282"/>
      <c r="AB80" s="282">
        <v>9.68</v>
      </c>
      <c r="AC80" s="282"/>
      <c r="AD80" s="282"/>
      <c r="AE80" s="282">
        <v>1763.59</v>
      </c>
      <c r="AF80" s="282"/>
      <c r="AG80" s="282">
        <v>29.81</v>
      </c>
      <c r="AH80" s="282"/>
      <c r="AI80" s="282"/>
      <c r="AJ80" s="282">
        <v>1962.58</v>
      </c>
      <c r="AK80" s="282"/>
      <c r="AL80" s="282">
        <v>1138</v>
      </c>
      <c r="AM80" s="282"/>
      <c r="AN80" s="282"/>
      <c r="AO80" s="282"/>
      <c r="AP80" s="282"/>
      <c r="AQ80" s="282"/>
      <c r="AR80" s="282"/>
      <c r="AS80" s="282"/>
      <c r="AT80" s="282"/>
      <c r="AU80" s="282"/>
      <c r="AV80" s="282">
        <v>4159.57</v>
      </c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>
        <v>4260</v>
      </c>
      <c r="BI80" s="282">
        <f>12724.98+702.02</f>
        <v>13427</v>
      </c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>
        <v>10067.780000000001</v>
      </c>
      <c r="BY80" s="282">
        <v>19.489999999999998</v>
      </c>
      <c r="BZ80" s="282"/>
      <c r="CA80" s="282"/>
      <c r="CB80" s="282"/>
      <c r="CC80" s="282">
        <v>1600</v>
      </c>
      <c r="CD80" s="282">
        <v>40</v>
      </c>
      <c r="CE80" s="25">
        <f t="shared" si="16"/>
        <v>38570.28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>
        <v>19715.11</v>
      </c>
      <c r="Q81" s="282">
        <v>5361.89</v>
      </c>
      <c r="R81" s="282"/>
      <c r="S81" s="282"/>
      <c r="T81" s="282"/>
      <c r="U81" s="282">
        <v>6562.72</v>
      </c>
      <c r="V81" s="282"/>
      <c r="W81" s="282"/>
      <c r="X81" s="282"/>
      <c r="Y81" s="282">
        <v>48261.58</v>
      </c>
      <c r="Z81" s="282"/>
      <c r="AA81" s="282"/>
      <c r="AB81" s="282"/>
      <c r="AC81" s="282"/>
      <c r="AD81" s="282"/>
      <c r="AE81" s="282">
        <v>3361.34</v>
      </c>
      <c r="AF81" s="282"/>
      <c r="AG81" s="282"/>
      <c r="AH81" s="282"/>
      <c r="AI81" s="282"/>
      <c r="AJ81" s="282">
        <v>213055.6</v>
      </c>
      <c r="AK81" s="282"/>
      <c r="AL81" s="282"/>
      <c r="AM81" s="282"/>
      <c r="AN81" s="282"/>
      <c r="AO81" s="282"/>
      <c r="AP81" s="282"/>
      <c r="AQ81" s="282"/>
      <c r="AR81" s="282">
        <v>43238.17</v>
      </c>
      <c r="AS81" s="282"/>
      <c r="AT81" s="282"/>
      <c r="AU81" s="282"/>
      <c r="AV81" s="282">
        <v>16794.66</v>
      </c>
      <c r="AW81" s="282"/>
      <c r="AX81" s="282"/>
      <c r="AY81" s="282"/>
      <c r="AZ81" s="282"/>
      <c r="BA81" s="282"/>
      <c r="BB81" s="282"/>
      <c r="BC81" s="282"/>
      <c r="BD81" s="282">
        <v>678.6</v>
      </c>
      <c r="BE81" s="282"/>
      <c r="BF81" s="282"/>
      <c r="BG81" s="282"/>
      <c r="BH81" s="282"/>
      <c r="BI81" s="282">
        <v>359.00900000000001</v>
      </c>
      <c r="BJ81" s="282">
        <v>-4078.03</v>
      </c>
      <c r="BK81" s="282"/>
      <c r="BL81" s="282"/>
      <c r="BM81" s="282">
        <v>11334.4</v>
      </c>
      <c r="BN81" s="282">
        <v>2667.38</v>
      </c>
      <c r="BO81" s="282"/>
      <c r="BP81" s="282"/>
      <c r="BQ81" s="282"/>
      <c r="BR81" s="282"/>
      <c r="BS81" s="282"/>
      <c r="BT81" s="282"/>
      <c r="BU81" s="282"/>
      <c r="BV81" s="282"/>
      <c r="BW81" s="282"/>
      <c r="BX81" s="282">
        <v>1612.27</v>
      </c>
      <c r="BY81" s="282"/>
      <c r="BZ81" s="282"/>
      <c r="CA81" s="282"/>
      <c r="CB81" s="282"/>
      <c r="CC81" s="282">
        <v>104271.85</v>
      </c>
      <c r="CD81" s="282">
        <v>3491086.64</v>
      </c>
      <c r="CE81" s="25">
        <f t="shared" si="16"/>
        <v>3964283.1890000002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>
        <v>57681.56</v>
      </c>
      <c r="D83" s="273"/>
      <c r="E83" s="275">
        <f>5165.15-1614.94</f>
        <v>3550.2099999999996</v>
      </c>
      <c r="F83" s="275">
        <f>46391.57-7200</f>
        <v>39191.57</v>
      </c>
      <c r="G83" s="273"/>
      <c r="H83" s="273">
        <v>12642.64</v>
      </c>
      <c r="I83" s="275"/>
      <c r="J83" s="275"/>
      <c r="K83" s="275"/>
      <c r="L83" s="275"/>
      <c r="M83" s="273"/>
      <c r="N83" s="273"/>
      <c r="O83" s="273">
        <v>4744.6899999999996</v>
      </c>
      <c r="P83" s="275">
        <f>80805.19-175.8</f>
        <v>80629.39</v>
      </c>
      <c r="Q83" s="275">
        <v>124.08</v>
      </c>
      <c r="R83" s="276">
        <v>129714.71</v>
      </c>
      <c r="S83" s="275">
        <v>175.8</v>
      </c>
      <c r="T83" s="273"/>
      <c r="U83" s="275">
        <f>69540.39</f>
        <v>69540.39</v>
      </c>
      <c r="V83" s="275"/>
      <c r="W83" s="273"/>
      <c r="X83" s="275">
        <v>298.39</v>
      </c>
      <c r="Y83" s="275">
        <v>100009.57</v>
      </c>
      <c r="Z83" s="275">
        <v>25861.05</v>
      </c>
      <c r="AA83" s="275">
        <v>9126</v>
      </c>
      <c r="AB83" s="275">
        <v>228470.03</v>
      </c>
      <c r="AC83" s="275">
        <v>22740.17</v>
      </c>
      <c r="AD83" s="275"/>
      <c r="AE83" s="275">
        <v>19315.400000000001</v>
      </c>
      <c r="AF83" s="275"/>
      <c r="AG83" s="275">
        <f>6533.97-146.21</f>
        <v>6387.76</v>
      </c>
      <c r="AH83" s="275"/>
      <c r="AI83" s="275"/>
      <c r="AJ83" s="275">
        <f>1029531.12-25650.89-522.95</f>
        <v>1003357.28</v>
      </c>
      <c r="AK83" s="275"/>
      <c r="AL83" s="275">
        <v>5707.73</v>
      </c>
      <c r="AM83" s="275"/>
      <c r="AN83" s="275"/>
      <c r="AO83" s="273"/>
      <c r="AP83" s="275"/>
      <c r="AQ83" s="273"/>
      <c r="AR83" s="273">
        <v>236340.62</v>
      </c>
      <c r="AS83" s="273"/>
      <c r="AT83" s="273"/>
      <c r="AU83" s="275"/>
      <c r="AV83" s="275">
        <v>297616.83</v>
      </c>
      <c r="AW83" s="275">
        <v>116717.71</v>
      </c>
      <c r="AX83" s="275"/>
      <c r="AY83" s="275">
        <f>3832.98-2410.25</f>
        <v>1422.73</v>
      </c>
      <c r="AZ83" s="275">
        <f>3472.35-2581.35</f>
        <v>891</v>
      </c>
      <c r="BA83" s="275">
        <v>44.05</v>
      </c>
      <c r="BB83" s="275"/>
      <c r="BC83" s="275"/>
      <c r="BD83" s="275">
        <f>582029.01-2146.47</f>
        <v>579882.54</v>
      </c>
      <c r="BE83" s="275">
        <f>24982.22-2817.54</f>
        <v>22164.68</v>
      </c>
      <c r="BF83" s="275">
        <f>489912.06-47143.34</f>
        <v>442768.72</v>
      </c>
      <c r="BG83" s="275"/>
      <c r="BH83" s="276">
        <f>4696.25-164.55</f>
        <v>4531.7</v>
      </c>
      <c r="BI83" s="275">
        <f>17181.94-702.02</f>
        <v>16479.919999999998</v>
      </c>
      <c r="BJ83" s="275">
        <f>17021.02</f>
        <v>17021.02</v>
      </c>
      <c r="BK83" s="275">
        <v>34323.919999999998</v>
      </c>
      <c r="BL83" s="275">
        <v>174.93</v>
      </c>
      <c r="BM83" s="275">
        <v>3348.57</v>
      </c>
      <c r="BN83" s="275">
        <v>371967.06</v>
      </c>
      <c r="BO83" s="275">
        <v>11213.54</v>
      </c>
      <c r="BP83" s="275">
        <v>260144.48</v>
      </c>
      <c r="BQ83" s="275"/>
      <c r="BR83" s="275">
        <v>2368.83</v>
      </c>
      <c r="BS83" s="275">
        <v>5620.72</v>
      </c>
      <c r="BT83" s="275">
        <v>356.17</v>
      </c>
      <c r="BU83" s="275"/>
      <c r="BV83" s="275">
        <v>12913.61</v>
      </c>
      <c r="BW83" s="275">
        <v>59617.72</v>
      </c>
      <c r="BX83" s="275">
        <f>217627.23-308.71</f>
        <v>217318.52000000002</v>
      </c>
      <c r="BY83" s="275">
        <v>135.71</v>
      </c>
      <c r="BZ83" s="275">
        <v>1145.3599999999999</v>
      </c>
      <c r="CA83" s="275"/>
      <c r="CB83" s="275"/>
      <c r="CC83" s="275">
        <f>25346226.19-4566345.96-2055-1201.86</f>
        <v>20776623.370000001</v>
      </c>
      <c r="CD83" s="282">
        <f>7795746.02-50111</f>
        <v>7745635.0199999996</v>
      </c>
      <c r="CE83" s="25">
        <f t="shared" si="16"/>
        <v>33058057.470000003</v>
      </c>
    </row>
    <row r="84" spans="1:84" x14ac:dyDescent="0.25">
      <c r="A84" s="31" t="s">
        <v>283</v>
      </c>
      <c r="B84" s="16"/>
      <c r="C84" s="273">
        <v>60806.69</v>
      </c>
      <c r="D84" s="273"/>
      <c r="E84" s="273">
        <v>12105.36</v>
      </c>
      <c r="F84" s="273">
        <v>68075.94</v>
      </c>
      <c r="G84" s="273"/>
      <c r="H84" s="273"/>
      <c r="I84" s="273"/>
      <c r="J84" s="273"/>
      <c r="K84" s="273"/>
      <c r="L84" s="273"/>
      <c r="M84" s="273"/>
      <c r="N84" s="273"/>
      <c r="O84" s="273">
        <v>19490.41</v>
      </c>
      <c r="P84" s="273">
        <v>4500</v>
      </c>
      <c r="Q84" s="273"/>
      <c r="R84" s="273"/>
      <c r="S84" s="273"/>
      <c r="T84" s="273"/>
      <c r="U84" s="273">
        <v>24231.200000000001</v>
      </c>
      <c r="V84" s="273"/>
      <c r="W84" s="273"/>
      <c r="X84" s="273"/>
      <c r="Y84" s="273">
        <v>2713.88</v>
      </c>
      <c r="Z84" s="273"/>
      <c r="AA84" s="273"/>
      <c r="AB84" s="273">
        <v>161290.29</v>
      </c>
      <c r="AC84" s="273"/>
      <c r="AD84" s="273"/>
      <c r="AE84" s="273">
        <v>43786.89</v>
      </c>
      <c r="AF84" s="273"/>
      <c r="AG84" s="273">
        <v>29035.38</v>
      </c>
      <c r="AH84" s="273"/>
      <c r="AI84" s="273"/>
      <c r="AJ84" s="273">
        <v>623589.1</v>
      </c>
      <c r="AK84" s="273"/>
      <c r="AL84" s="273">
        <v>62652.22</v>
      </c>
      <c r="AM84" s="273"/>
      <c r="AN84" s="273"/>
      <c r="AO84" s="273"/>
      <c r="AP84" s="273"/>
      <c r="AQ84" s="273"/>
      <c r="AR84" s="273">
        <v>28035.95</v>
      </c>
      <c r="AS84" s="273"/>
      <c r="AT84" s="273"/>
      <c r="AU84" s="273"/>
      <c r="AV84" s="273">
        <v>7545441.6799999997</v>
      </c>
      <c r="AW84" s="273"/>
      <c r="AX84" s="273"/>
      <c r="AY84" s="273">
        <v>102.37</v>
      </c>
      <c r="AZ84" s="273">
        <v>2198874.67</v>
      </c>
      <c r="BA84" s="273"/>
      <c r="BB84" s="273"/>
      <c r="BC84" s="273"/>
      <c r="BD84" s="273">
        <v>110648.23</v>
      </c>
      <c r="BE84" s="273"/>
      <c r="BF84" s="273"/>
      <c r="BG84" s="273"/>
      <c r="BH84" s="273">
        <v>267616.64000000001</v>
      </c>
      <c r="BI84" s="273">
        <v>21632.400000000001</v>
      </c>
      <c r="BJ84" s="273">
        <v>83098.83</v>
      </c>
      <c r="BK84" s="273"/>
      <c r="BL84" s="273">
        <v>220</v>
      </c>
      <c r="BM84" s="273"/>
      <c r="BN84" s="273">
        <v>1303085.2</v>
      </c>
      <c r="BO84" s="273">
        <v>5791.1</v>
      </c>
      <c r="BP84" s="273"/>
      <c r="BQ84" s="273"/>
      <c r="BR84" s="273"/>
      <c r="BS84" s="273"/>
      <c r="BT84" s="273"/>
      <c r="BU84" s="273"/>
      <c r="BV84" s="273">
        <v>13683.54</v>
      </c>
      <c r="BW84" s="273">
        <v>162311</v>
      </c>
      <c r="BX84" s="273">
        <v>1520.95</v>
      </c>
      <c r="BY84" s="273"/>
      <c r="BZ84" s="273"/>
      <c r="CA84" s="273"/>
      <c r="CB84" s="273"/>
      <c r="CC84" s="273">
        <v>4274452.49</v>
      </c>
      <c r="CD84" s="282">
        <v>2082898.74</v>
      </c>
      <c r="CE84" s="25">
        <f t="shared" si="16"/>
        <v>19211691.149999995</v>
      </c>
    </row>
    <row r="85" spans="1:84" x14ac:dyDescent="0.25">
      <c r="A85" s="31" t="s">
        <v>284</v>
      </c>
      <c r="B85" s="25"/>
      <c r="C85" s="25">
        <f t="shared" ref="C85:AH85" si="17">SUM(C61:C69)-C84</f>
        <v>10456401.450000001</v>
      </c>
      <c r="D85" s="25">
        <f t="shared" si="17"/>
        <v>0</v>
      </c>
      <c r="E85" s="25">
        <f t="shared" si="17"/>
        <v>40732123</v>
      </c>
      <c r="F85" s="25">
        <f t="shared" si="17"/>
        <v>7493773.5899999999</v>
      </c>
      <c r="G85" s="25">
        <f t="shared" si="17"/>
        <v>0</v>
      </c>
      <c r="H85" s="25">
        <f t="shared" si="17"/>
        <v>6185540.9270000001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8720537.1000000015</v>
      </c>
      <c r="P85" s="25">
        <f t="shared" si="17"/>
        <v>53806600.740000002</v>
      </c>
      <c r="Q85" s="25">
        <f t="shared" si="17"/>
        <v>7716642.2300000004</v>
      </c>
      <c r="R85" s="25">
        <f t="shared" si="17"/>
        <v>20930977.180000003</v>
      </c>
      <c r="S85" s="25">
        <f t="shared" si="17"/>
        <v>3340479.9899999998</v>
      </c>
      <c r="T85" s="25">
        <f t="shared" si="17"/>
        <v>2122170.27</v>
      </c>
      <c r="U85" s="25">
        <f t="shared" si="17"/>
        <v>19689707.699999999</v>
      </c>
      <c r="V85" s="25">
        <f t="shared" si="17"/>
        <v>112988.93000000001</v>
      </c>
      <c r="W85" s="25">
        <f t="shared" si="17"/>
        <v>2016159.5199999998</v>
      </c>
      <c r="X85" s="25">
        <f t="shared" si="17"/>
        <v>4578104.6400000006</v>
      </c>
      <c r="Y85" s="25">
        <f t="shared" si="17"/>
        <v>10194574.120000001</v>
      </c>
      <c r="Z85" s="25">
        <f t="shared" si="17"/>
        <v>4412849.51</v>
      </c>
      <c r="AA85" s="25">
        <f t="shared" si="17"/>
        <v>1349031.46</v>
      </c>
      <c r="AB85" s="25">
        <f t="shared" si="17"/>
        <v>49334384.558000006</v>
      </c>
      <c r="AC85" s="25">
        <f t="shared" si="17"/>
        <v>3283252.5399999996</v>
      </c>
      <c r="AD85" s="25">
        <f t="shared" si="17"/>
        <v>1574464.14</v>
      </c>
      <c r="AE85" s="25">
        <f t="shared" si="17"/>
        <v>4510699.7299999995</v>
      </c>
      <c r="AF85" s="25">
        <f t="shared" si="17"/>
        <v>0</v>
      </c>
      <c r="AG85" s="25">
        <f t="shared" si="17"/>
        <v>35214340.899999999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135163628.74000001</v>
      </c>
      <c r="AK85" s="25">
        <f t="shared" si="18"/>
        <v>0</v>
      </c>
      <c r="AL85" s="25">
        <f t="shared" si="18"/>
        <v>1728675.29</v>
      </c>
      <c r="AM85" s="25">
        <f t="shared" si="18"/>
        <v>0</v>
      </c>
      <c r="AN85" s="25">
        <f t="shared" si="18"/>
        <v>0</v>
      </c>
      <c r="AO85" s="25">
        <f t="shared" si="18"/>
        <v>-215.39999999999998</v>
      </c>
      <c r="AP85" s="25">
        <f t="shared" si="18"/>
        <v>0</v>
      </c>
      <c r="AQ85" s="25">
        <f t="shared" si="18"/>
        <v>0</v>
      </c>
      <c r="AR85" s="25">
        <f t="shared" si="18"/>
        <v>13101053.34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31005194.419000015</v>
      </c>
      <c r="AW85" s="25">
        <f t="shared" si="18"/>
        <v>1911420.6500000001</v>
      </c>
      <c r="AX85" s="25">
        <f t="shared" si="18"/>
        <v>6067.5</v>
      </c>
      <c r="AY85" s="25">
        <f t="shared" si="18"/>
        <v>3435270.01</v>
      </c>
      <c r="AZ85" s="25">
        <f t="shared" si="18"/>
        <v>873444.33000000007</v>
      </c>
      <c r="BA85" s="25">
        <f t="shared" si="18"/>
        <v>2556171.4599999995</v>
      </c>
      <c r="BB85" s="25">
        <f t="shared" si="18"/>
        <v>0</v>
      </c>
      <c r="BC85" s="25">
        <f t="shared" si="18"/>
        <v>0</v>
      </c>
      <c r="BD85" s="25">
        <f t="shared" si="18"/>
        <v>2438123.8199999998</v>
      </c>
      <c r="BE85" s="25">
        <f t="shared" si="18"/>
        <v>16219450.85</v>
      </c>
      <c r="BF85" s="25">
        <f t="shared" si="18"/>
        <v>7472363.8400000008</v>
      </c>
      <c r="BG85" s="25">
        <f t="shared" si="18"/>
        <v>405752.80000000005</v>
      </c>
      <c r="BH85" s="25">
        <f t="shared" si="18"/>
        <v>12769868.949999999</v>
      </c>
      <c r="BI85" s="25">
        <f t="shared" si="18"/>
        <v>2659654.469</v>
      </c>
      <c r="BJ85" s="25">
        <f t="shared" si="18"/>
        <v>2492222.27</v>
      </c>
      <c r="BK85" s="25">
        <f t="shared" si="18"/>
        <v>6127317.9900000012</v>
      </c>
      <c r="BL85" s="25">
        <f t="shared" si="18"/>
        <v>7132881.4500000002</v>
      </c>
      <c r="BM85" s="25">
        <f t="shared" si="18"/>
        <v>2878158.12</v>
      </c>
      <c r="BN85" s="25">
        <f t="shared" si="18"/>
        <v>4472147.5200000005</v>
      </c>
      <c r="BO85" s="25">
        <f t="shared" ref="BO85:CD85" si="19">SUM(BO61:BO69)-BO84</f>
        <v>450647.41000000003</v>
      </c>
      <c r="BP85" s="25">
        <f t="shared" si="19"/>
        <v>515061.76799999998</v>
      </c>
      <c r="BQ85" s="25">
        <f t="shared" si="19"/>
        <v>0</v>
      </c>
      <c r="BR85" s="25">
        <f t="shared" si="19"/>
        <v>4832641.5500000007</v>
      </c>
      <c r="BS85" s="25">
        <f t="shared" si="19"/>
        <v>115362.71</v>
      </c>
      <c r="BT85" s="25">
        <f t="shared" si="19"/>
        <v>115553.66</v>
      </c>
      <c r="BU85" s="25">
        <f t="shared" si="19"/>
        <v>0</v>
      </c>
      <c r="BV85" s="25">
        <f t="shared" si="19"/>
        <v>5943263.2599999988</v>
      </c>
      <c r="BW85" s="25">
        <f t="shared" si="19"/>
        <v>3037486.8400000008</v>
      </c>
      <c r="BX85" s="25">
        <f t="shared" si="19"/>
        <v>11719072.49</v>
      </c>
      <c r="BY85" s="25">
        <f t="shared" si="19"/>
        <v>1817793.73</v>
      </c>
      <c r="BZ85" s="25">
        <f t="shared" si="19"/>
        <v>2460407.3899999997</v>
      </c>
      <c r="CA85" s="25">
        <f t="shared" si="19"/>
        <v>5794</v>
      </c>
      <c r="CB85" s="25">
        <f t="shared" si="19"/>
        <v>0</v>
      </c>
      <c r="CC85" s="25">
        <f t="shared" si="19"/>
        <v>30786693.649999999</v>
      </c>
      <c r="CD85" s="25">
        <f t="shared" si="19"/>
        <v>9156467.2799999993</v>
      </c>
      <c r="CE85" s="25">
        <f t="shared" si="16"/>
        <v>623580702.3809998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38926589.420000002</v>
      </c>
      <c r="D87" s="273"/>
      <c r="E87" s="273">
        <v>175655608.74000001</v>
      </c>
      <c r="F87" s="273">
        <v>26588621.449999999</v>
      </c>
      <c r="G87" s="273"/>
      <c r="H87" s="273">
        <v>28640261.800000001</v>
      </c>
      <c r="I87" s="273"/>
      <c r="J87" s="273"/>
      <c r="K87" s="273"/>
      <c r="L87" s="273"/>
      <c r="M87" s="273"/>
      <c r="N87" s="273"/>
      <c r="O87" s="273">
        <v>27349780.829999998</v>
      </c>
      <c r="P87" s="273">
        <v>64343614.090000004</v>
      </c>
      <c r="Q87" s="273">
        <v>2589773.91</v>
      </c>
      <c r="R87" s="273">
        <v>8110441.6399999997</v>
      </c>
      <c r="S87" s="273">
        <v>26859.25</v>
      </c>
      <c r="T87" s="273">
        <v>1809823.77</v>
      </c>
      <c r="U87" s="273">
        <v>52749918.909999996</v>
      </c>
      <c r="V87" s="273">
        <v>3060862</v>
      </c>
      <c r="W87" s="273">
        <v>3659318.57</v>
      </c>
      <c r="X87" s="273">
        <v>30184923.460000001</v>
      </c>
      <c r="Y87" s="273">
        <v>12214270.58</v>
      </c>
      <c r="Z87" s="273">
        <v>187386.73</v>
      </c>
      <c r="AA87" s="273">
        <v>203908.76</v>
      </c>
      <c r="AB87" s="273">
        <v>43847532.200000003</v>
      </c>
      <c r="AC87" s="273">
        <v>14035065.189999999</v>
      </c>
      <c r="AD87" s="273">
        <v>3134726</v>
      </c>
      <c r="AE87" s="273">
        <v>5231919.6100000003</v>
      </c>
      <c r="AF87" s="273"/>
      <c r="AG87" s="273">
        <v>52647147.07</v>
      </c>
      <c r="AH87" s="273"/>
      <c r="AI87" s="273"/>
      <c r="AJ87" s="273">
        <v>7574314.1500000004</v>
      </c>
      <c r="AK87" s="273"/>
      <c r="AL87" s="273">
        <v>1453235.34</v>
      </c>
      <c r="AM87" s="273"/>
      <c r="AN87" s="273"/>
      <c r="AO87" s="273"/>
      <c r="AP87" s="273"/>
      <c r="AQ87" s="273"/>
      <c r="AR87" s="273">
        <v>2153</v>
      </c>
      <c r="AS87" s="273"/>
      <c r="AT87" s="273"/>
      <c r="AU87" s="273"/>
      <c r="AV87" s="273">
        <f>5432752.56-1.14</f>
        <v>5432751.4199999999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609660807.88999999</v>
      </c>
    </row>
    <row r="88" spans="1:84" x14ac:dyDescent="0.25">
      <c r="A88" s="31" t="s">
        <v>287</v>
      </c>
      <c r="B88" s="16"/>
      <c r="C88" s="273">
        <v>360789.08</v>
      </c>
      <c r="D88" s="273"/>
      <c r="E88" s="273">
        <v>8495744.4700000007</v>
      </c>
      <c r="F88" s="273">
        <v>224747.07</v>
      </c>
      <c r="G88" s="273"/>
      <c r="H88" s="273">
        <v>465306.3</v>
      </c>
      <c r="I88" s="273"/>
      <c r="J88" s="273"/>
      <c r="K88" s="273"/>
      <c r="L88" s="273"/>
      <c r="M88" s="273"/>
      <c r="N88" s="273"/>
      <c r="O88" s="273">
        <v>1019581.22</v>
      </c>
      <c r="P88" s="273">
        <v>187008284.96000001</v>
      </c>
      <c r="Q88" s="273">
        <v>11853657.630000001</v>
      </c>
      <c r="R88" s="273">
        <v>43068899.060000002</v>
      </c>
      <c r="S88" s="273">
        <v>-25239.25</v>
      </c>
      <c r="T88" s="273">
        <v>332510.83</v>
      </c>
      <c r="U88" s="273">
        <v>89698538.109999999</v>
      </c>
      <c r="V88" s="273">
        <v>5186616</v>
      </c>
      <c r="W88" s="273">
        <v>35683245.100000001</v>
      </c>
      <c r="X88" s="273">
        <v>95060898.069999993</v>
      </c>
      <c r="Y88" s="273">
        <v>71499836.689999998</v>
      </c>
      <c r="Z88" s="273">
        <v>24395072.91</v>
      </c>
      <c r="AA88" s="273">
        <v>11108060.93</v>
      </c>
      <c r="AB88" s="273">
        <v>102405239.92</v>
      </c>
      <c r="AC88" s="273">
        <v>2262473.92</v>
      </c>
      <c r="AD88" s="273">
        <v>118491</v>
      </c>
      <c r="AE88" s="273">
        <v>7634166.6699999999</v>
      </c>
      <c r="AF88" s="273"/>
      <c r="AG88" s="273">
        <v>194984251.93000001</v>
      </c>
      <c r="AH88" s="273"/>
      <c r="AI88" s="273"/>
      <c r="AJ88" s="273">
        <v>486138223.81999999</v>
      </c>
      <c r="AK88" s="273"/>
      <c r="AL88" s="273">
        <v>1678438.87</v>
      </c>
      <c r="AM88" s="273"/>
      <c r="AN88" s="273"/>
      <c r="AO88" s="273">
        <v>-925.65</v>
      </c>
      <c r="AP88" s="273"/>
      <c r="AQ88" s="273"/>
      <c r="AR88" s="273">
        <v>18285983.379999999</v>
      </c>
      <c r="AS88" s="273"/>
      <c r="AT88" s="273"/>
      <c r="AU88" s="273"/>
      <c r="AV88" s="273">
        <f>38251072.94-4446.5-110+1342680</f>
        <v>39589196.439999998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1438532089.4799998</v>
      </c>
    </row>
    <row r="89" spans="1:84" x14ac:dyDescent="0.25">
      <c r="A89" s="21" t="s">
        <v>288</v>
      </c>
      <c r="B89" s="16"/>
      <c r="C89" s="25">
        <f t="shared" ref="C89:AV89" si="21">C87+C88</f>
        <v>39287378.5</v>
      </c>
      <c r="D89" s="25">
        <f t="shared" si="21"/>
        <v>0</v>
      </c>
      <c r="E89" s="25">
        <f t="shared" si="21"/>
        <v>184151353.21000001</v>
      </c>
      <c r="F89" s="25">
        <f t="shared" si="21"/>
        <v>26813368.52</v>
      </c>
      <c r="G89" s="25">
        <f t="shared" si="21"/>
        <v>0</v>
      </c>
      <c r="H89" s="25">
        <f t="shared" si="21"/>
        <v>29105568.100000001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28369362.049999997</v>
      </c>
      <c r="P89" s="25">
        <f t="shared" si="21"/>
        <v>251351899.05000001</v>
      </c>
      <c r="Q89" s="25">
        <f t="shared" si="21"/>
        <v>14443431.540000001</v>
      </c>
      <c r="R89" s="25">
        <f t="shared" si="21"/>
        <v>51179340.700000003</v>
      </c>
      <c r="S89" s="25">
        <f t="shared" si="21"/>
        <v>1620</v>
      </c>
      <c r="T89" s="25">
        <f t="shared" si="21"/>
        <v>2142334.6</v>
      </c>
      <c r="U89" s="25">
        <f t="shared" si="21"/>
        <v>142448457.01999998</v>
      </c>
      <c r="V89" s="25">
        <f t="shared" si="21"/>
        <v>8247478</v>
      </c>
      <c r="W89" s="25">
        <f t="shared" si="21"/>
        <v>39342563.670000002</v>
      </c>
      <c r="X89" s="25">
        <f t="shared" si="21"/>
        <v>125245821.53</v>
      </c>
      <c r="Y89" s="25">
        <f t="shared" si="21"/>
        <v>83714107.269999996</v>
      </c>
      <c r="Z89" s="25">
        <f t="shared" si="21"/>
        <v>24582459.640000001</v>
      </c>
      <c r="AA89" s="25">
        <f t="shared" si="21"/>
        <v>11311969.689999999</v>
      </c>
      <c r="AB89" s="25">
        <f t="shared" si="21"/>
        <v>146252772.12</v>
      </c>
      <c r="AC89" s="25">
        <f t="shared" si="21"/>
        <v>16297539.109999999</v>
      </c>
      <c r="AD89" s="25">
        <f t="shared" si="21"/>
        <v>3253217</v>
      </c>
      <c r="AE89" s="25">
        <f t="shared" si="21"/>
        <v>12866086.280000001</v>
      </c>
      <c r="AF89" s="25">
        <f t="shared" si="21"/>
        <v>0</v>
      </c>
      <c r="AG89" s="25">
        <f t="shared" si="21"/>
        <v>247631399</v>
      </c>
      <c r="AH89" s="25">
        <f t="shared" si="21"/>
        <v>0</v>
      </c>
      <c r="AI89" s="25">
        <f t="shared" si="21"/>
        <v>0</v>
      </c>
      <c r="AJ89" s="25">
        <f t="shared" si="21"/>
        <v>493712537.96999997</v>
      </c>
      <c r="AK89" s="25">
        <f t="shared" si="21"/>
        <v>0</v>
      </c>
      <c r="AL89" s="25">
        <f t="shared" si="21"/>
        <v>3131674.21</v>
      </c>
      <c r="AM89" s="25">
        <f t="shared" si="21"/>
        <v>0</v>
      </c>
      <c r="AN89" s="25">
        <f t="shared" si="21"/>
        <v>0</v>
      </c>
      <c r="AO89" s="25">
        <f t="shared" si="21"/>
        <v>-925.65</v>
      </c>
      <c r="AP89" s="25">
        <f t="shared" si="21"/>
        <v>0</v>
      </c>
      <c r="AQ89" s="25">
        <f t="shared" si="21"/>
        <v>0</v>
      </c>
      <c r="AR89" s="25">
        <f t="shared" si="21"/>
        <v>18288136.379999999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45021947.859999999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2048192897.3699999</v>
      </c>
    </row>
    <row r="90" spans="1:84" x14ac:dyDescent="0.25">
      <c r="A90" s="31" t="s">
        <v>289</v>
      </c>
      <c r="B90" s="25"/>
      <c r="C90" s="273">
        <v>11357</v>
      </c>
      <c r="D90" s="273"/>
      <c r="E90" s="273">
        <v>63645</v>
      </c>
      <c r="F90" s="273">
        <v>18753</v>
      </c>
      <c r="G90" s="273"/>
      <c r="H90" s="273">
        <v>13336</v>
      </c>
      <c r="I90" s="273"/>
      <c r="J90" s="273"/>
      <c r="K90" s="273"/>
      <c r="L90" s="273"/>
      <c r="M90" s="273"/>
      <c r="N90" s="273"/>
      <c r="O90" s="273">
        <v>10598</v>
      </c>
      <c r="P90" s="273">
        <v>47763</v>
      </c>
      <c r="Q90" s="273">
        <v>5453</v>
      </c>
      <c r="R90" s="273">
        <v>626</v>
      </c>
      <c r="S90" s="273">
        <v>34343</v>
      </c>
      <c r="T90" s="273">
        <v>292</v>
      </c>
      <c r="U90" s="273">
        <v>9497</v>
      </c>
      <c r="V90" s="273">
        <v>226</v>
      </c>
      <c r="W90" s="273">
        <v>2276</v>
      </c>
      <c r="X90" s="273">
        <v>2391</v>
      </c>
      <c r="Y90" s="273">
        <v>36626</v>
      </c>
      <c r="Z90" s="273">
        <v>12695</v>
      </c>
      <c r="AA90" s="273">
        <v>2288</v>
      </c>
      <c r="AB90" s="273">
        <v>15689</v>
      </c>
      <c r="AC90" s="273">
        <v>3076</v>
      </c>
      <c r="AD90" s="273">
        <v>267</v>
      </c>
      <c r="AE90" s="273">
        <v>841</v>
      </c>
      <c r="AF90" s="273"/>
      <c r="AG90" s="273">
        <v>21741</v>
      </c>
      <c r="AH90" s="273"/>
      <c r="AI90" s="273"/>
      <c r="AJ90" s="273">
        <v>146019</v>
      </c>
      <c r="AK90" s="273"/>
      <c r="AL90" s="273">
        <v>10190</v>
      </c>
      <c r="AM90" s="273"/>
      <c r="AN90" s="273"/>
      <c r="AO90" s="273"/>
      <c r="AP90" s="273"/>
      <c r="AQ90" s="273"/>
      <c r="AR90" s="273">
        <v>25481</v>
      </c>
      <c r="AS90" s="273"/>
      <c r="AT90" s="273"/>
      <c r="AU90" s="273"/>
      <c r="AV90" s="273">
        <v>21626</v>
      </c>
      <c r="AW90" s="273"/>
      <c r="AX90" s="273"/>
      <c r="AY90" s="273">
        <v>6631</v>
      </c>
      <c r="AZ90" s="273">
        <v>5471</v>
      </c>
      <c r="BA90" s="273">
        <v>2626</v>
      </c>
      <c r="BB90" s="273"/>
      <c r="BC90" s="273"/>
      <c r="BD90" s="273">
        <v>6662</v>
      </c>
      <c r="BE90" s="273">
        <v>426711</v>
      </c>
      <c r="BF90" s="273">
        <v>1419</v>
      </c>
      <c r="BG90" s="273">
        <v>196</v>
      </c>
      <c r="BH90" s="273">
        <v>6332</v>
      </c>
      <c r="BI90" s="273">
        <v>951</v>
      </c>
      <c r="BJ90" s="273">
        <v>3309</v>
      </c>
      <c r="BK90" s="273">
        <v>8597</v>
      </c>
      <c r="BL90" s="273">
        <v>3941</v>
      </c>
      <c r="BM90" s="273">
        <v>2249</v>
      </c>
      <c r="BN90" s="273">
        <v>1905</v>
      </c>
      <c r="BO90" s="273">
        <v>2514</v>
      </c>
      <c r="BP90" s="273">
        <v>3702</v>
      </c>
      <c r="BQ90" s="273"/>
      <c r="BR90" s="273">
        <v>3550</v>
      </c>
      <c r="BS90" s="273">
        <v>506</v>
      </c>
      <c r="BT90" s="273">
        <v>299</v>
      </c>
      <c r="BU90" s="273"/>
      <c r="BV90" s="273">
        <v>3702</v>
      </c>
      <c r="BW90" s="273">
        <v>1737</v>
      </c>
      <c r="BX90" s="273">
        <v>5837</v>
      </c>
      <c r="BY90" s="273"/>
      <c r="BZ90" s="273">
        <v>158</v>
      </c>
      <c r="CA90" s="273">
        <v>423</v>
      </c>
      <c r="CB90" s="273"/>
      <c r="CC90" s="273">
        <v>44402</v>
      </c>
      <c r="CD90" s="224" t="s">
        <v>247</v>
      </c>
      <c r="CE90" s="25">
        <f t="shared" si="20"/>
        <v>1060925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2635</v>
      </c>
      <c r="D91" s="273"/>
      <c r="E91" s="273">
        <v>116082</v>
      </c>
      <c r="F91" s="273">
        <v>9933</v>
      </c>
      <c r="G91" s="273"/>
      <c r="H91" s="273">
        <v>17101</v>
      </c>
      <c r="I91" s="273"/>
      <c r="J91" s="273"/>
      <c r="K91" s="273"/>
      <c r="L91" s="273"/>
      <c r="M91" s="273"/>
      <c r="N91" s="273"/>
      <c r="O91" s="273"/>
      <c r="P91" s="273">
        <v>920</v>
      </c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>
        <v>5015</v>
      </c>
      <c r="AH91" s="273"/>
      <c r="AI91" s="273"/>
      <c r="AJ91" s="273"/>
      <c r="AK91" s="273"/>
      <c r="AL91" s="273"/>
      <c r="AM91" s="273"/>
      <c r="AN91" s="273"/>
      <c r="AO91" s="273">
        <v>69</v>
      </c>
      <c r="AP91" s="273"/>
      <c r="AQ91" s="273"/>
      <c r="AR91" s="273">
        <v>2168</v>
      </c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153923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6656</v>
      </c>
      <c r="D92" s="273"/>
      <c r="E92" s="273">
        <v>46800</v>
      </c>
      <c r="F92" s="273">
        <v>6240</v>
      </c>
      <c r="G92" s="273"/>
      <c r="H92" s="273">
        <v>2496</v>
      </c>
      <c r="I92" s="273"/>
      <c r="J92" s="273"/>
      <c r="K92" s="273"/>
      <c r="L92" s="273"/>
      <c r="M92" s="273"/>
      <c r="N92" s="273"/>
      <c r="O92" s="273">
        <v>14560</v>
      </c>
      <c r="P92" s="273">
        <v>7280</v>
      </c>
      <c r="Q92" s="273">
        <v>1040</v>
      </c>
      <c r="R92" s="273">
        <v>2080</v>
      </c>
      <c r="S92" s="273"/>
      <c r="T92" s="273"/>
      <c r="U92" s="273">
        <v>1040</v>
      </c>
      <c r="V92" s="273"/>
      <c r="W92" s="273"/>
      <c r="X92" s="273"/>
      <c r="Y92" s="273">
        <v>1040</v>
      </c>
      <c r="Z92" s="273"/>
      <c r="AA92" s="273"/>
      <c r="AB92" s="273"/>
      <c r="AC92" s="273"/>
      <c r="AD92" s="273"/>
      <c r="AE92" s="273"/>
      <c r="AF92" s="273"/>
      <c r="AG92" s="273">
        <v>10400</v>
      </c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99632</v>
      </c>
      <c r="CF92" s="16"/>
    </row>
    <row r="93" spans="1:84" x14ac:dyDescent="0.25">
      <c r="A93" s="21" t="s">
        <v>292</v>
      </c>
      <c r="B93" s="16"/>
      <c r="C93" s="273">
        <v>119580.97</v>
      </c>
      <c r="D93" s="273"/>
      <c r="E93" s="273">
        <v>334815.05</v>
      </c>
      <c r="F93" s="273">
        <v>39468.46</v>
      </c>
      <c r="G93" s="273"/>
      <c r="H93" s="273">
        <v>39751.480000000003</v>
      </c>
      <c r="I93" s="273"/>
      <c r="J93" s="273"/>
      <c r="K93" s="273"/>
      <c r="L93" s="273"/>
      <c r="M93" s="273"/>
      <c r="N93" s="273"/>
      <c r="O93" s="273">
        <v>175682.31</v>
      </c>
      <c r="P93" s="273">
        <v>270911.71999999997</v>
      </c>
      <c r="Q93" s="273">
        <v>46116.06</v>
      </c>
      <c r="R93" s="273">
        <v>66804.56</v>
      </c>
      <c r="S93" s="273">
        <v>10488.25</v>
      </c>
      <c r="T93" s="273"/>
      <c r="U93" s="273"/>
      <c r="V93" s="273"/>
      <c r="W93" s="273">
        <v>12170.22</v>
      </c>
      <c r="X93" s="273">
        <v>35218.639999999999</v>
      </c>
      <c r="Y93" s="273">
        <v>82172.100000000006</v>
      </c>
      <c r="Z93" s="273"/>
      <c r="AA93" s="273">
        <v>2205.9499999999998</v>
      </c>
      <c r="AB93" s="273">
        <v>1254.18</v>
      </c>
      <c r="AC93" s="273"/>
      <c r="AD93" s="273"/>
      <c r="AE93" s="273"/>
      <c r="AF93" s="273"/>
      <c r="AG93" s="273">
        <v>346832.71</v>
      </c>
      <c r="AH93" s="273"/>
      <c r="AI93" s="273"/>
      <c r="AJ93" s="273"/>
      <c r="AK93" s="273"/>
      <c r="AL93" s="273"/>
      <c r="AM93" s="273"/>
      <c r="AN93" s="273"/>
      <c r="AO93" s="273">
        <v>7744.27</v>
      </c>
      <c r="AP93" s="273"/>
      <c r="AQ93" s="273"/>
      <c r="AR93" s="273"/>
      <c r="AS93" s="273"/>
      <c r="AT93" s="273"/>
      <c r="AU93" s="273"/>
      <c r="AV93" s="273">
        <v>3627.33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1594844.26</v>
      </c>
      <c r="CF93" s="25">
        <f>BA59</f>
        <v>0</v>
      </c>
    </row>
    <row r="94" spans="1:84" x14ac:dyDescent="0.25">
      <c r="A94" s="21" t="s">
        <v>293</v>
      </c>
      <c r="B94" s="16"/>
      <c r="C94" s="277">
        <v>37.049999999999997</v>
      </c>
      <c r="D94" s="277"/>
      <c r="E94" s="277">
        <v>118.75</v>
      </c>
      <c r="F94" s="277">
        <v>33</v>
      </c>
      <c r="G94" s="277"/>
      <c r="H94" s="277">
        <v>10.199999999999999</v>
      </c>
      <c r="I94" s="277"/>
      <c r="J94" s="277"/>
      <c r="K94" s="277"/>
      <c r="L94" s="277"/>
      <c r="M94" s="277"/>
      <c r="N94" s="277"/>
      <c r="O94" s="277">
        <v>29.1</v>
      </c>
      <c r="P94" s="274">
        <v>52.45</v>
      </c>
      <c r="Q94" s="274">
        <v>27.95</v>
      </c>
      <c r="R94" s="274"/>
      <c r="S94" s="278"/>
      <c r="T94" s="278">
        <v>9.65</v>
      </c>
      <c r="U94" s="279">
        <v>5.7</v>
      </c>
      <c r="V94" s="274"/>
      <c r="W94" s="274"/>
      <c r="X94" s="274"/>
      <c r="Y94" s="274">
        <v>5.6</v>
      </c>
      <c r="Z94" s="274">
        <v>2</v>
      </c>
      <c r="AA94" s="274"/>
      <c r="AB94" s="278"/>
      <c r="AC94" s="274"/>
      <c r="AD94" s="274"/>
      <c r="AE94" s="274"/>
      <c r="AF94" s="274"/>
      <c r="AG94" s="274">
        <v>57.1</v>
      </c>
      <c r="AH94" s="274"/>
      <c r="AI94" s="274"/>
      <c r="AJ94" s="274">
        <v>41.7</v>
      </c>
      <c r="AK94" s="274"/>
      <c r="AL94" s="274"/>
      <c r="AM94" s="274"/>
      <c r="AN94" s="274"/>
      <c r="AO94" s="274"/>
      <c r="AP94" s="274"/>
      <c r="AQ94" s="274"/>
      <c r="AR94" s="274">
        <v>28.35</v>
      </c>
      <c r="AS94" s="274"/>
      <c r="AT94" s="274"/>
      <c r="AU94" s="274"/>
      <c r="AV94" s="278">
        <v>21.8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480.40000000000003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98902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1057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1368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1369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1061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13614</v>
      </c>
      <c r="D127" s="295">
        <v>57006</v>
      </c>
      <c r="E127" s="16"/>
    </row>
    <row r="128" spans="1:5" x14ac:dyDescent="0.25">
      <c r="A128" s="16" t="s">
        <v>333</v>
      </c>
      <c r="B128" s="35" t="s">
        <v>299</v>
      </c>
      <c r="C128" s="294"/>
      <c r="D128" s="295"/>
      <c r="E128" s="16"/>
    </row>
    <row r="129" spans="1:5" x14ac:dyDescent="0.25">
      <c r="A129" s="16" t="s">
        <v>334</v>
      </c>
      <c r="B129" s="35" t="s">
        <v>299</v>
      </c>
      <c r="C129" s="292"/>
      <c r="D129" s="295"/>
      <c r="E129" s="16"/>
    </row>
    <row r="130" spans="1:5" x14ac:dyDescent="0.25">
      <c r="A130" s="16" t="s">
        <v>335</v>
      </c>
      <c r="B130" s="35" t="s">
        <v>299</v>
      </c>
      <c r="C130" s="292">
        <v>2524</v>
      </c>
      <c r="D130" s="295">
        <v>3574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25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20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6">
        <v>122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14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39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18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4"/>
      <c r="D139" s="16"/>
      <c r="E139" s="16"/>
    </row>
    <row r="140" spans="1:5" x14ac:dyDescent="0.25">
      <c r="A140" s="16" t="s">
        <v>344</v>
      </c>
      <c r="B140" s="35"/>
      <c r="C140" s="292"/>
      <c r="D140" s="16"/>
      <c r="E140" s="16"/>
    </row>
    <row r="141" spans="1:5" x14ac:dyDescent="0.25">
      <c r="A141" s="16" t="s">
        <v>334</v>
      </c>
      <c r="B141" s="35" t="s">
        <v>299</v>
      </c>
      <c r="C141" s="292"/>
      <c r="D141" s="16"/>
      <c r="E141" s="16"/>
    </row>
    <row r="142" spans="1:5" x14ac:dyDescent="0.25">
      <c r="A142" s="16" t="s">
        <v>345</v>
      </c>
      <c r="B142" s="35" t="s">
        <v>299</v>
      </c>
      <c r="C142" s="292"/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238</v>
      </c>
    </row>
    <row r="144" spans="1:5" x14ac:dyDescent="0.25">
      <c r="A144" s="16" t="s">
        <v>347</v>
      </c>
      <c r="B144" s="35" t="s">
        <v>299</v>
      </c>
      <c r="C144" s="294">
        <v>238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32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7002</v>
      </c>
      <c r="C154" s="295">
        <v>3771</v>
      </c>
      <c r="D154" s="295">
        <v>2841</v>
      </c>
      <c r="E154" s="25">
        <f>SUM(B154:D154)</f>
        <v>13614</v>
      </c>
    </row>
    <row r="155" spans="1:6" x14ac:dyDescent="0.25">
      <c r="A155" s="16" t="s">
        <v>241</v>
      </c>
      <c r="B155" s="295">
        <v>34197</v>
      </c>
      <c r="C155" s="295">
        <v>13792</v>
      </c>
      <c r="D155" s="295">
        <v>9017</v>
      </c>
      <c r="E155" s="25">
        <f>SUM(B155:D155)</f>
        <v>57006</v>
      </c>
    </row>
    <row r="156" spans="1:6" x14ac:dyDescent="0.25">
      <c r="A156" s="16" t="s">
        <v>354</v>
      </c>
      <c r="B156" s="295">
        <v>153345</v>
      </c>
      <c r="C156" s="295">
        <v>69428</v>
      </c>
      <c r="D156" s="295">
        <v>111809</v>
      </c>
      <c r="E156" s="25">
        <f>SUM(B156:D156)</f>
        <v>334582</v>
      </c>
    </row>
    <row r="157" spans="1:6" x14ac:dyDescent="0.25">
      <c r="A157" s="16" t="s">
        <v>286</v>
      </c>
      <c r="B157" s="295">
        <v>328311222</v>
      </c>
      <c r="C157" s="295">
        <v>174302228</v>
      </c>
      <c r="D157" s="295">
        <v>107047360.2</v>
      </c>
      <c r="E157" s="25">
        <f>SUM(B157:D157)</f>
        <v>609660810.20000005</v>
      </c>
      <c r="F157" s="14"/>
    </row>
    <row r="158" spans="1:6" x14ac:dyDescent="0.25">
      <c r="A158" s="16" t="s">
        <v>287</v>
      </c>
      <c r="B158" s="295">
        <v>625200491.89999998</v>
      </c>
      <c r="C158" s="295">
        <v>289760432.80000001</v>
      </c>
      <c r="D158" s="295">
        <v>523571164.89999998</v>
      </c>
      <c r="E158" s="25">
        <f>SUM(B158:D158)</f>
        <v>1438532089.5999999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21018128.609999999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24622.38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-8927.25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4294973.25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21136791.870000001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42907.71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144634.68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f>608534.58+8001.23+16307.35</f>
        <v>632843.15999999992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47285974.409999996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f>7021890.21+235659.05</f>
        <v>7257549.2599999998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f>2822237.43+485064.78+568154.26</f>
        <v>3875456.4699999997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11133005.73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2293990.02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76368.5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2370358.52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340301.05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f>3477930.19+66285.83+412132.28-3399.43</f>
        <v>3952948.8699999996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11334.4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4304584.32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/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3516949.52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3516949.52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>
        <v>17504411</v>
      </c>
      <c r="C211" s="292"/>
      <c r="D211" s="295"/>
      <c r="E211" s="25">
        <f t="shared" ref="E211:E219" si="22">SUM(B211:C211)-D211</f>
        <v>17504411</v>
      </c>
    </row>
    <row r="212" spans="1:5" x14ac:dyDescent="0.25">
      <c r="A212" s="16" t="s">
        <v>389</v>
      </c>
      <c r="B212" s="292">
        <v>9336610</v>
      </c>
      <c r="C212" s="292"/>
      <c r="D212" s="295"/>
      <c r="E212" s="25">
        <f t="shared" si="22"/>
        <v>9336610</v>
      </c>
    </row>
    <row r="213" spans="1:5" x14ac:dyDescent="0.25">
      <c r="A213" s="16" t="s">
        <v>390</v>
      </c>
      <c r="B213" s="292">
        <v>137109783</v>
      </c>
      <c r="C213" s="292">
        <v>41890</v>
      </c>
      <c r="D213" s="295"/>
      <c r="E213" s="25">
        <f t="shared" si="22"/>
        <v>137151673</v>
      </c>
    </row>
    <row r="214" spans="1:5" x14ac:dyDescent="0.25">
      <c r="A214" s="16" t="s">
        <v>392</v>
      </c>
      <c r="B214" s="292">
        <v>0</v>
      </c>
      <c r="C214" s="292"/>
      <c r="D214" s="295"/>
      <c r="E214" s="25">
        <f t="shared" si="22"/>
        <v>0</v>
      </c>
    </row>
    <row r="215" spans="1:5" x14ac:dyDescent="0.25">
      <c r="A215" s="16" t="s">
        <v>393</v>
      </c>
      <c r="B215" s="292">
        <v>75967931</v>
      </c>
      <c r="C215" s="292">
        <v>-31259564.789999999</v>
      </c>
      <c r="D215" s="295"/>
      <c r="E215" s="25">
        <f t="shared" si="22"/>
        <v>44708366.210000001</v>
      </c>
    </row>
    <row r="216" spans="1:5" x14ac:dyDescent="0.25">
      <c r="A216" s="16" t="s">
        <v>394</v>
      </c>
      <c r="B216" s="292">
        <v>108530168</v>
      </c>
      <c r="C216" s="292">
        <v>-57476951</v>
      </c>
      <c r="D216" s="295"/>
      <c r="E216" s="25">
        <f t="shared" si="22"/>
        <v>51053217</v>
      </c>
    </row>
    <row r="217" spans="1:5" x14ac:dyDescent="0.25">
      <c r="A217" s="16" t="s">
        <v>395</v>
      </c>
      <c r="B217" s="292">
        <v>0</v>
      </c>
      <c r="C217" s="292"/>
      <c r="D217" s="295"/>
      <c r="E217" s="25">
        <f t="shared" si="22"/>
        <v>0</v>
      </c>
    </row>
    <row r="218" spans="1:5" x14ac:dyDescent="0.25">
      <c r="A218" s="16" t="s">
        <v>396</v>
      </c>
      <c r="B218" s="292">
        <v>7378092</v>
      </c>
      <c r="C218" s="292">
        <v>1897322</v>
      </c>
      <c r="D218" s="295"/>
      <c r="E218" s="25">
        <f t="shared" si="22"/>
        <v>9275414</v>
      </c>
    </row>
    <row r="219" spans="1:5" x14ac:dyDescent="0.25">
      <c r="A219" s="16" t="s">
        <v>397</v>
      </c>
      <c r="B219" s="292">
        <f>12724448+330052.79</f>
        <v>13054500.789999999</v>
      </c>
      <c r="C219" s="292">
        <v>16142185.550000001</v>
      </c>
      <c r="D219" s="295" t="s">
        <v>391</v>
      </c>
      <c r="E219" s="25">
        <f t="shared" si="22"/>
        <v>29196686.34</v>
      </c>
    </row>
    <row r="220" spans="1:5" x14ac:dyDescent="0.25">
      <c r="A220" s="16" t="s">
        <v>229</v>
      </c>
      <c r="B220" s="25">
        <f>SUM(B211:B219)</f>
        <v>368881495.79000002</v>
      </c>
      <c r="C220" s="225">
        <f>SUM(C211:C219)</f>
        <v>-70655118.239999995</v>
      </c>
      <c r="D220" s="25">
        <f>SUM(D211:D219)</f>
        <v>0</v>
      </c>
      <c r="E220" s="25">
        <f>SUM(E211:E219)</f>
        <v>298226377.55000001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>
        <v>1187965</v>
      </c>
      <c r="C225" s="292">
        <v>1189061.05</v>
      </c>
      <c r="D225" s="295"/>
      <c r="E225" s="25">
        <f t="shared" ref="E225:E232" si="23">SUM(B225:C225)-D225</f>
        <v>2377026.0499999998</v>
      </c>
    </row>
    <row r="226" spans="1:6" x14ac:dyDescent="0.25">
      <c r="A226" s="16" t="s">
        <v>390</v>
      </c>
      <c r="B226" s="292">
        <v>6380112</v>
      </c>
      <c r="C226" s="292">
        <v>6503009.6200000001</v>
      </c>
      <c r="D226" s="295"/>
      <c r="E226" s="25">
        <f t="shared" si="23"/>
        <v>12883121.620000001</v>
      </c>
    </row>
    <row r="227" spans="1:6" x14ac:dyDescent="0.25">
      <c r="A227" s="16" t="s">
        <v>392</v>
      </c>
      <c r="B227" s="292">
        <v>0</v>
      </c>
      <c r="C227" s="292"/>
      <c r="D227" s="295"/>
      <c r="E227" s="25">
        <f t="shared" si="23"/>
        <v>0</v>
      </c>
    </row>
    <row r="228" spans="1:6" x14ac:dyDescent="0.25">
      <c r="A228" s="16" t="s">
        <v>393</v>
      </c>
      <c r="B228" s="292">
        <v>36558258</v>
      </c>
      <c r="C228" s="292">
        <v>-31755884.789999999</v>
      </c>
      <c r="D228" s="295"/>
      <c r="E228" s="25">
        <f t="shared" si="23"/>
        <v>4802373.2100000009</v>
      </c>
    </row>
    <row r="229" spans="1:6" x14ac:dyDescent="0.25">
      <c r="A229" s="16" t="s">
        <v>394</v>
      </c>
      <c r="B229" s="292">
        <v>79293838</v>
      </c>
      <c r="C229" s="292">
        <v>-62560646.960000001</v>
      </c>
      <c r="D229" s="295"/>
      <c r="E229" s="25">
        <f t="shared" si="23"/>
        <v>16733191.039999999</v>
      </c>
    </row>
    <row r="230" spans="1:6" x14ac:dyDescent="0.25">
      <c r="A230" s="16" t="s">
        <v>395</v>
      </c>
      <c r="B230" s="292">
        <v>0</v>
      </c>
      <c r="C230" s="292"/>
      <c r="D230" s="295"/>
      <c r="E230" s="25">
        <f t="shared" si="23"/>
        <v>0</v>
      </c>
    </row>
    <row r="231" spans="1:6" x14ac:dyDescent="0.25">
      <c r="A231" s="16" t="s">
        <v>396</v>
      </c>
      <c r="B231" s="292">
        <v>4298205</v>
      </c>
      <c r="C231" s="292">
        <v>2161684.5</v>
      </c>
      <c r="D231" s="295"/>
      <c r="E231" s="25">
        <f t="shared" si="23"/>
        <v>6459889.5</v>
      </c>
    </row>
    <row r="232" spans="1:6" x14ac:dyDescent="0.25">
      <c r="A232" s="16" t="s">
        <v>397</v>
      </c>
      <c r="B232" s="292">
        <v>0</v>
      </c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127718378</v>
      </c>
      <c r="C233" s="225">
        <f>SUM(C224:C232)</f>
        <v>-84462776.579999998</v>
      </c>
      <c r="D233" s="25">
        <f>SUM(D224:D232)</f>
        <v>0</v>
      </c>
      <c r="E233" s="25">
        <f>SUM(E224:E232)</f>
        <v>43255601.420000002</v>
      </c>
    </row>
    <row r="234" spans="1:6" x14ac:dyDescent="0.25">
      <c r="A234" s="16"/>
      <c r="B234" s="16"/>
      <c r="C234" s="22"/>
      <c r="D234" s="16"/>
      <c r="E234" s="16"/>
      <c r="F234" s="11">
        <f>E220-E233</f>
        <v>254970776.13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9" t="s">
        <v>400</v>
      </c>
      <c r="C236" s="339"/>
      <c r="D236" s="30"/>
      <c r="E236" s="30"/>
    </row>
    <row r="237" spans="1:6" x14ac:dyDescent="0.25">
      <c r="A237" s="43" t="s">
        <v>400</v>
      </c>
      <c r="B237" s="30"/>
      <c r="C237" s="292">
        <v>2723999.3</v>
      </c>
      <c r="D237" s="32">
        <f>C237</f>
        <v>2723999.3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703842591.32000005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324910974.47000003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/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33974531.490000002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298788327.95999998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4558421.5999999996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1366074846.8399999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80251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1173501.3400000001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49575085.149999999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50748586.490000002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1406280.83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-521467.11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884813.72000000009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1420432246.3499999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142453375.83000001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/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84503208.810000002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/>
      <c r="D269" s="16"/>
      <c r="E269" s="16"/>
    </row>
    <row r="270" spans="1:5" x14ac:dyDescent="0.25">
      <c r="A270" s="16" t="s">
        <v>424</v>
      </c>
      <c r="B270" s="35" t="s">
        <v>299</v>
      </c>
      <c r="C270" s="292"/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58271456.469999999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/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9103155.2100000009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3348974.27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/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297680170.59000003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/>
      <c r="D278" s="16"/>
      <c r="E278" s="16"/>
    </row>
    <row r="279" spans="1:5" x14ac:dyDescent="0.25">
      <c r="A279" s="16" t="s">
        <v>421</v>
      </c>
      <c r="B279" s="35" t="s">
        <v>299</v>
      </c>
      <c r="C279" s="292"/>
      <c r="D279" s="16"/>
      <c r="E279" s="16"/>
    </row>
    <row r="280" spans="1:5" x14ac:dyDescent="0.25">
      <c r="A280" s="16" t="s">
        <v>432</v>
      </c>
      <c r="B280" s="35" t="s">
        <v>299</v>
      </c>
      <c r="C280" s="292"/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17504411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9336609.8200000003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137151673.12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/>
      <c r="D286" s="16"/>
      <c r="E286" s="16"/>
    </row>
    <row r="287" spans="1:5" x14ac:dyDescent="0.25">
      <c r="A287" s="16" t="s">
        <v>436</v>
      </c>
      <c r="B287" s="35" t="s">
        <v>299</v>
      </c>
      <c r="C287" s="292"/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95761584.329999998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9275413.7400000002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29196686.550000001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298226378.56</v>
      </c>
      <c r="E291" s="16"/>
    </row>
    <row r="292" spans="1:5" x14ac:dyDescent="0.25">
      <c r="A292" s="16" t="s">
        <v>439</v>
      </c>
      <c r="B292" s="35" t="s">
        <v>299</v>
      </c>
      <c r="C292" s="292">
        <v>43255601.420000002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254970777.13999999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/>
      <c r="D295" s="16"/>
      <c r="E295" s="16"/>
    </row>
    <row r="296" spans="1:5" x14ac:dyDescent="0.25">
      <c r="A296" s="16" t="s">
        <v>443</v>
      </c>
      <c r="B296" s="35" t="s">
        <v>299</v>
      </c>
      <c r="C296" s="292"/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f>1441951.69+1761826</f>
        <v>3203777.69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f>5084711.83-999969.09</f>
        <v>4084742.74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7288520.4299999997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/>
      <c r="D302" s="16"/>
      <c r="E302" s="16"/>
    </row>
    <row r="303" spans="1:5" x14ac:dyDescent="0.25">
      <c r="A303" s="16" t="s">
        <v>448</v>
      </c>
      <c r="B303" s="35" t="s">
        <v>299</v>
      </c>
      <c r="C303" s="292"/>
      <c r="D303" s="16"/>
      <c r="E303" s="16"/>
    </row>
    <row r="304" spans="1:5" x14ac:dyDescent="0.25">
      <c r="A304" s="16" t="s">
        <v>449</v>
      </c>
      <c r="B304" s="35" t="s">
        <v>299</v>
      </c>
      <c r="C304" s="292"/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f>7696000-513066.72</f>
        <v>7182933.2800000003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7182933.2800000003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567122401.43999994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567122401.43999994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/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5291469.9400000004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58604499.770000003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40188311.509999998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 t="s">
        <v>391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-1960373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/>
      <c r="D320" s="16"/>
      <c r="E320" s="16"/>
    </row>
    <row r="321" spans="1:5" x14ac:dyDescent="0.25">
      <c r="A321" s="16" t="s">
        <v>462</v>
      </c>
      <c r="B321" s="35" t="s">
        <v>299</v>
      </c>
      <c r="C321" s="292"/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f>-1151726.74+3967262.48</f>
        <v>2815535.74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/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104939443.95999999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/>
      <c r="D326" s="16"/>
      <c r="E326" s="16"/>
    </row>
    <row r="327" spans="1:5" x14ac:dyDescent="0.25">
      <c r="A327" s="16" t="s">
        <v>468</v>
      </c>
      <c r="B327" s="35" t="s">
        <v>299</v>
      </c>
      <c r="C327" s="292"/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8799600.3699999992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8799600.3699999992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/>
      <c r="D331" s="16"/>
      <c r="E331" s="16"/>
    </row>
    <row r="332" spans="1:5" x14ac:dyDescent="0.25">
      <c r="A332" s="16" t="s">
        <v>473</v>
      </c>
      <c r="B332" s="35" t="s">
        <v>299</v>
      </c>
      <c r="C332" s="292"/>
      <c r="D332" s="16"/>
      <c r="E332" s="16"/>
    </row>
    <row r="333" spans="1:5" x14ac:dyDescent="0.25">
      <c r="A333" s="16" t="s">
        <v>474</v>
      </c>
      <c r="B333" s="35" t="s">
        <v>299</v>
      </c>
      <c r="C333" s="292"/>
      <c r="D333" s="16"/>
      <c r="E333" s="16"/>
    </row>
    <row r="334" spans="1:5" x14ac:dyDescent="0.25">
      <c r="A334" s="21" t="s">
        <v>475</v>
      </c>
      <c r="B334" s="35" t="s">
        <v>299</v>
      </c>
      <c r="C334" s="292" t="s">
        <v>391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 t="s">
        <v>391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f>20125000+159925972.01</f>
        <v>180050972.00999999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/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-2497930.37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177553041.63999999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177553041.63999999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f>268878370.47+6951945</f>
        <v>275830315.47000003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/>
      <c r="D345" s="16"/>
      <c r="E345" s="16"/>
    </row>
    <row r="346" spans="1:5" x14ac:dyDescent="0.25">
      <c r="A346" s="16" t="s">
        <v>484</v>
      </c>
      <c r="B346" s="35" t="s">
        <v>299</v>
      </c>
      <c r="C346" s="293"/>
      <c r="D346" s="16"/>
      <c r="E346" s="16"/>
    </row>
    <row r="347" spans="1:5" x14ac:dyDescent="0.25">
      <c r="A347" s="16" t="s">
        <v>485</v>
      </c>
      <c r="B347" s="35" t="s">
        <v>299</v>
      </c>
      <c r="C347" s="293"/>
      <c r="D347" s="16"/>
      <c r="E347" s="16"/>
    </row>
    <row r="348" spans="1:5" x14ac:dyDescent="0.25">
      <c r="A348" s="16" t="s">
        <v>486</v>
      </c>
      <c r="B348" s="35" t="s">
        <v>299</v>
      </c>
      <c r="C348" s="293"/>
      <c r="D348" s="16"/>
      <c r="E348" s="16"/>
    </row>
    <row r="349" spans="1:5" x14ac:dyDescent="0.25">
      <c r="A349" s="16" t="s">
        <v>487</v>
      </c>
      <c r="B349" s="35" t="s">
        <v>299</v>
      </c>
      <c r="C349" s="293"/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567122401.44000006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567122401.43999994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f>E157-1</f>
        <v>609660809.20000005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f>E158-1</f>
        <v>1438532088.5999999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2048192897.8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f>D237</f>
        <v>2723999.3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1366074846.8399999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f>D252</f>
        <v>50748586.490000002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884813.72000000009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1420432246.3499999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627760651.45000005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1807083.35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f>7787443.79+11097.5</f>
        <v>7798541.29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f>-1031504.74-203488.32</f>
        <v>-1234993.06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6743.46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376922.94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2197698.2200000002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f>8280441.22-20746.27-1</f>
        <v>8259693.9500000002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19211690.150000002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19211690.150000002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646972341.60000002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f t="shared" ref="C389:C396" si="24">CE61</f>
        <v>274380747.06800008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f t="shared" si="24"/>
        <v>47285978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f t="shared" si="24"/>
        <v>37000543.760000005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f t="shared" si="24"/>
        <v>125379790.26000001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f t="shared" si="24"/>
        <v>3967004.7699999996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f t="shared" si="24"/>
        <v>36491295.439999998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f t="shared" si="24"/>
        <v>17106907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f t="shared" si="24"/>
        <v>11134988.179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26125.65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4304584.32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3516949.52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f>CE70</f>
        <v>364137.75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f>CE71</f>
        <v>13474632.649999999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f>CE72</f>
        <v>21153213.114999995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2344232.87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f>CE74</f>
        <v>2370656.12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f t="shared" ref="C406:C413" si="25">CE75</f>
        <v>5969597.0800000001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f t="shared" si="25"/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f t="shared" si="25"/>
        <v>7077461.2599999998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79072.08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203839.15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f t="shared" si="25"/>
        <v>38570.28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f t="shared" si="25"/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f>29201143-5</f>
        <v>29201138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82276550.354999989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642871464.32200015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4100877.2779998779</v>
      </c>
      <c r="E417" s="25"/>
    </row>
    <row r="418" spans="1:13" x14ac:dyDescent="0.25">
      <c r="A418" s="25" t="s">
        <v>531</v>
      </c>
      <c r="B418" s="16"/>
      <c r="C418" s="294">
        <v>2850975.66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2850975.66</v>
      </c>
      <c r="E420" s="25"/>
      <c r="F420" s="11">
        <f>D420-C399</f>
        <v>-665973.85999999987</v>
      </c>
    </row>
    <row r="421" spans="1:13" x14ac:dyDescent="0.25">
      <c r="A421" s="25" t="s">
        <v>534</v>
      </c>
      <c r="B421" s="16"/>
      <c r="C421" s="22"/>
      <c r="D421" s="25">
        <f>D417+D420</f>
        <v>6951852.9379998781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6951852.9379998781</v>
      </c>
      <c r="E424" s="16"/>
    </row>
    <row r="426" spans="1:13" ht="29.1" customHeight="1" x14ac:dyDescent="0.25">
      <c r="A426" s="340" t="s">
        <v>538</v>
      </c>
      <c r="B426" s="340"/>
      <c r="C426" s="340"/>
      <c r="D426" s="340"/>
      <c r="E426" s="340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634214</v>
      </c>
      <c r="E612" s="219">
        <f>SUM(C624:D647)+SUM(C668:D713)</f>
        <v>582761576.00532949</v>
      </c>
      <c r="F612" s="219">
        <f>CE64-(AX64+BD64+BE64+BG64+BJ64+BN64+BP64+BQ64+CB64+CC64+CD64)</f>
        <v>125083380.36</v>
      </c>
      <c r="G612" s="217">
        <f>CE91-(AX91+AY91+BD91+BE91+BG91+BJ91+BN91+BP91+BQ91+CB91+CC91+CD91)</f>
        <v>153923</v>
      </c>
      <c r="H612" s="222">
        <f>CE60-(AX60+AY60+AZ60+BD60+BE60+BG60+BJ60+BN60+BO60+BP60+BQ60+BR60+CB60+CC60+CD60)</f>
        <v>2032.4099999999994</v>
      </c>
      <c r="I612" s="217">
        <f>CE92-(AX92+AY92+AZ92+BD92+BE92+BF92+BG92+BJ92+BN92+BO92+BP92+BQ92+BR92+CB92+CC92+CD92)</f>
        <v>99632</v>
      </c>
      <c r="J612" s="217">
        <f>CE93-(AX93+AY93+AZ93+BA93+BD93+BE93+BF93+BG93+BJ93+BN93+BO93+BP93+BQ93+BR93+CB93+CC93+CD93)</f>
        <v>1594844.26</v>
      </c>
      <c r="K612" s="217">
        <f>CE89-(AW89+AX89+AY89+AZ89+BA89+BB89+BC89+BD89+BE89+BF89+BG89+BH89+BI89+BJ89+BK89+BL89+BM89+BN89+BO89+BP89+BQ89+BR89+BS89+BT89+BU89+BV89+BW89+BX89+CB89+CC89+CD89)</f>
        <v>2048192897.3699999</v>
      </c>
      <c r="L612" s="223">
        <f>CE94-(AW94+AX94+AY94+AZ94+BA94+BB94+BC94+BD94+BE94+BF94+BG94+BH94+BI94+BJ94+BK94+BL94+BM94+BN94+BO94+BP94+BQ94+BR94+BS94+BT94+BU94+BV94+BW94+BX94+BY94+BZ94+CA94+CB94+CC94+CD94)</f>
        <v>480.40000000000003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16219450.85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9156467.2799999993</v>
      </c>
      <c r="D615" s="217">
        <f>SUM(C614:C615)</f>
        <v>25375918.129999999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6067.5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2492222.27</v>
      </c>
      <c r="D617" s="217">
        <f>(D615/D612)*BJ90</f>
        <v>132398.39090933028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405752.80000000005</v>
      </c>
      <c r="D618" s="217">
        <f>(D615/D612)*BG90</f>
        <v>7842.2739855632326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4472147.5200000005</v>
      </c>
      <c r="D619" s="217">
        <f>(D615/D612)*BN90</f>
        <v>76222.101747438559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30786693.649999999</v>
      </c>
      <c r="D620" s="217">
        <f>(D615/D612)*CC90</f>
        <v>1776595.1505458094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515061.76799999998</v>
      </c>
      <c r="D621" s="217">
        <f>(D615/D612)*BP90</f>
        <v>148122.95048242391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40819126.375670552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2438123.8199999998</v>
      </c>
      <c r="D624" s="217">
        <f>(D615/D612)*BD90</f>
        <v>266557.29230521561</v>
      </c>
      <c r="E624" s="219">
        <f>(E623/E612)*SUM(C624:D624)</f>
        <v>189447.49392342597</v>
      </c>
      <c r="F624" s="219">
        <f>SUM(C624:E624)</f>
        <v>2894128.6062286417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3435270.01</v>
      </c>
      <c r="D625" s="217">
        <f>(D615/D612)*AY90</f>
        <v>265316.93264423363</v>
      </c>
      <c r="E625" s="219">
        <f>(E623/E612)*SUM(C625:D625)</f>
        <v>259205.02019263167</v>
      </c>
      <c r="F625" s="219">
        <f>(F624/F612)*AY64</f>
        <v>9245.646714240067</v>
      </c>
      <c r="G625" s="217">
        <f>SUM(C625:F625)</f>
        <v>3969037.6095511047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4832641.5500000007</v>
      </c>
      <c r="D626" s="217">
        <f>(D615/D612)*BR90</f>
        <v>142041.18698341568</v>
      </c>
      <c r="E626" s="219">
        <f>(E623/E612)*SUM(C626:D626)</f>
        <v>348448.16762238921</v>
      </c>
      <c r="F626" s="219">
        <f>(F624/F612)*BR64</f>
        <v>139.22654501338417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450647.41000000003</v>
      </c>
      <c r="D627" s="217">
        <f>(D615/D612)*BO90</f>
        <v>100589.1673454386</v>
      </c>
      <c r="E627" s="219">
        <f>(E623/E612)*SUM(C627:D627)</f>
        <v>38610.979927320703</v>
      </c>
      <c r="F627" s="219">
        <f>(F624/F612)*BO64</f>
        <v>102.30171977428982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873444.33000000007</v>
      </c>
      <c r="D628" s="217">
        <f>(D615/D612)*AZ90</f>
        <v>218903.47436232879</v>
      </c>
      <c r="E628" s="219">
        <f>(E623/E612)*SUM(C628:D628)</f>
        <v>76512.736783532178</v>
      </c>
      <c r="F628" s="219">
        <f>(F624/F612)*AZ64</f>
        <v>33989.15008133855</v>
      </c>
      <c r="G628" s="217">
        <f>(G625/G612)*AZ91</f>
        <v>0</v>
      </c>
      <c r="H628" s="219">
        <f>SUM(C626:G628)</f>
        <v>7116069.6813705526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7472363.8400000008</v>
      </c>
      <c r="D629" s="217">
        <f>(D615/D612)*BF90</f>
        <v>56776.463191399118</v>
      </c>
      <c r="E629" s="219">
        <f>(E623/E612)*SUM(C629:D629)</f>
        <v>527373.35848874436</v>
      </c>
      <c r="F629" s="219">
        <f>(F624/F612)*BF64</f>
        <v>17404.358161571945</v>
      </c>
      <c r="G629" s="217">
        <f>(G625/G612)*BF91</f>
        <v>0</v>
      </c>
      <c r="H629" s="219">
        <f>(H628/H612)*BF60</f>
        <v>193621.68724804133</v>
      </c>
      <c r="I629" s="217">
        <f>SUM(C629:H629)</f>
        <v>8267539.7070897575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2556171.4599999995</v>
      </c>
      <c r="D630" s="217">
        <f>(D615/D612)*BA90</f>
        <v>105070.46676576046</v>
      </c>
      <c r="E630" s="219">
        <f>(E623/E612)*SUM(C630:D630)</f>
        <v>186404.82660080376</v>
      </c>
      <c r="F630" s="219">
        <f>(F624/F612)*BA64</f>
        <v>1720.9197174576236</v>
      </c>
      <c r="G630" s="217">
        <f>(G625/G612)*BA91</f>
        <v>0</v>
      </c>
      <c r="H630" s="219">
        <f>(H628/H612)*BA60</f>
        <v>10503.889000797903</v>
      </c>
      <c r="I630" s="217">
        <f>(I629/I612)*BA92</f>
        <v>0</v>
      </c>
      <c r="J630" s="217">
        <f>SUM(C630:I630)</f>
        <v>2859871.5620848192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1911420.6500000001</v>
      </c>
      <c r="D631" s="217">
        <f>(D615/D612)*AW90</f>
        <v>0</v>
      </c>
      <c r="E631" s="219">
        <f>(E623/E612)*SUM(C631:D631)</f>
        <v>133884.120508149</v>
      </c>
      <c r="F631" s="219">
        <f>(F624/F612)*AW64</f>
        <v>330.92823016841834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2659654.469</v>
      </c>
      <c r="D634" s="217">
        <f>(D615/D612)*BI90</f>
        <v>38051.03347076854</v>
      </c>
      <c r="E634" s="219">
        <f>(E623/E612)*SUM(C634:D634)</f>
        <v>188958.89221888073</v>
      </c>
      <c r="F634" s="219">
        <f>(F624/F612)*BI64</f>
        <v>407.12310728409517</v>
      </c>
      <c r="G634" s="217">
        <f>(G625/G612)*BI91</f>
        <v>0</v>
      </c>
      <c r="H634" s="219">
        <f>(H628/H612)*BI60</f>
        <v>3501.2963335993009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6127317.9900000012</v>
      </c>
      <c r="D635" s="217">
        <f>(D615/D612)*BK90</f>
        <v>343979.74211166892</v>
      </c>
      <c r="E635" s="219">
        <f>(E623/E612)*SUM(C635:D635)</f>
        <v>453277.51660010056</v>
      </c>
      <c r="F635" s="219">
        <f>(F624/F612)*BK64</f>
        <v>543.54537577356882</v>
      </c>
      <c r="G635" s="217">
        <f>(G625/G612)*BK91</f>
        <v>0</v>
      </c>
      <c r="H635" s="219">
        <f>(H628/H612)*BK60</f>
        <v>189070.00201436225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12769868.949999999</v>
      </c>
      <c r="D636" s="217">
        <f>(D615/D612)*BH90</f>
        <v>253353.46365605301</v>
      </c>
      <c r="E636" s="219">
        <f>(E623/E612)*SUM(C636:D636)</f>
        <v>912202.49139526335</v>
      </c>
      <c r="F636" s="219">
        <f>(F624/F612)*BH64</f>
        <v>11520.868706800726</v>
      </c>
      <c r="G636" s="217">
        <f>(G625/G612)*BH91</f>
        <v>0</v>
      </c>
      <c r="H636" s="219">
        <f>(H628/H612)*BH60</f>
        <v>70025.926671986017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7132881.4500000002</v>
      </c>
      <c r="D637" s="217">
        <f>(D615/D612)*BL90</f>
        <v>157685.72335257501</v>
      </c>
      <c r="E637" s="219">
        <f>(E623/E612)*SUM(C637:D637)</f>
        <v>510662.67072603368</v>
      </c>
      <c r="F637" s="219">
        <f>(F624/F612)*BL64</f>
        <v>1319.0444481140246</v>
      </c>
      <c r="G637" s="217">
        <f>(G625/G612)*BL91</f>
        <v>0</v>
      </c>
      <c r="H637" s="219">
        <f>(H628/H612)*BL60</f>
        <v>174714.6870466051</v>
      </c>
      <c r="I637" s="217">
        <f>(I629/I612)*BL92</f>
        <v>0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2878158.12</v>
      </c>
      <c r="D638" s="217">
        <f>(D615/D612)*BM90</f>
        <v>89986.092824141379</v>
      </c>
      <c r="E638" s="219">
        <f>(E623/E612)*SUM(C638:D638)</f>
        <v>207901.58224737833</v>
      </c>
      <c r="F638" s="219">
        <f>(F624/F612)*BM64</f>
        <v>128.93586822481635</v>
      </c>
      <c r="G638" s="217">
        <f>(G625/G612)*BM91</f>
        <v>0</v>
      </c>
      <c r="H638" s="219">
        <f>(H628/H612)*BM60</f>
        <v>17506.481667996504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115362.71</v>
      </c>
      <c r="D639" s="217">
        <f>(D615/D612)*BS90</f>
        <v>20245.870595382632</v>
      </c>
      <c r="E639" s="219">
        <f>(E623/E612)*SUM(C639:D639)</f>
        <v>9498.6080360548804</v>
      </c>
      <c r="F639" s="219">
        <f>(F624/F612)*BS64</f>
        <v>36.094648327560442</v>
      </c>
      <c r="G639" s="217">
        <f>(G625/G612)*BS91</f>
        <v>0</v>
      </c>
      <c r="H639" s="219">
        <f>(H628/H612)*BS60</f>
        <v>3501.2963335993009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115553.66</v>
      </c>
      <c r="D640" s="217">
        <f>(D615/D612)*BT90</f>
        <v>11963.468988180646</v>
      </c>
      <c r="E640" s="219">
        <f>(E623/E612)*SUM(C640:D640)</f>
        <v>8931.8479761672315</v>
      </c>
      <c r="F640" s="219">
        <f>(F624/F612)*BT64</f>
        <v>0.15849252631012117</v>
      </c>
      <c r="G640" s="217">
        <f>(G625/G612)*BT91</f>
        <v>0</v>
      </c>
      <c r="H640" s="219">
        <f>(H628/H612)*BT60</f>
        <v>3501.2963335993009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5943263.2599999988</v>
      </c>
      <c r="D642" s="217">
        <f>(D615/D612)*BV90</f>
        <v>148122.95048242391</v>
      </c>
      <c r="E642" s="219">
        <f>(E623/E612)*SUM(C642:D642)</f>
        <v>426666.88018982409</v>
      </c>
      <c r="F642" s="219">
        <f>(F624/F612)*BV64</f>
        <v>19.719246784388886</v>
      </c>
      <c r="G642" s="217">
        <f>(G625/G612)*BV91</f>
        <v>0</v>
      </c>
      <c r="H642" s="219">
        <f>(H628/H612)*BV60</f>
        <v>190120.39091444202</v>
      </c>
      <c r="I642" s="217">
        <f>(I629/I612)*BV92</f>
        <v>0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3037486.8400000008</v>
      </c>
      <c r="D643" s="217">
        <f>(D615/D612)*BW90</f>
        <v>69500.152616955791</v>
      </c>
      <c r="E643" s="219">
        <f>(E623/E612)*SUM(C643:D643)</f>
        <v>217626.72750071003</v>
      </c>
      <c r="F643" s="219">
        <f>(F624/F612)*BW64</f>
        <v>525.64266157904967</v>
      </c>
      <c r="G643" s="217">
        <f>(G625/G612)*BW91</f>
        <v>0</v>
      </c>
      <c r="H643" s="219">
        <f>(H628/H612)*BW60</f>
        <v>10503.889000797903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11719072.49</v>
      </c>
      <c r="D644" s="217">
        <f>(D615/D612)*BX90</f>
        <v>233547.72068230913</v>
      </c>
      <c r="E644" s="219">
        <f>(E623/E612)*SUM(C644:D644)</f>
        <v>837212.91002853168</v>
      </c>
      <c r="F644" s="219">
        <f>(F624/F612)*BX64</f>
        <v>731.70006760256774</v>
      </c>
      <c r="G644" s="217">
        <f>(G625/G612)*BX91</f>
        <v>0</v>
      </c>
      <c r="H644" s="219">
        <f>(H628/H612)*BX60</f>
        <v>160009.24244548805</v>
      </c>
      <c r="I644" s="217">
        <f>(I629/I612)*BX92</f>
        <v>0</v>
      </c>
      <c r="J644" s="217">
        <f>(J630/J612)*BX93</f>
        <v>0</v>
      </c>
      <c r="K644" s="219">
        <f>SUM(C631:J644)</f>
        <v>60521319.324823178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1817793.73</v>
      </c>
      <c r="D645" s="217">
        <f>(D615/D612)*BY90</f>
        <v>0</v>
      </c>
      <c r="E645" s="219">
        <f>(E623/E612)*SUM(C645:D645)</f>
        <v>127326.08848098278</v>
      </c>
      <c r="F645" s="219">
        <f>(F624/F612)*BY64</f>
        <v>39.370469039237371</v>
      </c>
      <c r="G645" s="217">
        <f>(G625/G612)*BY91</f>
        <v>0</v>
      </c>
      <c r="H645" s="219">
        <f>(H628/H612)*BY60</f>
        <v>37113.741136152588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2460407.3899999997</v>
      </c>
      <c r="D646" s="217">
        <f>(D615/D612)*BZ90</f>
        <v>6321.833110811177</v>
      </c>
      <c r="E646" s="219">
        <f>(E623/E612)*SUM(C646:D646)</f>
        <v>172780.32052648408</v>
      </c>
      <c r="F646" s="219">
        <f>(F624/F612)*BZ64</f>
        <v>126.16814910113507</v>
      </c>
      <c r="G646" s="217">
        <f>(G625/G612)*BZ91</f>
        <v>0</v>
      </c>
      <c r="H646" s="219">
        <f>(H628/H612)*BZ60</f>
        <v>144428.47376097116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5794</v>
      </c>
      <c r="D647" s="217">
        <f>(D615/D612)*CA90</f>
        <v>16924.907632108407</v>
      </c>
      <c r="E647" s="219">
        <f>(E623/E612)*SUM(C647:D647)</f>
        <v>1591.3299708416919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4790647.3532364918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144806561.76699996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10456401.450000001</v>
      </c>
      <c r="D668" s="217">
        <f>(D615/D612)*C90</f>
        <v>454411.76354102872</v>
      </c>
      <c r="E668" s="219">
        <f>(E623/E612)*SUM(C668:D668)</f>
        <v>764240.26868373086</v>
      </c>
      <c r="F668" s="219">
        <f>(F624/F612)*C64</f>
        <v>13978.654422714824</v>
      </c>
      <c r="G668" s="217">
        <f>(G625/G612)*C91</f>
        <v>67945.752754085886</v>
      </c>
      <c r="H668" s="219">
        <f>(H628/H612)*C60</f>
        <v>173839.36296320529</v>
      </c>
      <c r="I668" s="217">
        <f>(I629/I612)*C92</f>
        <v>552319.9804318836</v>
      </c>
      <c r="J668" s="217">
        <f>(J630/J612)*C93</f>
        <v>214432.35809715861</v>
      </c>
      <c r="K668" s="217">
        <f>(K644/K612)*C89</f>
        <v>1160888.6949499873</v>
      </c>
      <c r="L668" s="217">
        <f>(L647/L612)*C94</f>
        <v>369470.20074398833</v>
      </c>
      <c r="M668" s="202">
        <f t="shared" ref="M668:M713" si="26">ROUND(SUM(D668:L668),0)</f>
        <v>3771527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6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40732123</v>
      </c>
      <c r="D670" s="217">
        <f>(D615/D612)*E90</f>
        <v>2546538.4071998568</v>
      </c>
      <c r="E670" s="219">
        <f>(E623/E612)*SUM(C670:D670)</f>
        <v>3031423.5222230768</v>
      </c>
      <c r="F670" s="219">
        <f>(F624/F612)*E64</f>
        <v>33546.294660465872</v>
      </c>
      <c r="G670" s="217">
        <f>(G625/G612)*E91</f>
        <v>2993274.7139278166</v>
      </c>
      <c r="H670" s="219">
        <f>(H628/H612)*E60</f>
        <v>807749.06416135863</v>
      </c>
      <c r="I670" s="217">
        <f>(I629/I612)*E92</f>
        <v>3883499.8624116816</v>
      </c>
      <c r="J670" s="217">
        <f>(J630/J612)*E93</f>
        <v>600389.68322399503</v>
      </c>
      <c r="K670" s="217">
        <f>(K644/K612)*E89</f>
        <v>5441422.4685729817</v>
      </c>
      <c r="L670" s="217">
        <f>(L647/L612)*E94</f>
        <v>1184199.3613589371</v>
      </c>
      <c r="M670" s="202">
        <f t="shared" si="26"/>
        <v>20522043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7493773.5899999999</v>
      </c>
      <c r="D671" s="217">
        <f>(D615/D612)*F90</f>
        <v>750337.57169013924</v>
      </c>
      <c r="E671" s="219">
        <f>(E623/E612)*SUM(C671:D671)</f>
        <v>577452.99144607375</v>
      </c>
      <c r="F671" s="219">
        <f>(F624/F612)*F64</f>
        <v>4633.6375219973261</v>
      </c>
      <c r="G671" s="217">
        <f>(G625/G612)*F91</f>
        <v>256130.99131170212</v>
      </c>
      <c r="H671" s="219">
        <f>(H628/H612)*F60</f>
        <v>165261.18694588702</v>
      </c>
      <c r="I671" s="217">
        <f>(I629/I612)*F92</f>
        <v>517799.98165489087</v>
      </c>
      <c r="J671" s="217">
        <f>(J630/J612)*F93</f>
        <v>70774.764147367096</v>
      </c>
      <c r="K671" s="217">
        <f>(K644/K612)*F89</f>
        <v>792298.63576659549</v>
      </c>
      <c r="L671" s="217">
        <f>(L647/L612)*F94</f>
        <v>329082.76989343093</v>
      </c>
      <c r="M671" s="202">
        <f t="shared" si="26"/>
        <v>3463773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6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6185540.9270000001</v>
      </c>
      <c r="D673" s="217">
        <f>(D615/D612)*H90</f>
        <v>533594.72383403708</v>
      </c>
      <c r="E673" s="219">
        <f>(E623/E612)*SUM(C673:D673)</f>
        <v>470637.15001031524</v>
      </c>
      <c r="F673" s="219">
        <f>(F624/F612)*H64</f>
        <v>1396.2566852854468</v>
      </c>
      <c r="G673" s="217">
        <f>(G625/G612)*H91</f>
        <v>440964.06749435392</v>
      </c>
      <c r="H673" s="219">
        <f>(H628/H612)*H60</f>
        <v>103813.43629121926</v>
      </c>
      <c r="I673" s="217">
        <f>(I629/I612)*H92</f>
        <v>207119.99266195635</v>
      </c>
      <c r="J673" s="217">
        <f>(J630/J612)*H93</f>
        <v>71282.275049717689</v>
      </c>
      <c r="K673" s="217">
        <f>(K644/K612)*H89</f>
        <v>860030.02127991267</v>
      </c>
      <c r="L673" s="217">
        <f>(L647/L612)*H94</f>
        <v>101716.492512515</v>
      </c>
      <c r="M673" s="202">
        <f t="shared" si="26"/>
        <v>2790554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6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6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6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6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6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6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8720537.1000000015</v>
      </c>
      <c r="D680" s="217">
        <f>(D615/D612)*O90</f>
        <v>424042.95764795481</v>
      </c>
      <c r="E680" s="219">
        <f>(E623/E612)*SUM(C680:D680)</f>
        <v>640525.7044986696</v>
      </c>
      <c r="F680" s="219">
        <f>(F624/F612)*O64</f>
        <v>17362.871065334628</v>
      </c>
      <c r="G680" s="217">
        <f>(G625/G612)*O91</f>
        <v>0</v>
      </c>
      <c r="H680" s="219">
        <f>(H628/H612)*O60</f>
        <v>160709.50171220792</v>
      </c>
      <c r="I680" s="217">
        <f>(I629/I612)*O92</f>
        <v>1208199.9571947453</v>
      </c>
      <c r="J680" s="217">
        <f>(J630/J612)*O93</f>
        <v>315033.16965279699</v>
      </c>
      <c r="K680" s="217">
        <f>(K644/K612)*O89</f>
        <v>838276.13203533541</v>
      </c>
      <c r="L680" s="217">
        <f>(L647/L612)*O94</f>
        <v>290191.16981511639</v>
      </c>
      <c r="M680" s="202">
        <f t="shared" si="26"/>
        <v>3894341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53806600.740000002</v>
      </c>
      <c r="D681" s="217">
        <f>(D615/D612)*P90</f>
        <v>1911074.1447574322</v>
      </c>
      <c r="E681" s="219">
        <f>(E623/E612)*SUM(C681:D681)</f>
        <v>3902705.5079187988</v>
      </c>
      <c r="F681" s="219">
        <f>(F624/F612)*P64</f>
        <v>717486.81022864918</v>
      </c>
      <c r="G681" s="217">
        <f>(G625/G612)*P91</f>
        <v>23722.995268978753</v>
      </c>
      <c r="H681" s="219">
        <f>(H628/H612)*P60</f>
        <v>380415.84664556407</v>
      </c>
      <c r="I681" s="217">
        <f>(I629/I612)*P92</f>
        <v>604099.97859737265</v>
      </c>
      <c r="J681" s="217">
        <f>(J630/J612)*P93</f>
        <v>485798.35868330183</v>
      </c>
      <c r="K681" s="217">
        <f>(K644/K612)*P89</f>
        <v>7427107.3612446673</v>
      </c>
      <c r="L681" s="217">
        <f>(L647/L612)*P94</f>
        <v>523042.16002758947</v>
      </c>
      <c r="M681" s="202">
        <f t="shared" si="26"/>
        <v>15975453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7716642.2300000004</v>
      </c>
      <c r="D682" s="217">
        <f>(D615/D612)*Q90</f>
        <v>218183.26552691995</v>
      </c>
      <c r="E682" s="219">
        <f>(E623/E612)*SUM(C682:D682)</f>
        <v>555789.29360957735</v>
      </c>
      <c r="F682" s="219">
        <f>(F624/F612)*Q64</f>
        <v>2276.8487968708569</v>
      </c>
      <c r="G682" s="217">
        <f>(G625/G612)*Q91</f>
        <v>0</v>
      </c>
      <c r="H682" s="219">
        <f>(H628/H612)*Q60</f>
        <v>125521.47355953493</v>
      </c>
      <c r="I682" s="217">
        <f>(I629/I612)*Q92</f>
        <v>86299.996942481812</v>
      </c>
      <c r="J682" s="217">
        <f>(J630/J612)*Q93</f>
        <v>82695.22727529348</v>
      </c>
      <c r="K682" s="217">
        <f>(K644/K612)*Q89</f>
        <v>426783.79243527504</v>
      </c>
      <c r="L682" s="217">
        <f>(L647/L612)*Q94</f>
        <v>278723.13389458769</v>
      </c>
      <c r="M682" s="202">
        <f t="shared" si="26"/>
        <v>1776273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20930977.180000003</v>
      </c>
      <c r="D683" s="217">
        <f>(D615/D612)*R90</f>
        <v>25047.262831441752</v>
      </c>
      <c r="E683" s="219">
        <f>(E623/E612)*SUM(C683:D683)</f>
        <v>1467850.0527216555</v>
      </c>
      <c r="F683" s="219">
        <f>(F624/F612)*R64</f>
        <v>11748.858239202251</v>
      </c>
      <c r="G683" s="217">
        <f>(G625/G612)*R91</f>
        <v>0</v>
      </c>
      <c r="H683" s="219">
        <f>(H628/H612)*R60</f>
        <v>6127.2685837987765</v>
      </c>
      <c r="I683" s="217">
        <f>(I629/I612)*R92</f>
        <v>172599.99388496362</v>
      </c>
      <c r="J683" s="217">
        <f>(J630/J612)*R93</f>
        <v>119793.80441924093</v>
      </c>
      <c r="K683" s="217">
        <f>(K644/K612)*R89</f>
        <v>1512280.0324695571</v>
      </c>
      <c r="L683" s="217">
        <f>(L647/L612)*R94</f>
        <v>0</v>
      </c>
      <c r="M683" s="202">
        <f t="shared" si="26"/>
        <v>3315447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3340479.9899999998</v>
      </c>
      <c r="D684" s="217">
        <f>(D615/D612)*S90</f>
        <v>1374118.4463581536</v>
      </c>
      <c r="E684" s="219">
        <f>(E623/E612)*SUM(C684:D684)</f>
        <v>330230.74497019051</v>
      </c>
      <c r="F684" s="219">
        <f>(F624/F612)*S64</f>
        <v>11374.733044519973</v>
      </c>
      <c r="G684" s="217">
        <f>(G625/G612)*S91</f>
        <v>0</v>
      </c>
      <c r="H684" s="219">
        <f>(H628/H612)*S60</f>
        <v>80179.686039423977</v>
      </c>
      <c r="I684" s="217">
        <f>(I629/I612)*S92</f>
        <v>0</v>
      </c>
      <c r="J684" s="217">
        <f>(J630/J612)*S93</f>
        <v>18807.509086207643</v>
      </c>
      <c r="K684" s="217">
        <f>(K644/K612)*S89</f>
        <v>47.868800556875527</v>
      </c>
      <c r="L684" s="217">
        <f>(L647/L612)*S94</f>
        <v>0</v>
      </c>
      <c r="M684" s="202">
        <f t="shared" si="26"/>
        <v>1814759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2122170.27</v>
      </c>
      <c r="D685" s="217">
        <f>(D615/D612)*T90</f>
        <v>11683.38777441053</v>
      </c>
      <c r="E685" s="219">
        <f>(E623/E612)*SUM(C685:D685)</f>
        <v>149464.28472676786</v>
      </c>
      <c r="F685" s="219">
        <f>(F624/F612)*T64</f>
        <v>8223.5388239838812</v>
      </c>
      <c r="G685" s="217">
        <f>(G625/G612)*T91</f>
        <v>0</v>
      </c>
      <c r="H685" s="219">
        <f>(H628/H612)*T60</f>
        <v>33787.509619233257</v>
      </c>
      <c r="I685" s="217">
        <f>(I629/I612)*T92</f>
        <v>0</v>
      </c>
      <c r="J685" s="217">
        <f>(J630/J612)*T93</f>
        <v>0</v>
      </c>
      <c r="K685" s="217">
        <f>(K644/K612)*T89</f>
        <v>63303.078823144264</v>
      </c>
      <c r="L685" s="217">
        <f>(L647/L612)*T94</f>
        <v>96231.779680957843</v>
      </c>
      <c r="M685" s="202">
        <f t="shared" si="26"/>
        <v>362694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19689707.699999999</v>
      </c>
      <c r="D686" s="217">
        <f>(D615/D612)*U90</f>
        <v>379990.18388211232</v>
      </c>
      <c r="E686" s="219">
        <f>(E623/E612)*SUM(C686:D686)</f>
        <v>1405767.9297583268</v>
      </c>
      <c r="F686" s="219">
        <f>(F624/F612)*U64</f>
        <v>140931.77859825612</v>
      </c>
      <c r="G686" s="217">
        <f>(G625/G612)*U91</f>
        <v>0</v>
      </c>
      <c r="H686" s="219">
        <f>(H628/H612)*U60</f>
        <v>305313.04028985905</v>
      </c>
      <c r="I686" s="217">
        <f>(I629/I612)*U92</f>
        <v>86299.996942481812</v>
      </c>
      <c r="J686" s="217">
        <f>(J630/J612)*U93</f>
        <v>0</v>
      </c>
      <c r="K686" s="217">
        <f>(K644/K612)*U89</f>
        <v>4209158.5053858235</v>
      </c>
      <c r="L686" s="217">
        <f>(L647/L612)*U94</f>
        <v>56841.569345228985</v>
      </c>
      <c r="M686" s="202">
        <f t="shared" si="26"/>
        <v>6584303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112988.93000000001</v>
      </c>
      <c r="D687" s="217">
        <f>(D615/D612)*V90</f>
        <v>9042.6220445780127</v>
      </c>
      <c r="E687" s="219">
        <f>(E623/E612)*SUM(C687:D687)</f>
        <v>8547.6145817158231</v>
      </c>
      <c r="F687" s="219">
        <f>(F624/F612)*V64</f>
        <v>55.384692723182503</v>
      </c>
      <c r="G687" s="217">
        <f>(G625/G612)*V91</f>
        <v>0</v>
      </c>
      <c r="H687" s="219">
        <f>(H628/H612)*V60</f>
        <v>3501.2963335993009</v>
      </c>
      <c r="I687" s="217">
        <f>(I629/I612)*V92</f>
        <v>0</v>
      </c>
      <c r="J687" s="217">
        <f>(J630/J612)*V93</f>
        <v>0</v>
      </c>
      <c r="K687" s="217">
        <f>(K644/K612)*V89</f>
        <v>243701.77745630781</v>
      </c>
      <c r="L687" s="217">
        <f>(L647/L612)*V94</f>
        <v>0</v>
      </c>
      <c r="M687" s="202">
        <f t="shared" si="26"/>
        <v>264849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2016159.5199999998</v>
      </c>
      <c r="D688" s="217">
        <f>(D615/D612)*W90</f>
        <v>91066.40607725468</v>
      </c>
      <c r="E688" s="219">
        <f>(E623/E612)*SUM(C688:D688)</f>
        <v>147599.16391236172</v>
      </c>
      <c r="F688" s="219">
        <f>(F624/F612)*W64</f>
        <v>1222.4156039018831</v>
      </c>
      <c r="G688" s="217">
        <f>(G625/G612)*W91</f>
        <v>0</v>
      </c>
      <c r="H688" s="219">
        <f>(H628/H612)*W60</f>
        <v>38164.130036232382</v>
      </c>
      <c r="I688" s="217">
        <f>(I629/I612)*W92</f>
        <v>0</v>
      </c>
      <c r="J688" s="217">
        <f>(J630/J612)*W93</f>
        <v>21823.614352360593</v>
      </c>
      <c r="K688" s="217">
        <f>(K644/K612)*W89</f>
        <v>1162519.3417996338</v>
      </c>
      <c r="L688" s="217">
        <f>(L647/L612)*W94</f>
        <v>0</v>
      </c>
      <c r="M688" s="202">
        <f t="shared" si="26"/>
        <v>1462395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4578104.6400000006</v>
      </c>
      <c r="D689" s="217">
        <f>(D615/D612)*X90</f>
        <v>95667.740303478</v>
      </c>
      <c r="E689" s="219">
        <f>(E623/E612)*SUM(C689:D689)</f>
        <v>327371.1124718723</v>
      </c>
      <c r="F689" s="219">
        <f>(F624/F612)*X64</f>
        <v>37370.847271229897</v>
      </c>
      <c r="G689" s="217">
        <f>(G625/G612)*X91</f>
        <v>0</v>
      </c>
      <c r="H689" s="219">
        <f>(H628/H612)*X60</f>
        <v>56020.741337588814</v>
      </c>
      <c r="I689" s="217">
        <f>(I629/I612)*X92</f>
        <v>0</v>
      </c>
      <c r="J689" s="217">
        <f>(J630/J612)*X93</f>
        <v>63153.995357078253</v>
      </c>
      <c r="K689" s="217">
        <f>(K644/K612)*X89</f>
        <v>3700843.9823466646</v>
      </c>
      <c r="L689" s="217">
        <f>(L647/L612)*X94</f>
        <v>0</v>
      </c>
      <c r="M689" s="202">
        <f t="shared" si="26"/>
        <v>4280428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10194574.120000001</v>
      </c>
      <c r="D690" s="217">
        <f>(D615/D612)*Y90</f>
        <v>1465464.9336491784</v>
      </c>
      <c r="E690" s="219">
        <f>(E623/E612)*SUM(C690:D690)</f>
        <v>816719.2678327976</v>
      </c>
      <c r="F690" s="219">
        <f>(F624/F612)*Y64</f>
        <v>10230.230284168589</v>
      </c>
      <c r="G690" s="217">
        <f>(G625/G612)*Y91</f>
        <v>0</v>
      </c>
      <c r="H690" s="219">
        <f>(H628/H612)*Y60</f>
        <v>213228.94671619742</v>
      </c>
      <c r="I690" s="217">
        <f>(I629/I612)*Y92</f>
        <v>86299.996942481812</v>
      </c>
      <c r="J690" s="217">
        <f>(J630/J612)*Y93</f>
        <v>147350.8466505626</v>
      </c>
      <c r="K690" s="217">
        <f>(K644/K612)*Y89</f>
        <v>2473638.2127805636</v>
      </c>
      <c r="L690" s="217">
        <f>(L647/L612)*Y94</f>
        <v>55844.348830400399</v>
      </c>
      <c r="M690" s="202">
        <f t="shared" si="26"/>
        <v>5268777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4412849.51</v>
      </c>
      <c r="D691" s="217">
        <f>(D615/D612)*Z90</f>
        <v>507947.28697308793</v>
      </c>
      <c r="E691" s="219">
        <f>(E623/E612)*SUM(C691:D691)</f>
        <v>344673.76470064733</v>
      </c>
      <c r="F691" s="219">
        <f>(F624/F612)*Z64</f>
        <v>1445.8201904620068</v>
      </c>
      <c r="G691" s="217">
        <f>(G625/G612)*Z91</f>
        <v>0</v>
      </c>
      <c r="H691" s="219">
        <f>(H628/H612)*Z60</f>
        <v>45691.91715347088</v>
      </c>
      <c r="I691" s="217">
        <f>(I629/I612)*Z92</f>
        <v>0</v>
      </c>
      <c r="J691" s="217">
        <f>(J630/J612)*Z93</f>
        <v>0</v>
      </c>
      <c r="K691" s="217">
        <f>(K644/K612)*Z89</f>
        <v>726378.30722506309</v>
      </c>
      <c r="L691" s="217">
        <f>(L647/L612)*Z94</f>
        <v>19944.410296571572</v>
      </c>
      <c r="M691" s="202">
        <f t="shared" si="26"/>
        <v>1646082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1349031.46</v>
      </c>
      <c r="D692" s="217">
        <f>(D615/D612)*AA90</f>
        <v>91546.545300860598</v>
      </c>
      <c r="E692" s="219">
        <f>(E623/E612)*SUM(C692:D692)</f>
        <v>100904.27727831092</v>
      </c>
      <c r="F692" s="219">
        <f>(F624/F612)*AA64</f>
        <v>12758.995663266933</v>
      </c>
      <c r="G692" s="217">
        <f>(G625/G612)*AA91</f>
        <v>0</v>
      </c>
      <c r="H692" s="219">
        <f>(H628/H612)*AA60</f>
        <v>21007.778001595805</v>
      </c>
      <c r="I692" s="217">
        <f>(I629/I612)*AA92</f>
        <v>0</v>
      </c>
      <c r="J692" s="217">
        <f>(J630/J612)*AA93</f>
        <v>3955.7051623216216</v>
      </c>
      <c r="K692" s="217">
        <f>(K644/K612)*AA89</f>
        <v>334253.34629384632</v>
      </c>
      <c r="L692" s="217">
        <f>(L647/L612)*AA94</f>
        <v>0</v>
      </c>
      <c r="M692" s="202">
        <f t="shared" si="26"/>
        <v>564427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49334384.558000006</v>
      </c>
      <c r="D693" s="217">
        <f>(D615/D612)*AB90</f>
        <v>627742.02326276305</v>
      </c>
      <c r="E693" s="219">
        <f>(E623/E612)*SUM(C693:D693)</f>
        <v>3499562.1586745847</v>
      </c>
      <c r="F693" s="219">
        <f>(F624/F612)*AB64</f>
        <v>820959.14492759586</v>
      </c>
      <c r="G693" s="217">
        <f>(G625/G612)*AB91</f>
        <v>0</v>
      </c>
      <c r="H693" s="219">
        <f>(H628/H612)*AB60</f>
        <v>227584.26168395457</v>
      </c>
      <c r="I693" s="217">
        <f>(I629/I612)*AB92</f>
        <v>0</v>
      </c>
      <c r="J693" s="217">
        <f>(J630/J612)*AB93</f>
        <v>2248.9930870965036</v>
      </c>
      <c r="K693" s="217">
        <f>(K644/K612)*AB89</f>
        <v>4321570.8515447192</v>
      </c>
      <c r="L693" s="217">
        <f>(L647/L612)*AB94</f>
        <v>0</v>
      </c>
      <c r="M693" s="202">
        <f t="shared" si="26"/>
        <v>9499667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3283252.5399999996</v>
      </c>
      <c r="D694" s="217">
        <f>(D615/D612)*AC90</f>
        <v>123075.68765098216</v>
      </c>
      <c r="E694" s="219">
        <f>(E623/E612)*SUM(C694:D694)</f>
        <v>238593.87462468483</v>
      </c>
      <c r="F694" s="219">
        <f>(F624/F612)*AC64</f>
        <v>9843.0124499333397</v>
      </c>
      <c r="G694" s="217">
        <f>(G625/G612)*AC91</f>
        <v>0</v>
      </c>
      <c r="H694" s="219">
        <f>(H628/H612)*AC60</f>
        <v>44641.528253391087</v>
      </c>
      <c r="I694" s="217">
        <f>(I629/I612)*AC92</f>
        <v>0</v>
      </c>
      <c r="J694" s="217">
        <f>(J630/J612)*AC93</f>
        <v>0</v>
      </c>
      <c r="K694" s="217">
        <f>(K644/K612)*AC89</f>
        <v>481570.15384226461</v>
      </c>
      <c r="L694" s="217">
        <f>(L647/L612)*AC94</f>
        <v>0</v>
      </c>
      <c r="M694" s="202">
        <f t="shared" si="26"/>
        <v>897724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1574464.14</v>
      </c>
      <c r="D695" s="217">
        <f>(D615/D612)*AD90</f>
        <v>10683.097725231546</v>
      </c>
      <c r="E695" s="219">
        <f>(E623/E612)*SUM(C695:D695)</f>
        <v>111030.52789492693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96128.145519282058</v>
      </c>
      <c r="L695" s="217">
        <f>(L647/L612)*AD94</f>
        <v>0</v>
      </c>
      <c r="M695" s="202">
        <f t="shared" si="26"/>
        <v>217842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4510699.7299999995</v>
      </c>
      <c r="D696" s="217">
        <f>(D615/D612)*AE90</f>
        <v>33649.757254381017</v>
      </c>
      <c r="E696" s="219">
        <f>(E623/E612)*SUM(C696:D696)</f>
        <v>318305.77658701682</v>
      </c>
      <c r="F696" s="219">
        <f>(F624/F612)*AE64</f>
        <v>1306.1042853126435</v>
      </c>
      <c r="G696" s="217">
        <f>(G625/G612)*AE91</f>
        <v>0</v>
      </c>
      <c r="H696" s="219">
        <f>(H628/H612)*AE60</f>
        <v>81930.334206223633</v>
      </c>
      <c r="I696" s="217">
        <f>(I629/I612)*AE92</f>
        <v>0</v>
      </c>
      <c r="J696" s="217">
        <f>(J630/J612)*AE93</f>
        <v>0</v>
      </c>
      <c r="K696" s="217">
        <f>(K644/K612)*AE89</f>
        <v>380175.38153387199</v>
      </c>
      <c r="L696" s="217">
        <f>(L647/L612)*AE94</f>
        <v>0</v>
      </c>
      <c r="M696" s="202">
        <f t="shared" si="26"/>
        <v>815367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6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35214340.899999999</v>
      </c>
      <c r="D698" s="217">
        <f>(D615/D612)*AG90</f>
        <v>869892.23836801143</v>
      </c>
      <c r="E698" s="219">
        <f>(E623/E612)*SUM(C698:D698)</f>
        <v>2527494.8337203562</v>
      </c>
      <c r="F698" s="219">
        <f>(F624/F612)*AG64</f>
        <v>41720.434487574232</v>
      </c>
      <c r="G698" s="217">
        <f>(G625/G612)*AG91</f>
        <v>129316.110080357</v>
      </c>
      <c r="H698" s="219">
        <f>(H628/H612)*AG60</f>
        <v>316692.25337405677</v>
      </c>
      <c r="I698" s="217">
        <f>(I629/I612)*AG92</f>
        <v>862999.96942481818</v>
      </c>
      <c r="J698" s="217">
        <f>(J630/J612)*AG93</f>
        <v>621939.72728710901</v>
      </c>
      <c r="K698" s="217">
        <f>(K644/K612)*AG89</f>
        <v>7317171.6360191759</v>
      </c>
      <c r="L698" s="217">
        <f>(L647/L612)*AG94</f>
        <v>569412.91396711837</v>
      </c>
      <c r="M698" s="202">
        <f t="shared" si="26"/>
        <v>13256640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6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6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135163628.74000001</v>
      </c>
      <c r="D701" s="217">
        <f>(D615/D612)*AJ90</f>
        <v>5842454.1076426413</v>
      </c>
      <c r="E701" s="219">
        <f>(E623/E612)*SUM(C701:D701)</f>
        <v>9876672.3004461788</v>
      </c>
      <c r="F701" s="219">
        <f>(F624/F612)*AJ64</f>
        <v>899687.32586164633</v>
      </c>
      <c r="G701" s="217">
        <f>(G625/G612)*AJ91</f>
        <v>0</v>
      </c>
      <c r="H701" s="219">
        <f>(H628/H612)*AJ60</f>
        <v>1589448.4836007385</v>
      </c>
      <c r="I701" s="217">
        <f>(I629/I612)*AJ92</f>
        <v>0</v>
      </c>
      <c r="J701" s="217">
        <f>(J630/J612)*AJ93</f>
        <v>0</v>
      </c>
      <c r="K701" s="217">
        <f>(K644/K612)*AJ89</f>
        <v>14588535.192910347</v>
      </c>
      <c r="L701" s="217">
        <f>(L647/L612)*AJ94</f>
        <v>415840.95468351728</v>
      </c>
      <c r="M701" s="202">
        <f t="shared" si="26"/>
        <v>33212638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6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1728675.29</v>
      </c>
      <c r="D703" s="217">
        <f>(D615/D612)*AL90</f>
        <v>407718.22404535377</v>
      </c>
      <c r="E703" s="219">
        <f>(E623/E612)*SUM(C703:D703)</f>
        <v>149642.1871801354</v>
      </c>
      <c r="F703" s="219">
        <f>(F624/F612)*AL64</f>
        <v>299.96156703883042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92536.721091111554</v>
      </c>
      <c r="L703" s="217">
        <f>(L647/L612)*AL94</f>
        <v>0</v>
      </c>
      <c r="M703" s="202">
        <f t="shared" si="26"/>
        <v>650197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6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6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-215.39999999999998</v>
      </c>
      <c r="D706" s="217">
        <f>(D615/D612)*AO90</f>
        <v>0</v>
      </c>
      <c r="E706" s="219">
        <f>(E623/E612)*SUM(C706:D706)</f>
        <v>-15.087542115575285</v>
      </c>
      <c r="F706" s="219">
        <f>(F624/F612)*AO64</f>
        <v>0</v>
      </c>
      <c r="G706" s="217">
        <f>(G625/G612)*AO91</f>
        <v>1779.2246451734063</v>
      </c>
      <c r="H706" s="219">
        <f>(H628/H612)*AO60</f>
        <v>0</v>
      </c>
      <c r="I706" s="217">
        <f>(I629/I612)*AO92</f>
        <v>0</v>
      </c>
      <c r="J706" s="217">
        <f>(J630/J612)*AO93</f>
        <v>13887.009595599387</v>
      </c>
      <c r="K706" s="217">
        <f>(K644/K612)*AO89</f>
        <v>-27.351700762636931</v>
      </c>
      <c r="L706" s="217">
        <f>(L647/L612)*AO94</f>
        <v>0</v>
      </c>
      <c r="M706" s="202">
        <f t="shared" si="26"/>
        <v>15624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6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6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13101053.34</v>
      </c>
      <c r="D709" s="217">
        <f>(D615/D612)*AR90</f>
        <v>1019535.6297251874</v>
      </c>
      <c r="E709" s="219">
        <f>(E623/E612)*SUM(C709:D709)</f>
        <v>989066.76312653953</v>
      </c>
      <c r="F709" s="219">
        <f>(F624/F612)*AR64</f>
        <v>5559.9962594063782</v>
      </c>
      <c r="G709" s="217">
        <f>(G625/G612)*AR91</f>
        <v>55903.754068636881</v>
      </c>
      <c r="H709" s="219">
        <f>(H628/H612)*AR60</f>
        <v>251568.14156910975</v>
      </c>
      <c r="I709" s="217">
        <f>(I629/I612)*AR92</f>
        <v>0</v>
      </c>
      <c r="J709" s="217">
        <f>(J630/J612)*AR93</f>
        <v>0</v>
      </c>
      <c r="K709" s="217">
        <f>(K644/K612)*AR89</f>
        <v>540389.6005747898</v>
      </c>
      <c r="L709" s="217">
        <f>(L647/L612)*AR94</f>
        <v>282712.01595390204</v>
      </c>
      <c r="M709" s="202">
        <f t="shared" si="26"/>
        <v>3144736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6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6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6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31005194.419000015</v>
      </c>
      <c r="D713" s="217">
        <f>(D615/D612)*AV90</f>
        <v>865290.90414178814</v>
      </c>
      <c r="E713" s="219">
        <f>(E623/E612)*SUM(C713:D713)</f>
        <v>2232345.8196691088</v>
      </c>
      <c r="F713" s="219">
        <f>(F624/F612)*AV64</f>
        <v>10377.748186379526</v>
      </c>
      <c r="G713" s="217">
        <f>(G625/G612)*AV91</f>
        <v>0</v>
      </c>
      <c r="H713" s="219">
        <f>(H628/H612)*AV60</f>
        <v>675750.19238466502</v>
      </c>
      <c r="I713" s="217">
        <f>(I629/I612)*AV92</f>
        <v>0</v>
      </c>
      <c r="J713" s="217">
        <f>(J630/J612)*AV93</f>
        <v>6504.5209576119532</v>
      </c>
      <c r="K713" s="217">
        <f>(K644/K612)*AV89</f>
        <v>1330337.4338224623</v>
      </c>
      <c r="L713" s="217">
        <f>(L647/L612)*AV94</f>
        <v>217394.07223263013</v>
      </c>
      <c r="M713" s="202">
        <f t="shared" si="26"/>
        <v>5338001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623580702.38100004</v>
      </c>
      <c r="D715" s="202">
        <f>SUM(D616:D647)+SUM(D668:D713)</f>
        <v>25375918.130000003</v>
      </c>
      <c r="E715" s="202">
        <f>SUM(E624:E647)+SUM(E668:E713)</f>
        <v>40819126.375670552</v>
      </c>
      <c r="F715" s="202">
        <f>SUM(F625:F648)+SUM(F668:F713)</f>
        <v>2894128.6062286417</v>
      </c>
      <c r="G715" s="202">
        <f>SUM(G626:G647)+SUM(G668:G713)</f>
        <v>3969037.6095511038</v>
      </c>
      <c r="H715" s="202">
        <f>SUM(H629:H647)+SUM(H668:H713)</f>
        <v>7116069.6813705536</v>
      </c>
      <c r="I715" s="202">
        <f>SUM(I630:I647)+SUM(I668:I713)</f>
        <v>8267539.7070897594</v>
      </c>
      <c r="J715" s="202">
        <f>SUM(J631:J647)+SUM(J668:J713)</f>
        <v>2859871.5620848197</v>
      </c>
      <c r="K715" s="202">
        <f>SUM(K668:K713)</f>
        <v>60521319.324823178</v>
      </c>
      <c r="L715" s="202">
        <f>SUM(L668:L713)</f>
        <v>4790647.3532364918</v>
      </c>
      <c r="M715" s="202">
        <f>SUM(M668:M713)</f>
        <v>144806561</v>
      </c>
      <c r="N715" s="211" t="s">
        <v>693</v>
      </c>
    </row>
    <row r="716" spans="1:14" s="202" customFormat="1" ht="12.6" customHeight="1" x14ac:dyDescent="0.2">
      <c r="C716" s="214">
        <f>CE85</f>
        <v>623580702.3809998</v>
      </c>
      <c r="D716" s="202">
        <f>D615</f>
        <v>25375918.129999999</v>
      </c>
      <c r="E716" s="202">
        <f>E623</f>
        <v>40819126.375670552</v>
      </c>
      <c r="F716" s="202">
        <f>F624</f>
        <v>2894128.6062286417</v>
      </c>
      <c r="G716" s="202">
        <f>G625</f>
        <v>3969037.6095511047</v>
      </c>
      <c r="H716" s="202">
        <f>H628</f>
        <v>7116069.6813705526</v>
      </c>
      <c r="I716" s="202">
        <f>I629</f>
        <v>8267539.7070897575</v>
      </c>
      <c r="J716" s="202">
        <f>J630</f>
        <v>2859871.5620848192</v>
      </c>
      <c r="K716" s="202">
        <f>K644</f>
        <v>60521319.324823178</v>
      </c>
      <c r="L716" s="202">
        <f>L647</f>
        <v>4790647.3532364918</v>
      </c>
      <c r="M716" s="202">
        <f>C648</f>
        <v>144806561.76699996</v>
      </c>
      <c r="N716" s="211" t="s">
        <v>694</v>
      </c>
    </row>
  </sheetData>
  <sheetProtection algorithmName="SHA-512" hashValue="LL5fVExGtVa9kBSdXzE+H4M4Ct0tlqSxDn+pIal7In+U3pE85yPI49VVseCXIzXqCa2H20XoSZQ3gE5CJbrWMA==" saltValue="giP3MxrqfBqPgDtg01VnP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9"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898</v>
      </c>
      <c r="B1" s="169"/>
      <c r="C1" s="169"/>
    </row>
    <row r="2" spans="1:3" ht="20.100000000000001" customHeight="1" x14ac:dyDescent="0.25">
      <c r="A2" s="168"/>
      <c r="B2" s="169"/>
      <c r="C2" s="94" t="s">
        <v>899</v>
      </c>
    </row>
    <row r="3" spans="1:3" ht="20.100000000000001" customHeight="1" x14ac:dyDescent="0.25">
      <c r="A3" s="120" t="str">
        <f>"Hospital: "&amp;data!C98</f>
        <v xml:space="preserve">Hospital: YAKIMA VALLEY MEMORIAL 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900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142453375.83000001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84503208.810000002</v>
      </c>
    </row>
    <row r="9" spans="1:3" ht="20.100000000000001" customHeight="1" x14ac:dyDescent="0.25">
      <c r="A9" s="174">
        <v>5</v>
      </c>
      <c r="B9" s="176" t="s">
        <v>901</v>
      </c>
      <c r="C9" s="176">
        <f>data!C269</f>
        <v>0</v>
      </c>
    </row>
    <row r="10" spans="1:3" ht="20.100000000000001" customHeight="1" x14ac:dyDescent="0.25">
      <c r="A10" s="174">
        <v>6</v>
      </c>
      <c r="B10" s="176" t="s">
        <v>902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903</v>
      </c>
      <c r="C11" s="176">
        <f>data!C271</f>
        <v>58271456.469999999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9103155.2100000009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3348974.27</v>
      </c>
    </row>
    <row r="15" spans="1:3" ht="20.100000000000001" customHeight="1" x14ac:dyDescent="0.25">
      <c r="A15" s="174">
        <v>11</v>
      </c>
      <c r="B15" s="176" t="s">
        <v>904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905</v>
      </c>
      <c r="C16" s="176">
        <f>data!D276</f>
        <v>297680170.59000003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906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907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908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17504411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9336609.8200000003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137151673.12</v>
      </c>
    </row>
    <row r="28" spans="1:3" ht="20.100000000000001" customHeight="1" x14ac:dyDescent="0.25">
      <c r="A28" s="174">
        <v>24</v>
      </c>
      <c r="B28" s="176" t="s">
        <v>909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95761584.329999998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9275413.7400000002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29196686.550000001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910</v>
      </c>
      <c r="C34" s="176">
        <f>data!C292</f>
        <v>43255601.420000002</v>
      </c>
    </row>
    <row r="35" spans="1:3" ht="20.100000000000001" customHeight="1" x14ac:dyDescent="0.25">
      <c r="A35" s="174">
        <v>31</v>
      </c>
      <c r="B35" s="176" t="s">
        <v>911</v>
      </c>
      <c r="C35" s="176">
        <f>data!D293</f>
        <v>254970777.13999999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912</v>
      </c>
      <c r="C37" s="175"/>
    </row>
    <row r="38" spans="1:3" ht="20.100000000000001" customHeight="1" x14ac:dyDescent="0.25">
      <c r="A38" s="174">
        <v>34</v>
      </c>
      <c r="B38" s="176" t="s">
        <v>913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914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3203777.69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4084742.74</v>
      </c>
    </row>
    <row r="42" spans="1:3" ht="20.100000000000001" customHeight="1" x14ac:dyDescent="0.25">
      <c r="A42" s="174">
        <v>38</v>
      </c>
      <c r="B42" s="176" t="s">
        <v>915</v>
      </c>
      <c r="C42" s="176">
        <f>data!D299</f>
        <v>7288520.4299999997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916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917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7182933.2800000003</v>
      </c>
    </row>
    <row r="49" spans="1:3" ht="20.100000000000001" customHeight="1" x14ac:dyDescent="0.25">
      <c r="A49" s="174">
        <v>45</v>
      </c>
      <c r="B49" s="176" t="s">
        <v>918</v>
      </c>
      <c r="C49" s="176">
        <f>data!D306</f>
        <v>7182933.2800000003</v>
      </c>
    </row>
    <row r="50" spans="1:3" ht="20.100000000000001" customHeight="1" x14ac:dyDescent="0.25">
      <c r="A50" s="179">
        <v>46</v>
      </c>
      <c r="B50" s="180" t="s">
        <v>919</v>
      </c>
      <c r="C50" s="176">
        <f>data!D308</f>
        <v>567122401.43999994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920</v>
      </c>
      <c r="B53" s="169"/>
      <c r="C53" s="169"/>
    </row>
    <row r="54" spans="1:3" ht="20.100000000000001" customHeight="1" x14ac:dyDescent="0.25">
      <c r="A54" s="168"/>
      <c r="B54" s="169"/>
      <c r="C54" s="94" t="s">
        <v>921</v>
      </c>
    </row>
    <row r="55" spans="1:3" ht="20.100000000000001" customHeight="1" x14ac:dyDescent="0.25">
      <c r="A55" s="120" t="str">
        <f>"Hospital: "&amp;data!C98</f>
        <v xml:space="preserve">Hospital: YAKIMA VALLEY MEMORIAL 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922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923</v>
      </c>
      <c r="C59" s="176">
        <f>data!C315</f>
        <v>5291469.9400000004</v>
      </c>
    </row>
    <row r="60" spans="1:3" ht="20.100000000000001" customHeight="1" x14ac:dyDescent="0.25">
      <c r="A60" s="174">
        <v>4</v>
      </c>
      <c r="B60" s="176" t="s">
        <v>924</v>
      </c>
      <c r="C60" s="176">
        <f>data!C316</f>
        <v>58604499.770000003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40188311.509999998</v>
      </c>
    </row>
    <row r="62" spans="1:3" ht="20.100000000000001" customHeight="1" x14ac:dyDescent="0.25">
      <c r="A62" s="174">
        <v>6</v>
      </c>
      <c r="B62" s="176" t="s">
        <v>925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926</v>
      </c>
      <c r="C63" s="176">
        <f>data!C319</f>
        <v>-1960373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2815535.74</v>
      </c>
    </row>
    <row r="67" spans="1:3" ht="20.100000000000001" customHeight="1" x14ac:dyDescent="0.25">
      <c r="A67" s="174">
        <v>11</v>
      </c>
      <c r="B67" s="176" t="s">
        <v>927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928</v>
      </c>
      <c r="C68" s="176">
        <f>data!D324</f>
        <v>104939443.95999999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929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930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8799600.3699999992</v>
      </c>
    </row>
    <row r="74" spans="1:3" ht="20.100000000000001" customHeight="1" x14ac:dyDescent="0.25">
      <c r="A74" s="174">
        <v>18</v>
      </c>
      <c r="B74" s="176" t="s">
        <v>931</v>
      </c>
      <c r="C74" s="176">
        <f>data!D329</f>
        <v>8799600.3699999992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932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933</v>
      </c>
      <c r="C80" s="176" t="str">
        <f>data!C334</f>
        <v xml:space="preserve"> </v>
      </c>
    </row>
    <row r="81" spans="1:3" ht="20.100000000000001" customHeight="1" x14ac:dyDescent="0.25">
      <c r="A81" s="174">
        <v>25</v>
      </c>
      <c r="B81" s="176" t="s">
        <v>476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934</v>
      </c>
      <c r="C82" s="176">
        <f>data!C336</f>
        <v>180050972.00999999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-2497930.37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177553041.63999999</v>
      </c>
    </row>
    <row r="86" spans="1:3" ht="20.100000000000001" customHeight="1" x14ac:dyDescent="0.25">
      <c r="A86" s="174">
        <v>30</v>
      </c>
      <c r="B86" s="176" t="s">
        <v>935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936</v>
      </c>
      <c r="C87" s="176">
        <f>data!D341</f>
        <v>177553041.63999999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937</v>
      </c>
      <c r="C89" s="176">
        <f>data!C343</f>
        <v>275830315.47000003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938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939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940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941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942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943</v>
      </c>
      <c r="C102" s="176">
        <f>data!C343+data!C345+data!C346+data!C347+data!C348-data!C349</f>
        <v>275830315.47000003</v>
      </c>
    </row>
    <row r="103" spans="1:3" ht="20.100000000000001" customHeight="1" x14ac:dyDescent="0.25">
      <c r="A103" s="174">
        <v>47</v>
      </c>
      <c r="B103" s="176" t="s">
        <v>944</v>
      </c>
      <c r="C103" s="176">
        <f>data!D352</f>
        <v>567122401.43999994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945</v>
      </c>
      <c r="B106" s="169"/>
      <c r="C106" s="169"/>
    </row>
    <row r="107" spans="1:3" ht="20.100000000000001" customHeight="1" x14ac:dyDescent="0.25">
      <c r="A107" s="170"/>
      <c r="C107" s="94" t="s">
        <v>946</v>
      </c>
    </row>
    <row r="108" spans="1:3" ht="20.100000000000001" customHeight="1" x14ac:dyDescent="0.25">
      <c r="A108" s="120" t="str">
        <f>"Hospital: "&amp;data!C98</f>
        <v xml:space="preserve">Hospital: YAKIMA VALLEY MEMORIAL 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947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609660809.20000005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1438532088.5999999</v>
      </c>
    </row>
    <row r="113" spans="1:3" ht="20.100000000000001" customHeight="1" x14ac:dyDescent="0.25">
      <c r="A113" s="174">
        <v>4</v>
      </c>
      <c r="B113" s="176" t="s">
        <v>948</v>
      </c>
      <c r="C113" s="176">
        <f>data!D360</f>
        <v>2048192897.8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949</v>
      </c>
      <c r="C115" s="175"/>
    </row>
    <row r="116" spans="1:3" ht="20.100000000000001" customHeight="1" x14ac:dyDescent="0.25">
      <c r="A116" s="174">
        <v>7</v>
      </c>
      <c r="B116" s="188" t="s">
        <v>950</v>
      </c>
      <c r="C116" s="189">
        <f>data!C362</f>
        <v>2723999.3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1366074846.8399999</v>
      </c>
    </row>
    <row r="118" spans="1:3" ht="20.100000000000001" customHeight="1" x14ac:dyDescent="0.25">
      <c r="A118" s="174">
        <v>9</v>
      </c>
      <c r="B118" s="176" t="s">
        <v>951</v>
      </c>
      <c r="C118" s="189">
        <f>data!C364</f>
        <v>50748586.490000002</v>
      </c>
    </row>
    <row r="119" spans="1:3" ht="20.100000000000001" customHeight="1" x14ac:dyDescent="0.25">
      <c r="A119" s="174">
        <v>10</v>
      </c>
      <c r="B119" s="176" t="s">
        <v>952</v>
      </c>
      <c r="C119" s="189">
        <f>data!C365</f>
        <v>884813.72000000009</v>
      </c>
    </row>
    <row r="120" spans="1:3" ht="20.100000000000001" customHeight="1" x14ac:dyDescent="0.25">
      <c r="A120" s="174">
        <v>11</v>
      </c>
      <c r="B120" s="176" t="s">
        <v>896</v>
      </c>
      <c r="C120" s="189">
        <f>data!D366</f>
        <v>1420432246.3499999</v>
      </c>
    </row>
    <row r="121" spans="1:3" ht="20.100000000000001" customHeight="1" x14ac:dyDescent="0.25">
      <c r="A121" s="174">
        <v>12</v>
      </c>
      <c r="B121" s="176" t="s">
        <v>953</v>
      </c>
      <c r="C121" s="189">
        <f>data!D367</f>
        <v>627760651.45000005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954</v>
      </c>
      <c r="B125" s="192" t="s">
        <v>502</v>
      </c>
      <c r="C125" s="191">
        <f>data!C370</f>
        <v>1807083.35</v>
      </c>
    </row>
    <row r="126" spans="1:3" ht="20.100000000000001" customHeight="1" x14ac:dyDescent="0.25">
      <c r="A126" s="195" t="s">
        <v>955</v>
      </c>
      <c r="B126" s="192" t="s">
        <v>503</v>
      </c>
      <c r="C126" s="191">
        <f>data!C371</f>
        <v>7798541.29</v>
      </c>
    </row>
    <row r="127" spans="1:3" ht="20.100000000000001" customHeight="1" x14ac:dyDescent="0.25">
      <c r="A127" s="195" t="s">
        <v>956</v>
      </c>
      <c r="B127" s="192" t="s">
        <v>504</v>
      </c>
      <c r="C127" s="191">
        <f>data!C372</f>
        <v>-1234993.06</v>
      </c>
    </row>
    <row r="128" spans="1:3" ht="20.100000000000001" customHeight="1" x14ac:dyDescent="0.25">
      <c r="A128" s="195" t="s">
        <v>957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958</v>
      </c>
      <c r="B129" s="192" t="s">
        <v>506</v>
      </c>
      <c r="C129" s="191">
        <f>data!C374</f>
        <v>6743.46</v>
      </c>
    </row>
    <row r="130" spans="1:3" ht="20.100000000000001" customHeight="1" x14ac:dyDescent="0.25">
      <c r="A130" s="195" t="s">
        <v>959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960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961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962</v>
      </c>
      <c r="B133" s="192" t="s">
        <v>510</v>
      </c>
      <c r="C133" s="191">
        <f>data!C378</f>
        <v>376922.94</v>
      </c>
    </row>
    <row r="134" spans="1:3" ht="20.100000000000001" customHeight="1" x14ac:dyDescent="0.25">
      <c r="A134" s="195" t="s">
        <v>963</v>
      </c>
      <c r="B134" s="192" t="s">
        <v>511</v>
      </c>
      <c r="C134" s="191">
        <f>data!C379</f>
        <v>2197698.2200000002</v>
      </c>
    </row>
    <row r="135" spans="1:3" ht="20.100000000000001" customHeight="1" x14ac:dyDescent="0.25">
      <c r="A135" s="195" t="s">
        <v>964</v>
      </c>
      <c r="B135" s="192" t="s">
        <v>512</v>
      </c>
      <c r="C135" s="191">
        <f>data!C380</f>
        <v>8259693.9500000002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965</v>
      </c>
      <c r="C137" s="189">
        <f>data!D383</f>
        <v>19211690.150000002</v>
      </c>
    </row>
    <row r="138" spans="1:3" ht="20.100000000000001" customHeight="1" x14ac:dyDescent="0.25">
      <c r="A138" s="174">
        <v>18</v>
      </c>
      <c r="B138" s="176" t="s">
        <v>966</v>
      </c>
      <c r="C138" s="189">
        <f>data!D384</f>
        <v>646972341.60000002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967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274380747.06800008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47285978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37000543.760000005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125379790.26000001</v>
      </c>
    </row>
    <row r="145" spans="1:3" ht="20.100000000000001" customHeight="1" x14ac:dyDescent="0.25">
      <c r="A145" s="174">
        <v>25</v>
      </c>
      <c r="B145" s="176" t="s">
        <v>968</v>
      </c>
      <c r="C145" s="189">
        <f>data!C393</f>
        <v>3967004.7699999996</v>
      </c>
    </row>
    <row r="146" spans="1:3" ht="20.100000000000001" customHeight="1" x14ac:dyDescent="0.25">
      <c r="A146" s="174">
        <v>26</v>
      </c>
      <c r="B146" s="176" t="s">
        <v>969</v>
      </c>
      <c r="C146" s="189">
        <f>data!C394</f>
        <v>36491295.439999998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17106907</v>
      </c>
    </row>
    <row r="148" spans="1:3" ht="20.100000000000001" customHeight="1" x14ac:dyDescent="0.25">
      <c r="A148" s="174">
        <v>28</v>
      </c>
      <c r="B148" s="176" t="s">
        <v>970</v>
      </c>
      <c r="C148" s="189">
        <f>data!C396</f>
        <v>11134988.179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26125.65</v>
      </c>
    </row>
    <row r="150" spans="1:3" ht="20.100000000000001" customHeight="1" x14ac:dyDescent="0.25">
      <c r="A150" s="174">
        <v>30</v>
      </c>
      <c r="B150" s="176" t="s">
        <v>971</v>
      </c>
      <c r="C150" s="189">
        <f>data!C398</f>
        <v>4304584.32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3516949.52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972</v>
      </c>
      <c r="B153" s="193" t="s">
        <v>269</v>
      </c>
      <c r="C153" s="189">
        <f>data!C401</f>
        <v>364137.75</v>
      </c>
    </row>
    <row r="154" spans="1:3" ht="20.100000000000001" customHeight="1" x14ac:dyDescent="0.25">
      <c r="A154" s="195" t="s">
        <v>973</v>
      </c>
      <c r="B154" s="193" t="s">
        <v>270</v>
      </c>
      <c r="C154" s="189">
        <f>data!C402</f>
        <v>13474632.649999999</v>
      </c>
    </row>
    <row r="155" spans="1:3" ht="20.100000000000001" customHeight="1" x14ac:dyDescent="0.25">
      <c r="A155" s="195" t="s">
        <v>974</v>
      </c>
      <c r="B155" s="193" t="s">
        <v>975</v>
      </c>
      <c r="C155" s="189">
        <f>data!C403</f>
        <v>21153213.114999995</v>
      </c>
    </row>
    <row r="156" spans="1:3" ht="20.100000000000001" customHeight="1" x14ac:dyDescent="0.25">
      <c r="A156" s="195" t="s">
        <v>976</v>
      </c>
      <c r="B156" s="193" t="s">
        <v>272</v>
      </c>
      <c r="C156" s="189">
        <f>data!C404</f>
        <v>2344232.87</v>
      </c>
    </row>
    <row r="157" spans="1:3" ht="20.100000000000001" customHeight="1" x14ac:dyDescent="0.25">
      <c r="A157" s="195" t="s">
        <v>977</v>
      </c>
      <c r="B157" s="193" t="s">
        <v>273</v>
      </c>
      <c r="C157" s="189">
        <f>data!C405</f>
        <v>2370656.12</v>
      </c>
    </row>
    <row r="158" spans="1:3" ht="20.100000000000001" customHeight="1" x14ac:dyDescent="0.25">
      <c r="A158" s="195" t="s">
        <v>978</v>
      </c>
      <c r="B158" s="193" t="s">
        <v>274</v>
      </c>
      <c r="C158" s="189">
        <f>data!C406</f>
        <v>5969597.0800000001</v>
      </c>
    </row>
    <row r="159" spans="1:3" ht="20.100000000000001" customHeight="1" x14ac:dyDescent="0.25">
      <c r="A159" s="195" t="s">
        <v>979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980</v>
      </c>
      <c r="B160" s="193" t="s">
        <v>276</v>
      </c>
      <c r="C160" s="189">
        <f>data!C408</f>
        <v>7077461.2599999998</v>
      </c>
    </row>
    <row r="161" spans="1:3" ht="20.100000000000001" customHeight="1" x14ac:dyDescent="0.25">
      <c r="A161" s="195" t="s">
        <v>981</v>
      </c>
      <c r="B161" s="193" t="s">
        <v>277</v>
      </c>
      <c r="C161" s="189">
        <f>data!C409</f>
        <v>79072.08</v>
      </c>
    </row>
    <row r="162" spans="1:3" ht="20.100000000000001" customHeight="1" x14ac:dyDescent="0.25">
      <c r="A162" s="195" t="s">
        <v>982</v>
      </c>
      <c r="B162" s="193" t="s">
        <v>278</v>
      </c>
      <c r="C162" s="189">
        <f>data!C410</f>
        <v>203839.15</v>
      </c>
    </row>
    <row r="163" spans="1:3" ht="20.100000000000001" customHeight="1" x14ac:dyDescent="0.25">
      <c r="A163" s="195" t="s">
        <v>983</v>
      </c>
      <c r="B163" s="193" t="s">
        <v>279</v>
      </c>
      <c r="C163" s="189">
        <f>data!C411</f>
        <v>38570.28</v>
      </c>
    </row>
    <row r="164" spans="1:3" ht="20.100000000000001" customHeight="1" x14ac:dyDescent="0.25">
      <c r="A164" s="195" t="s">
        <v>984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985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986</v>
      </c>
      <c r="B166" s="193" t="s">
        <v>987</v>
      </c>
      <c r="C166" s="189">
        <f>data!C414</f>
        <v>29201138</v>
      </c>
    </row>
    <row r="167" spans="1:3" ht="20.100000000000001" customHeight="1" x14ac:dyDescent="0.25">
      <c r="A167" s="174">
        <v>34</v>
      </c>
      <c r="B167" s="176" t="s">
        <v>988</v>
      </c>
      <c r="C167" s="189">
        <f>data!D416</f>
        <v>642871464.32200015</v>
      </c>
    </row>
    <row r="168" spans="1:3" ht="20.100000000000001" customHeight="1" x14ac:dyDescent="0.25">
      <c r="A168" s="174">
        <v>35</v>
      </c>
      <c r="B168" s="176" t="s">
        <v>989</v>
      </c>
      <c r="C168" s="189">
        <f>data!D417</f>
        <v>4100877.2779998779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990</v>
      </c>
      <c r="C170" s="189">
        <f>data!D420</f>
        <v>2850975.66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991</v>
      </c>
      <c r="C172" s="176">
        <f>data!D421</f>
        <v>6951852.9379998781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992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993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994</v>
      </c>
      <c r="C177" s="189">
        <f>data!D424</f>
        <v>6951852.9379998781</v>
      </c>
    </row>
    <row r="178" spans="1:3" ht="20.100000000000001" customHeight="1" x14ac:dyDescent="0.25">
      <c r="A178" s="179">
        <v>45</v>
      </c>
      <c r="B178" s="178" t="s">
        <v>995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27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996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997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 xml:space="preserve">Hospital: YAKIMA VALLEY MEMORIAL 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998</v>
      </c>
      <c r="C6" s="243" t="s">
        <v>117</v>
      </c>
      <c r="D6" s="244" t="s">
        <v>999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1000</v>
      </c>
      <c r="E7" s="244" t="s">
        <v>189</v>
      </c>
      <c r="F7" s="244" t="s">
        <v>1001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1002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5102</v>
      </c>
      <c r="D9" s="238">
        <f>data!D59</f>
        <v>0</v>
      </c>
      <c r="E9" s="238">
        <f>data!E59</f>
        <v>42534</v>
      </c>
      <c r="F9" s="238">
        <f>data!F59</f>
        <v>3845</v>
      </c>
      <c r="G9" s="238">
        <f>data!G59</f>
        <v>0</v>
      </c>
      <c r="H9" s="238">
        <f>data!H59</f>
        <v>5525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49.65</v>
      </c>
      <c r="D10" s="245">
        <f>data!D60</f>
        <v>0</v>
      </c>
      <c r="E10" s="245">
        <f>data!E60</f>
        <v>230.7</v>
      </c>
      <c r="F10" s="245">
        <f>data!F60</f>
        <v>47.2</v>
      </c>
      <c r="G10" s="245">
        <f>data!G60</f>
        <v>0</v>
      </c>
      <c r="H10" s="245">
        <f>data!H60</f>
        <v>29.65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6956426.2300000004</v>
      </c>
      <c r="D11" s="238">
        <f>data!D61</f>
        <v>0</v>
      </c>
      <c r="E11" s="238">
        <f>data!E61</f>
        <v>28153621.75</v>
      </c>
      <c r="F11" s="238">
        <f>data!F61</f>
        <v>5766518.7300000004</v>
      </c>
      <c r="G11" s="238">
        <f>data!G61</f>
        <v>0</v>
      </c>
      <c r="H11" s="238">
        <f>data!H61</f>
        <v>4341757.34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1418240</v>
      </c>
      <c r="D12" s="238">
        <f>data!D62</f>
        <v>0</v>
      </c>
      <c r="E12" s="238">
        <f>data!E62</f>
        <v>5609526</v>
      </c>
      <c r="F12" s="238">
        <f>data!F62</f>
        <v>1207691</v>
      </c>
      <c r="G12" s="238">
        <f>data!G62</f>
        <v>0</v>
      </c>
      <c r="H12" s="238">
        <f>data!H62</f>
        <v>805606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405486.54</v>
      </c>
      <c r="D13" s="238">
        <f>data!D63</f>
        <v>0</v>
      </c>
      <c r="E13" s="238">
        <f>data!E63</f>
        <v>0</v>
      </c>
      <c r="F13" s="238">
        <f>data!F63</f>
        <v>48750.03</v>
      </c>
      <c r="G13" s="238">
        <f>data!G63</f>
        <v>0</v>
      </c>
      <c r="H13" s="238">
        <f>data!H63</f>
        <v>584358.36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604153.30000000005</v>
      </c>
      <c r="D14" s="238">
        <f>data!D64</f>
        <v>0</v>
      </c>
      <c r="E14" s="238">
        <f>data!E64</f>
        <v>1449860.91</v>
      </c>
      <c r="F14" s="238">
        <f>data!F64</f>
        <v>200264.44</v>
      </c>
      <c r="G14" s="238">
        <f>data!G64</f>
        <v>0</v>
      </c>
      <c r="H14" s="238">
        <f>data!H64</f>
        <v>60345.8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2782.77</v>
      </c>
      <c r="F15" s="238">
        <f>data!F65</f>
        <v>0</v>
      </c>
      <c r="G15" s="238">
        <f>data!G65</f>
        <v>0</v>
      </c>
      <c r="H15" s="238">
        <f>data!H65</f>
        <v>377.58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20671.990000000002</v>
      </c>
      <c r="D16" s="238">
        <f>data!D66</f>
        <v>0</v>
      </c>
      <c r="E16" s="238">
        <f>data!E66</f>
        <v>929.45</v>
      </c>
      <c r="F16" s="238">
        <f>data!F66</f>
        <v>3196.1</v>
      </c>
      <c r="G16" s="238">
        <f>data!G66</f>
        <v>0</v>
      </c>
      <c r="H16" s="238">
        <f>data!H66</f>
        <v>2173.4899999999998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155572</v>
      </c>
      <c r="D17" s="238">
        <f>data!D67</f>
        <v>0</v>
      </c>
      <c r="E17" s="238">
        <f>data!E67</f>
        <v>871832</v>
      </c>
      <c r="F17" s="238">
        <f>data!F67</f>
        <v>256885</v>
      </c>
      <c r="G17" s="238">
        <f>data!G67</f>
        <v>0</v>
      </c>
      <c r="H17" s="238">
        <f>data!H67</f>
        <v>182681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1003</v>
      </c>
      <c r="C18" s="238">
        <f>data!C68</f>
        <v>721.82</v>
      </c>
      <c r="D18" s="238">
        <f>data!D68</f>
        <v>0</v>
      </c>
      <c r="E18" s="238">
        <f>data!E68</f>
        <v>6600.98</v>
      </c>
      <c r="F18" s="238">
        <f>data!F68</f>
        <v>9999.52</v>
      </c>
      <c r="G18" s="238">
        <f>data!G68</f>
        <v>0</v>
      </c>
      <c r="H18" s="238">
        <f>data!H68</f>
        <v>1893.99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1004</v>
      </c>
      <c r="C19" s="238">
        <f>data!C69</f>
        <v>955936.26</v>
      </c>
      <c r="D19" s="238">
        <f>data!D69</f>
        <v>0</v>
      </c>
      <c r="E19" s="238">
        <f>data!E69</f>
        <v>4649074.5</v>
      </c>
      <c r="F19" s="238">
        <f>data!F69</f>
        <v>68544.709999999992</v>
      </c>
      <c r="G19" s="238">
        <f>data!G69</f>
        <v>0</v>
      </c>
      <c r="H19" s="238">
        <f>data!H69</f>
        <v>206347.36700000003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-60806.69</v>
      </c>
      <c r="D20" s="238">
        <f>-data!D84</f>
        <v>0</v>
      </c>
      <c r="E20" s="238">
        <f>-data!E84</f>
        <v>-12105.36</v>
      </c>
      <c r="F20" s="238">
        <f>-data!F84</f>
        <v>-68075.94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1005</v>
      </c>
      <c r="C21" s="238">
        <f>data!C85</f>
        <v>10456401.450000001</v>
      </c>
      <c r="D21" s="238">
        <f>data!D85</f>
        <v>0</v>
      </c>
      <c r="E21" s="238">
        <f>data!E85</f>
        <v>40732123</v>
      </c>
      <c r="F21" s="238">
        <f>data!F85</f>
        <v>7493773.5899999999</v>
      </c>
      <c r="G21" s="238">
        <f>data!G85</f>
        <v>0</v>
      </c>
      <c r="H21" s="238">
        <f>data!H85</f>
        <v>6185540.9270000001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1006</v>
      </c>
      <c r="C23" s="246">
        <f>+data!M668</f>
        <v>3771527</v>
      </c>
      <c r="D23" s="246">
        <f>+data!M669</f>
        <v>0</v>
      </c>
      <c r="E23" s="246">
        <f>+data!M670</f>
        <v>20522043</v>
      </c>
      <c r="F23" s="246">
        <f>+data!M671</f>
        <v>3463773</v>
      </c>
      <c r="G23" s="246">
        <f>+data!M672</f>
        <v>0</v>
      </c>
      <c r="H23" s="246">
        <f>+data!M673</f>
        <v>2790554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1007</v>
      </c>
      <c r="C24" s="238">
        <f>data!C87</f>
        <v>38926589.420000002</v>
      </c>
      <c r="D24" s="238">
        <f>data!D87</f>
        <v>0</v>
      </c>
      <c r="E24" s="238">
        <f>data!E87</f>
        <v>175655608.74000001</v>
      </c>
      <c r="F24" s="238">
        <f>data!F87</f>
        <v>26588621.449999999</v>
      </c>
      <c r="G24" s="238">
        <f>data!G87</f>
        <v>0</v>
      </c>
      <c r="H24" s="238">
        <f>data!H87</f>
        <v>28640261.800000001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1008</v>
      </c>
      <c r="C25" s="238">
        <f>data!C88</f>
        <v>360789.08</v>
      </c>
      <c r="D25" s="238">
        <f>data!D88</f>
        <v>0</v>
      </c>
      <c r="E25" s="238">
        <f>data!E88</f>
        <v>8495744.4700000007</v>
      </c>
      <c r="F25" s="238">
        <f>data!F88</f>
        <v>224747.07</v>
      </c>
      <c r="G25" s="238">
        <f>data!G88</f>
        <v>0</v>
      </c>
      <c r="H25" s="238">
        <f>data!H88</f>
        <v>465306.3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1009</v>
      </c>
      <c r="C26" s="238">
        <f>data!C89</f>
        <v>39287378.5</v>
      </c>
      <c r="D26" s="238">
        <f>data!D89</f>
        <v>0</v>
      </c>
      <c r="E26" s="238">
        <f>data!E89</f>
        <v>184151353.21000001</v>
      </c>
      <c r="F26" s="238">
        <f>data!F89</f>
        <v>26813368.52</v>
      </c>
      <c r="G26" s="238">
        <f>data!G89</f>
        <v>0</v>
      </c>
      <c r="H26" s="238">
        <f>data!H89</f>
        <v>29105568.100000001</v>
      </c>
      <c r="I26" s="238">
        <f>data!I89</f>
        <v>0</v>
      </c>
    </row>
    <row r="27" spans="1:9" ht="20.100000000000001" customHeight="1" x14ac:dyDescent="0.2">
      <c r="A27" s="230" t="s">
        <v>1010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1011</v>
      </c>
      <c r="C28" s="238">
        <f>data!C90</f>
        <v>11357</v>
      </c>
      <c r="D28" s="238">
        <f>data!D90</f>
        <v>0</v>
      </c>
      <c r="E28" s="238">
        <f>data!E90</f>
        <v>63645</v>
      </c>
      <c r="F28" s="238">
        <f>data!F90</f>
        <v>18753</v>
      </c>
      <c r="G28" s="238">
        <f>data!G90</f>
        <v>0</v>
      </c>
      <c r="H28" s="238">
        <f>data!H90</f>
        <v>13336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1012</v>
      </c>
      <c r="C29" s="238">
        <f>data!C91</f>
        <v>2635</v>
      </c>
      <c r="D29" s="238">
        <f>data!D91</f>
        <v>0</v>
      </c>
      <c r="E29" s="238">
        <f>data!E91</f>
        <v>116082</v>
      </c>
      <c r="F29" s="238">
        <f>data!F91</f>
        <v>9933</v>
      </c>
      <c r="G29" s="238">
        <f>data!G91</f>
        <v>0</v>
      </c>
      <c r="H29" s="238">
        <f>data!H91</f>
        <v>17101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1013</v>
      </c>
      <c r="C30" s="238">
        <f>data!C92</f>
        <v>6656</v>
      </c>
      <c r="D30" s="238">
        <f>data!D92</f>
        <v>0</v>
      </c>
      <c r="E30" s="238">
        <f>data!E92</f>
        <v>46800</v>
      </c>
      <c r="F30" s="238">
        <f>data!F92</f>
        <v>6240</v>
      </c>
      <c r="G30" s="238">
        <f>data!G92</f>
        <v>0</v>
      </c>
      <c r="H30" s="238">
        <f>data!H92</f>
        <v>2496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1014</v>
      </c>
      <c r="C31" s="238">
        <f>data!C93</f>
        <v>119580.97</v>
      </c>
      <c r="D31" s="238">
        <f>data!D93</f>
        <v>0</v>
      </c>
      <c r="E31" s="238">
        <f>data!E93</f>
        <v>334815.05</v>
      </c>
      <c r="F31" s="238">
        <f>data!F93</f>
        <v>39468.46</v>
      </c>
      <c r="G31" s="238">
        <f>data!G93</f>
        <v>0</v>
      </c>
      <c r="H31" s="238">
        <f>data!H93</f>
        <v>39751.480000000003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37.049999999999997</v>
      </c>
      <c r="D32" s="245">
        <f>data!D94</f>
        <v>0</v>
      </c>
      <c r="E32" s="245">
        <f>data!E94</f>
        <v>118.75</v>
      </c>
      <c r="F32" s="245">
        <f>data!F94</f>
        <v>33</v>
      </c>
      <c r="G32" s="245">
        <f>data!G94</f>
        <v>0</v>
      </c>
      <c r="H32" s="245">
        <f>data!H94</f>
        <v>10.199999999999999</v>
      </c>
      <c r="I32" s="245">
        <f>data!I94</f>
        <v>0</v>
      </c>
    </row>
    <row r="33" spans="1:9" ht="20.100000000000001" customHeight="1" x14ac:dyDescent="0.2">
      <c r="A33" s="231" t="s">
        <v>996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1015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 xml:space="preserve">Hospital: YAKIMA VALLEY MEMORIAL 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998</v>
      </c>
      <c r="C38" s="244"/>
      <c r="D38" s="244" t="s">
        <v>125</v>
      </c>
      <c r="E38" s="244" t="s">
        <v>126</v>
      </c>
      <c r="F38" s="244" t="s">
        <v>1016</v>
      </c>
      <c r="G38" s="244" t="s">
        <v>128</v>
      </c>
      <c r="H38" s="244" t="s">
        <v>1017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1002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12901</v>
      </c>
      <c r="I41" s="238">
        <f>data!P59</f>
        <v>1801326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45.9</v>
      </c>
      <c r="I42" s="245">
        <f>data!P60</f>
        <v>108.65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6333041.8700000001</v>
      </c>
      <c r="I43" s="238">
        <f>data!P61</f>
        <v>13414052.779999999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1341268</v>
      </c>
      <c r="I44" s="238">
        <f>data!P62</f>
        <v>2911505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14103.11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750418.14</v>
      </c>
      <c r="I46" s="238">
        <f>data!P64</f>
        <v>31009567.23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58176.130000000005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1072.3900000000001</v>
      </c>
      <c r="I48" s="238">
        <f>data!P66</f>
        <v>1020587.68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145175</v>
      </c>
      <c r="I49" s="238">
        <f>data!P67</f>
        <v>793664</v>
      </c>
    </row>
    <row r="50" spans="1:11" ht="20.100000000000001" customHeight="1" x14ac:dyDescent="0.2">
      <c r="A50" s="230">
        <v>13</v>
      </c>
      <c r="B50" s="238" t="s">
        <v>1003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258.8</v>
      </c>
      <c r="I50" s="238">
        <f>data!P68</f>
        <v>1293326.1399999999</v>
      </c>
    </row>
    <row r="51" spans="1:11" ht="20.100000000000001" customHeight="1" x14ac:dyDescent="0.2">
      <c r="A51" s="230">
        <v>14</v>
      </c>
      <c r="B51" s="238" t="s">
        <v>1004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168793.31</v>
      </c>
      <c r="I51" s="238">
        <f>data!P69</f>
        <v>3296118.67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-19490.41</v>
      </c>
      <c r="I52" s="238">
        <f>-data!P84</f>
        <v>-4500</v>
      </c>
    </row>
    <row r="53" spans="1:11" ht="20.100000000000001" customHeight="1" x14ac:dyDescent="0.2">
      <c r="A53" s="230">
        <v>16</v>
      </c>
      <c r="B53" s="246" t="s">
        <v>1005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8720537.1000000015</v>
      </c>
      <c r="I53" s="238">
        <f>data!P85</f>
        <v>53806600.740000002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1006</v>
      </c>
      <c r="C55" s="246">
        <f>+data!M675</f>
        <v>0</v>
      </c>
      <c r="D55" s="246">
        <f>+data!M676</f>
        <v>0</v>
      </c>
      <c r="E55" s="246">
        <f>+data!M691</f>
        <v>1646082</v>
      </c>
      <c r="F55" s="246">
        <f>+data!M692</f>
        <v>564427</v>
      </c>
      <c r="G55" s="246">
        <f>+data!M693</f>
        <v>9499667</v>
      </c>
      <c r="H55" s="246">
        <f>+data!M680</f>
        <v>3894341</v>
      </c>
      <c r="I55" s="246">
        <f>+data!M681</f>
        <v>15975453</v>
      </c>
    </row>
    <row r="56" spans="1:11" ht="20.100000000000001" customHeight="1" x14ac:dyDescent="0.2">
      <c r="A56" s="230">
        <v>19</v>
      </c>
      <c r="B56" s="246" t="s">
        <v>1007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27349780.829999998</v>
      </c>
      <c r="I56" s="238">
        <f>data!P87</f>
        <v>64343614.090000004</v>
      </c>
    </row>
    <row r="57" spans="1:11" ht="20.100000000000001" customHeight="1" x14ac:dyDescent="0.2">
      <c r="A57" s="230">
        <v>20</v>
      </c>
      <c r="B57" s="246" t="s">
        <v>1008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1019581.22</v>
      </c>
      <c r="I57" s="238">
        <f>data!P88</f>
        <v>187008284.96000001</v>
      </c>
    </row>
    <row r="58" spans="1:11" ht="20.100000000000001" customHeight="1" x14ac:dyDescent="0.2">
      <c r="A58" s="230">
        <v>21</v>
      </c>
      <c r="B58" s="246" t="s">
        <v>1009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28369362.049999997</v>
      </c>
      <c r="I58" s="238">
        <f>data!P89</f>
        <v>251351899.05000001</v>
      </c>
    </row>
    <row r="59" spans="1:11" ht="20.100000000000001" customHeight="1" x14ac:dyDescent="0.2">
      <c r="A59" s="230" t="s">
        <v>1010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1011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10598</v>
      </c>
      <c r="I60" s="238">
        <f>data!P90</f>
        <v>47763</v>
      </c>
      <c r="K60" s="249"/>
    </row>
    <row r="61" spans="1:11" ht="20.100000000000001" customHeight="1" x14ac:dyDescent="0.2">
      <c r="A61" s="230">
        <v>23</v>
      </c>
      <c r="B61" s="238" t="s">
        <v>1012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920</v>
      </c>
    </row>
    <row r="62" spans="1:11" ht="20.100000000000001" customHeight="1" x14ac:dyDescent="0.2">
      <c r="A62" s="230">
        <v>24</v>
      </c>
      <c r="B62" s="238" t="s">
        <v>1013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14560</v>
      </c>
      <c r="I62" s="238">
        <f>data!P92</f>
        <v>7280</v>
      </c>
    </row>
    <row r="63" spans="1:11" ht="20.100000000000001" customHeight="1" x14ac:dyDescent="0.2">
      <c r="A63" s="230">
        <v>25</v>
      </c>
      <c r="B63" s="238" t="s">
        <v>1014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175682.31</v>
      </c>
      <c r="I63" s="238">
        <f>data!P93</f>
        <v>270911.71999999997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29.1</v>
      </c>
      <c r="I64" s="245">
        <f>data!P94</f>
        <v>52.45</v>
      </c>
    </row>
    <row r="65" spans="1:9" ht="20.100000000000001" customHeight="1" x14ac:dyDescent="0.2">
      <c r="A65" s="231" t="s">
        <v>996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1018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 xml:space="preserve">Hospital: YAKIMA VALLEY MEMORIAL 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998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1019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1002</v>
      </c>
      <c r="C72" s="240" t="s">
        <v>1020</v>
      </c>
      <c r="D72" s="239" t="s">
        <v>1021</v>
      </c>
      <c r="E72" s="250"/>
      <c r="F72" s="250"/>
      <c r="G72" s="239" t="s">
        <v>1022</v>
      </c>
      <c r="H72" s="239" t="s">
        <v>1022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1672890</v>
      </c>
      <c r="D73" s="246">
        <f>data!R59</f>
        <v>1131833</v>
      </c>
      <c r="E73" s="250"/>
      <c r="F73" s="250"/>
      <c r="G73" s="238">
        <f>data!U59</f>
        <v>1783868</v>
      </c>
      <c r="H73" s="238">
        <f>data!V59</f>
        <v>0</v>
      </c>
      <c r="I73" s="238">
        <f>data!W59</f>
        <v>83754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35.85</v>
      </c>
      <c r="D74" s="245">
        <f>data!R60</f>
        <v>1.75</v>
      </c>
      <c r="E74" s="245">
        <f>data!S60</f>
        <v>22.9</v>
      </c>
      <c r="F74" s="245">
        <f>data!T60</f>
        <v>9.65</v>
      </c>
      <c r="G74" s="245">
        <f>data!U60</f>
        <v>87.2</v>
      </c>
      <c r="H74" s="245">
        <f>data!V60</f>
        <v>1</v>
      </c>
      <c r="I74" s="245">
        <f>data!W60</f>
        <v>10.9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6157164.4900000002</v>
      </c>
      <c r="D75" s="238">
        <f>data!R61</f>
        <v>16041793.59</v>
      </c>
      <c r="E75" s="238">
        <f>data!S61</f>
        <v>1414228.81</v>
      </c>
      <c r="F75" s="238">
        <f>data!T61</f>
        <v>1467489.78</v>
      </c>
      <c r="G75" s="238">
        <f>data!U61</f>
        <v>5175447.97</v>
      </c>
      <c r="H75" s="238">
        <f>data!V61</f>
        <v>85035.92</v>
      </c>
      <c r="I75" s="238">
        <f>data!W61</f>
        <v>1231610.49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1282287</v>
      </c>
      <c r="D76" s="238">
        <f>data!R62</f>
        <v>1303564</v>
      </c>
      <c r="E76" s="238">
        <f>data!S62</f>
        <v>396395</v>
      </c>
      <c r="F76" s="238">
        <f>data!T62</f>
        <v>285213</v>
      </c>
      <c r="G76" s="238">
        <f>data!U62</f>
        <v>1512791</v>
      </c>
      <c r="H76" s="238">
        <f>data!V62</f>
        <v>22177</v>
      </c>
      <c r="I76" s="238">
        <f>data!W62</f>
        <v>278997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3416053.11</v>
      </c>
      <c r="E77" s="238">
        <f>data!S63</f>
        <v>0</v>
      </c>
      <c r="F77" s="238">
        <f>data!T63</f>
        <v>0</v>
      </c>
      <c r="G77" s="238">
        <f>data!U63</f>
        <v>130500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98404.73</v>
      </c>
      <c r="D78" s="238">
        <f>data!R64</f>
        <v>507782.17</v>
      </c>
      <c r="E78" s="238">
        <f>data!S64</f>
        <v>491612.59</v>
      </c>
      <c r="F78" s="238">
        <f>data!T64</f>
        <v>355418.91</v>
      </c>
      <c r="G78" s="238">
        <f>data!U64</f>
        <v>6091029.6900000004</v>
      </c>
      <c r="H78" s="238">
        <f>data!V64</f>
        <v>2393.71</v>
      </c>
      <c r="I78" s="238">
        <f>data!W64</f>
        <v>52832.44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1438.39</v>
      </c>
      <c r="D79" s="238">
        <f>data!R65</f>
        <v>592.29999999999995</v>
      </c>
      <c r="E79" s="238">
        <f>data!S65</f>
        <v>0</v>
      </c>
      <c r="F79" s="238">
        <f>data!T65</f>
        <v>0</v>
      </c>
      <c r="G79" s="238">
        <f>data!U65</f>
        <v>10566.46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18.239999999999998</v>
      </c>
      <c r="D80" s="238">
        <f>data!R66</f>
        <v>38231.769999999997</v>
      </c>
      <c r="E80" s="238">
        <f>data!S66</f>
        <v>127775.92</v>
      </c>
      <c r="F80" s="238">
        <f>data!T66</f>
        <v>0</v>
      </c>
      <c r="G80" s="238">
        <f>data!U66</f>
        <v>4057457.4</v>
      </c>
      <c r="H80" s="238">
        <f>data!V66</f>
        <v>1.63</v>
      </c>
      <c r="I80" s="238">
        <f>data!W66</f>
        <v>112384.42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74697</v>
      </c>
      <c r="D81" s="238">
        <f>data!R67</f>
        <v>8575</v>
      </c>
      <c r="E81" s="238">
        <f>data!S67</f>
        <v>470443</v>
      </c>
      <c r="F81" s="238">
        <f>data!T67</f>
        <v>4000</v>
      </c>
      <c r="G81" s="238">
        <f>data!U67</f>
        <v>144103</v>
      </c>
      <c r="H81" s="238">
        <f>data!V67</f>
        <v>3096</v>
      </c>
      <c r="I81" s="238">
        <f>data!W67</f>
        <v>31177</v>
      </c>
    </row>
    <row r="82" spans="1:9" ht="20.100000000000001" customHeight="1" x14ac:dyDescent="0.2">
      <c r="A82" s="230">
        <v>13</v>
      </c>
      <c r="B82" s="238" t="s">
        <v>1003</v>
      </c>
      <c r="C82" s="238">
        <f>data!Q68</f>
        <v>94626.07</v>
      </c>
      <c r="D82" s="238">
        <f>data!R68</f>
        <v>146.80000000000001</v>
      </c>
      <c r="E82" s="238">
        <f>data!S68</f>
        <v>44337.35</v>
      </c>
      <c r="F82" s="238">
        <f>data!T68</f>
        <v>167.83</v>
      </c>
      <c r="G82" s="238">
        <f>data!U68</f>
        <v>472530.49</v>
      </c>
      <c r="H82" s="238">
        <f>data!V68</f>
        <v>284.67</v>
      </c>
      <c r="I82" s="238">
        <f>data!W68</f>
        <v>218.2</v>
      </c>
    </row>
    <row r="83" spans="1:9" ht="20.100000000000001" customHeight="1" x14ac:dyDescent="0.2">
      <c r="A83" s="230">
        <v>14</v>
      </c>
      <c r="B83" s="238" t="s">
        <v>1004</v>
      </c>
      <c r="C83" s="238">
        <f>data!Q69</f>
        <v>8006.31</v>
      </c>
      <c r="D83" s="238">
        <f>data!R69</f>
        <v>-385761.55999999988</v>
      </c>
      <c r="E83" s="238">
        <f>data!S69</f>
        <v>395687.32</v>
      </c>
      <c r="F83" s="238">
        <f>data!T69</f>
        <v>9880.75</v>
      </c>
      <c r="G83" s="238">
        <f>data!U69</f>
        <v>2119512.89</v>
      </c>
      <c r="H83" s="238">
        <f>data!V69</f>
        <v>0</v>
      </c>
      <c r="I83" s="238">
        <f>data!W69</f>
        <v>308939.97000000003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-24231.200000000001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1005</v>
      </c>
      <c r="C85" s="238">
        <f>data!Q85</f>
        <v>7716642.2300000004</v>
      </c>
      <c r="D85" s="238">
        <f>data!R85</f>
        <v>20930977.180000003</v>
      </c>
      <c r="E85" s="238">
        <f>data!S85</f>
        <v>3340479.9899999998</v>
      </c>
      <c r="F85" s="238">
        <f>data!T85</f>
        <v>2122170.27</v>
      </c>
      <c r="G85" s="238">
        <f>data!U85</f>
        <v>19689707.699999999</v>
      </c>
      <c r="H85" s="238">
        <f>data!V85</f>
        <v>112988.93000000001</v>
      </c>
      <c r="I85" s="238">
        <f>data!W85</f>
        <v>2016159.5199999998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1006</v>
      </c>
      <c r="C87" s="246">
        <f>+data!M682</f>
        <v>1776273</v>
      </c>
      <c r="D87" s="246">
        <f>+data!M683</f>
        <v>3315447</v>
      </c>
      <c r="E87" s="246">
        <f>+data!M684</f>
        <v>1814759</v>
      </c>
      <c r="F87" s="246">
        <f>+data!M685</f>
        <v>362694</v>
      </c>
      <c r="G87" s="246">
        <f>+data!M686</f>
        <v>6584303</v>
      </c>
      <c r="H87" s="246">
        <f>+data!M687</f>
        <v>264849</v>
      </c>
      <c r="I87" s="246">
        <f>+data!M688</f>
        <v>1462395</v>
      </c>
    </row>
    <row r="88" spans="1:9" ht="20.100000000000001" customHeight="1" x14ac:dyDescent="0.2">
      <c r="A88" s="230">
        <v>19</v>
      </c>
      <c r="B88" s="246" t="s">
        <v>1007</v>
      </c>
      <c r="C88" s="238">
        <f>data!Q87</f>
        <v>2589773.91</v>
      </c>
      <c r="D88" s="238">
        <f>data!R87</f>
        <v>8110441.6399999997</v>
      </c>
      <c r="E88" s="238">
        <f>data!S87</f>
        <v>26859.25</v>
      </c>
      <c r="F88" s="238">
        <f>data!T87</f>
        <v>1809823.77</v>
      </c>
      <c r="G88" s="238">
        <f>data!U87</f>
        <v>52749918.909999996</v>
      </c>
      <c r="H88" s="238">
        <f>data!V87</f>
        <v>3060862</v>
      </c>
      <c r="I88" s="238">
        <f>data!W87</f>
        <v>3659318.57</v>
      </c>
    </row>
    <row r="89" spans="1:9" ht="20.100000000000001" customHeight="1" x14ac:dyDescent="0.2">
      <c r="A89" s="230">
        <v>20</v>
      </c>
      <c r="B89" s="246" t="s">
        <v>1008</v>
      </c>
      <c r="C89" s="238">
        <f>data!Q88</f>
        <v>11853657.630000001</v>
      </c>
      <c r="D89" s="238">
        <f>data!R88</f>
        <v>43068899.060000002</v>
      </c>
      <c r="E89" s="238">
        <f>data!S88</f>
        <v>-25239.25</v>
      </c>
      <c r="F89" s="238">
        <f>data!T88</f>
        <v>332510.83</v>
      </c>
      <c r="G89" s="238">
        <f>data!U88</f>
        <v>89698538.109999999</v>
      </c>
      <c r="H89" s="238">
        <f>data!V88</f>
        <v>5186616</v>
      </c>
      <c r="I89" s="238">
        <f>data!W88</f>
        <v>35683245.100000001</v>
      </c>
    </row>
    <row r="90" spans="1:9" ht="20.100000000000001" customHeight="1" x14ac:dyDescent="0.2">
      <c r="A90" s="230">
        <v>21</v>
      </c>
      <c r="B90" s="246" t="s">
        <v>1009</v>
      </c>
      <c r="C90" s="238">
        <f>data!Q89</f>
        <v>14443431.540000001</v>
      </c>
      <c r="D90" s="238">
        <f>data!R89</f>
        <v>51179340.700000003</v>
      </c>
      <c r="E90" s="238">
        <f>data!S89</f>
        <v>1620</v>
      </c>
      <c r="F90" s="238">
        <f>data!T89</f>
        <v>2142334.6</v>
      </c>
      <c r="G90" s="238">
        <f>data!U89</f>
        <v>142448457.01999998</v>
      </c>
      <c r="H90" s="238">
        <f>data!V89</f>
        <v>8247478</v>
      </c>
      <c r="I90" s="238">
        <f>data!W89</f>
        <v>39342563.670000002</v>
      </c>
    </row>
    <row r="91" spans="1:9" ht="20.100000000000001" customHeight="1" x14ac:dyDescent="0.2">
      <c r="A91" s="230" t="s">
        <v>1010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1011</v>
      </c>
      <c r="C92" s="238">
        <f>data!Q90</f>
        <v>5453</v>
      </c>
      <c r="D92" s="238">
        <f>data!R90</f>
        <v>626</v>
      </c>
      <c r="E92" s="238">
        <f>data!S90</f>
        <v>34343</v>
      </c>
      <c r="F92" s="238">
        <f>data!T90</f>
        <v>292</v>
      </c>
      <c r="G92" s="238">
        <f>data!U90</f>
        <v>9497</v>
      </c>
      <c r="H92" s="238">
        <f>data!V90</f>
        <v>226</v>
      </c>
      <c r="I92" s="238">
        <f>data!W90</f>
        <v>2276</v>
      </c>
    </row>
    <row r="93" spans="1:9" ht="20.100000000000001" customHeight="1" x14ac:dyDescent="0.2">
      <c r="A93" s="230">
        <v>23</v>
      </c>
      <c r="B93" s="238" t="s">
        <v>1012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1013</v>
      </c>
      <c r="C94" s="238">
        <f>data!Q92</f>
        <v>1040</v>
      </c>
      <c r="D94" s="238">
        <f>data!R92</f>
        <v>2080</v>
      </c>
      <c r="E94" s="238">
        <f>data!S92</f>
        <v>0</v>
      </c>
      <c r="F94" s="238">
        <f>data!T92</f>
        <v>0</v>
      </c>
      <c r="G94" s="238">
        <f>data!U92</f>
        <v>1040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1014</v>
      </c>
      <c r="C95" s="238">
        <f>data!Q93</f>
        <v>46116.06</v>
      </c>
      <c r="D95" s="238">
        <f>data!R93</f>
        <v>66804.56</v>
      </c>
      <c r="E95" s="238">
        <f>data!S93</f>
        <v>10488.25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12170.22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27.95</v>
      </c>
      <c r="D96" s="245">
        <f>data!R94</f>
        <v>0</v>
      </c>
      <c r="E96" s="245">
        <f>data!S94</f>
        <v>0</v>
      </c>
      <c r="F96" s="245">
        <f>data!T94</f>
        <v>9.65</v>
      </c>
      <c r="G96" s="245">
        <f>data!U94</f>
        <v>5.7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996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1023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 xml:space="preserve">Hospital: YAKIMA VALLEY MEMORIAL 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998</v>
      </c>
      <c r="C102" s="244" t="s">
        <v>1024</v>
      </c>
      <c r="D102" s="244" t="s">
        <v>1025</v>
      </c>
      <c r="E102" s="244" t="s">
        <v>1025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1002</v>
      </c>
      <c r="C104" s="239" t="s">
        <v>250</v>
      </c>
      <c r="D104" s="240" t="s">
        <v>1026</v>
      </c>
      <c r="E104" s="240" t="s">
        <v>1026</v>
      </c>
      <c r="F104" s="240" t="s">
        <v>1026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239529</v>
      </c>
      <c r="E105" s="238">
        <f>data!Z59</f>
        <v>44407</v>
      </c>
      <c r="F105" s="238">
        <f>data!AA59</f>
        <v>17621</v>
      </c>
      <c r="G105" s="250"/>
      <c r="H105" s="238">
        <f>data!AC59</f>
        <v>248189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16</v>
      </c>
      <c r="D106" s="245">
        <f>data!Y60</f>
        <v>60.9</v>
      </c>
      <c r="E106" s="245">
        <f>data!Z60</f>
        <v>13.05</v>
      </c>
      <c r="F106" s="245">
        <f>data!AA60</f>
        <v>6</v>
      </c>
      <c r="G106" s="245">
        <f>data!AB60</f>
        <v>65</v>
      </c>
      <c r="H106" s="245">
        <f>data!AC60</f>
        <v>12.75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1721575.62</v>
      </c>
      <c r="D107" s="238">
        <f>data!Y61</f>
        <v>4631090.57</v>
      </c>
      <c r="E107" s="238">
        <f>data!Z61</f>
        <v>1514179.59</v>
      </c>
      <c r="F107" s="238">
        <f>data!AA61</f>
        <v>561521.18000000005</v>
      </c>
      <c r="G107" s="238">
        <f>data!AB61</f>
        <v>10039146.99</v>
      </c>
      <c r="H107" s="238">
        <f>data!AC61</f>
        <v>1807894.71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400016</v>
      </c>
      <c r="D108" s="238">
        <f>data!Y62</f>
        <v>1173089</v>
      </c>
      <c r="E108" s="238">
        <f>data!Z62</f>
        <v>338649</v>
      </c>
      <c r="F108" s="238">
        <f>data!AA62</f>
        <v>122425</v>
      </c>
      <c r="G108" s="238">
        <f>data!AB62</f>
        <v>2292674</v>
      </c>
      <c r="H108" s="238">
        <f>data!AC62</f>
        <v>377908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580</v>
      </c>
      <c r="D109" s="238">
        <f>data!Y63</f>
        <v>244228.44</v>
      </c>
      <c r="E109" s="238">
        <f>data!Z63</f>
        <v>381711.42</v>
      </c>
      <c r="F109" s="238">
        <f>data!AA63</f>
        <v>0</v>
      </c>
      <c r="G109" s="238">
        <f>data!AB63</f>
        <v>13277.38</v>
      </c>
      <c r="H109" s="238">
        <f>data!AC63</f>
        <v>227216.63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1615156.94</v>
      </c>
      <c r="D110" s="238">
        <f>data!Y64</f>
        <v>442147.52</v>
      </c>
      <c r="E110" s="238">
        <f>data!Z64</f>
        <v>62487.92</v>
      </c>
      <c r="F110" s="238">
        <f>data!AA64</f>
        <v>551440.01</v>
      </c>
      <c r="G110" s="238">
        <f>data!AB64</f>
        <v>35481610.859999999</v>
      </c>
      <c r="H110" s="238">
        <f>data!AC64</f>
        <v>425412.08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201822.21</v>
      </c>
      <c r="E111" s="238">
        <f>data!Z65</f>
        <v>0</v>
      </c>
      <c r="F111" s="238">
        <f>data!AA65</f>
        <v>0</v>
      </c>
      <c r="G111" s="238">
        <f>data!AB65</f>
        <v>12502.97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55489.84</v>
      </c>
      <c r="D112" s="238">
        <f>data!Y66</f>
        <v>469499.74</v>
      </c>
      <c r="E112" s="238">
        <f>data!Z66</f>
        <v>706091.09</v>
      </c>
      <c r="F112" s="238">
        <f>data!AA66</f>
        <v>17766.36</v>
      </c>
      <c r="G112" s="238">
        <f>data!AB66</f>
        <v>407610.38</v>
      </c>
      <c r="H112" s="238">
        <f>data!AC66</f>
        <v>14617.5</v>
      </c>
      <c r="I112" s="238">
        <f>data!AD66</f>
        <v>1570807.14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299269</v>
      </c>
      <c r="D113" s="238">
        <f>data!Y67</f>
        <v>843117</v>
      </c>
      <c r="E113" s="238">
        <f>data!Z67</f>
        <v>168410</v>
      </c>
      <c r="F113" s="238">
        <f>data!AA67</f>
        <v>32684</v>
      </c>
      <c r="G113" s="238">
        <f>data!AB67</f>
        <v>217129</v>
      </c>
      <c r="H113" s="238">
        <f>data!AC67</f>
        <v>44613</v>
      </c>
      <c r="I113" s="238">
        <f>data!AD67</f>
        <v>3657</v>
      </c>
    </row>
    <row r="114" spans="1:9" ht="20.100000000000001" customHeight="1" x14ac:dyDescent="0.2">
      <c r="A114" s="230">
        <v>13</v>
      </c>
      <c r="B114" s="238" t="s">
        <v>1003</v>
      </c>
      <c r="C114" s="238">
        <f>data!X68</f>
        <v>893.47</v>
      </c>
      <c r="D114" s="238">
        <f>data!Y68</f>
        <v>401418.39</v>
      </c>
      <c r="E114" s="238">
        <f>data!Z68</f>
        <v>2185.96</v>
      </c>
      <c r="F114" s="238">
        <f>data!AA68</f>
        <v>534.96</v>
      </c>
      <c r="G114" s="238">
        <f>data!AB68</f>
        <v>61933.69</v>
      </c>
      <c r="H114" s="238">
        <f>data!AC68</f>
        <v>28764.82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1004</v>
      </c>
      <c r="C115" s="238">
        <f>data!X69</f>
        <v>485123.77</v>
      </c>
      <c r="D115" s="238">
        <f>data!Y69</f>
        <v>1790875.1300000001</v>
      </c>
      <c r="E115" s="238">
        <f>data!Z69</f>
        <v>1239134.53</v>
      </c>
      <c r="F115" s="238">
        <f>data!AA69</f>
        <v>62659.95</v>
      </c>
      <c r="G115" s="238">
        <f>data!AB69</f>
        <v>969789.5780000001</v>
      </c>
      <c r="H115" s="238">
        <f>data!AC69</f>
        <v>356825.8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-2713.88</v>
      </c>
      <c r="E116" s="238">
        <f>-data!Z84</f>
        <v>0</v>
      </c>
      <c r="F116" s="238">
        <f>-data!AA84</f>
        <v>0</v>
      </c>
      <c r="G116" s="238">
        <f>-data!AB84</f>
        <v>-161290.29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1005</v>
      </c>
      <c r="C117" s="238">
        <f>data!X85</f>
        <v>4578104.6400000006</v>
      </c>
      <c r="D117" s="238">
        <f>data!Y85</f>
        <v>10194574.120000001</v>
      </c>
      <c r="E117" s="238">
        <f>data!Z85</f>
        <v>4412849.51</v>
      </c>
      <c r="F117" s="238">
        <f>data!AA85</f>
        <v>1349031.46</v>
      </c>
      <c r="G117" s="238">
        <f>data!AB85</f>
        <v>49334384.558000006</v>
      </c>
      <c r="H117" s="238">
        <f>data!AC85</f>
        <v>3283252.5399999996</v>
      </c>
      <c r="I117" s="238">
        <f>data!AD85</f>
        <v>1574464.14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1006</v>
      </c>
      <c r="C119" s="246">
        <f>+data!M689</f>
        <v>4280428</v>
      </c>
      <c r="D119" s="246">
        <f>+data!M690</f>
        <v>5268777</v>
      </c>
      <c r="E119" s="246">
        <f>+data!M691</f>
        <v>1646082</v>
      </c>
      <c r="F119" s="246">
        <f>+data!M692</f>
        <v>564427</v>
      </c>
      <c r="G119" s="246">
        <f>+data!M693</f>
        <v>9499667</v>
      </c>
      <c r="H119" s="246">
        <f>+data!M694</f>
        <v>897724</v>
      </c>
      <c r="I119" s="246">
        <f>+data!M695</f>
        <v>217842</v>
      </c>
    </row>
    <row r="120" spans="1:9" ht="20.100000000000001" customHeight="1" x14ac:dyDescent="0.2">
      <c r="A120" s="230">
        <v>19</v>
      </c>
      <c r="B120" s="246" t="s">
        <v>1007</v>
      </c>
      <c r="C120" s="238">
        <f>data!X87</f>
        <v>30184923.460000001</v>
      </c>
      <c r="D120" s="238">
        <f>data!Y87</f>
        <v>12214270.58</v>
      </c>
      <c r="E120" s="238">
        <f>data!Z87</f>
        <v>187386.73</v>
      </c>
      <c r="F120" s="238">
        <f>data!AA87</f>
        <v>203908.76</v>
      </c>
      <c r="G120" s="238">
        <f>data!AB87</f>
        <v>43847532.200000003</v>
      </c>
      <c r="H120" s="238">
        <f>data!AC87</f>
        <v>14035065.189999999</v>
      </c>
      <c r="I120" s="238">
        <f>data!AD87</f>
        <v>3134726</v>
      </c>
    </row>
    <row r="121" spans="1:9" ht="20.100000000000001" customHeight="1" x14ac:dyDescent="0.2">
      <c r="A121" s="230">
        <v>20</v>
      </c>
      <c r="B121" s="246" t="s">
        <v>1008</v>
      </c>
      <c r="C121" s="238">
        <f>data!X88</f>
        <v>95060898.069999993</v>
      </c>
      <c r="D121" s="238">
        <f>data!Y88</f>
        <v>71499836.689999998</v>
      </c>
      <c r="E121" s="238">
        <f>data!Z88</f>
        <v>24395072.91</v>
      </c>
      <c r="F121" s="238">
        <f>data!AA88</f>
        <v>11108060.93</v>
      </c>
      <c r="G121" s="238">
        <f>data!AB88</f>
        <v>102405239.92</v>
      </c>
      <c r="H121" s="238">
        <f>data!AC88</f>
        <v>2262473.92</v>
      </c>
      <c r="I121" s="238">
        <f>data!AD88</f>
        <v>118491</v>
      </c>
    </row>
    <row r="122" spans="1:9" ht="20.100000000000001" customHeight="1" x14ac:dyDescent="0.2">
      <c r="A122" s="230">
        <v>21</v>
      </c>
      <c r="B122" s="246" t="s">
        <v>1009</v>
      </c>
      <c r="C122" s="238">
        <f>data!X89</f>
        <v>125245821.53</v>
      </c>
      <c r="D122" s="238">
        <f>data!Y89</f>
        <v>83714107.269999996</v>
      </c>
      <c r="E122" s="238">
        <f>data!Z89</f>
        <v>24582459.640000001</v>
      </c>
      <c r="F122" s="238">
        <f>data!AA89</f>
        <v>11311969.689999999</v>
      </c>
      <c r="G122" s="238">
        <f>data!AB89</f>
        <v>146252772.12</v>
      </c>
      <c r="H122" s="238">
        <f>data!AC89</f>
        <v>16297539.109999999</v>
      </c>
      <c r="I122" s="238">
        <f>data!AD89</f>
        <v>3253217</v>
      </c>
    </row>
    <row r="123" spans="1:9" ht="20.100000000000001" customHeight="1" x14ac:dyDescent="0.2">
      <c r="A123" s="230" t="s">
        <v>1010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1011</v>
      </c>
      <c r="C124" s="238">
        <f>data!X90</f>
        <v>2391</v>
      </c>
      <c r="D124" s="238">
        <f>data!Y90</f>
        <v>36626</v>
      </c>
      <c r="E124" s="238">
        <f>data!Z90</f>
        <v>12695</v>
      </c>
      <c r="F124" s="238">
        <f>data!AA90</f>
        <v>2288</v>
      </c>
      <c r="G124" s="238">
        <f>data!AB90</f>
        <v>15689</v>
      </c>
      <c r="H124" s="238">
        <f>data!AC90</f>
        <v>3076</v>
      </c>
      <c r="I124" s="238">
        <f>data!AD90</f>
        <v>267</v>
      </c>
    </row>
    <row r="125" spans="1:9" ht="20.100000000000001" customHeight="1" x14ac:dyDescent="0.2">
      <c r="A125" s="230">
        <v>23</v>
      </c>
      <c r="B125" s="238" t="s">
        <v>1012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1013</v>
      </c>
      <c r="C126" s="238">
        <f>data!X92</f>
        <v>0</v>
      </c>
      <c r="D126" s="238">
        <f>data!Y92</f>
        <v>1040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1014</v>
      </c>
      <c r="C127" s="238">
        <f>data!X93</f>
        <v>35218.639999999999</v>
      </c>
      <c r="D127" s="238">
        <f>data!Y93</f>
        <v>82172.100000000006</v>
      </c>
      <c r="E127" s="238">
        <f>data!Z93</f>
        <v>0</v>
      </c>
      <c r="F127" s="238">
        <f>data!AA93</f>
        <v>2205.9499999999998</v>
      </c>
      <c r="G127" s="238">
        <f>data!AB93</f>
        <v>1254.18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5.6</v>
      </c>
      <c r="E128" s="245">
        <f>data!Z94</f>
        <v>2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996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1027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 xml:space="preserve">Hospital: YAKIMA VALLEY MEMORIAL 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998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1028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1002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1029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56272</v>
      </c>
      <c r="D137" s="238">
        <f>data!AF59</f>
        <v>0</v>
      </c>
      <c r="E137" s="238">
        <f>data!AG59</f>
        <v>87348</v>
      </c>
      <c r="F137" s="238">
        <f>data!AH59</f>
        <v>0</v>
      </c>
      <c r="G137" s="238">
        <f>data!AI59</f>
        <v>0</v>
      </c>
      <c r="H137" s="238">
        <f>data!AJ59</f>
        <v>261701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23.4</v>
      </c>
      <c r="D138" s="245">
        <f>data!AF60</f>
        <v>0</v>
      </c>
      <c r="E138" s="245">
        <f>data!AG60</f>
        <v>90.45</v>
      </c>
      <c r="F138" s="245">
        <f>data!AH60</f>
        <v>0</v>
      </c>
      <c r="G138" s="245">
        <f>data!AI60</f>
        <v>0</v>
      </c>
      <c r="H138" s="245">
        <f>data!AJ60</f>
        <v>453.96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3319346.36</v>
      </c>
      <c r="D139" s="238">
        <f>data!AF61</f>
        <v>0</v>
      </c>
      <c r="E139" s="238">
        <f>data!AG61</f>
        <v>14410369.42</v>
      </c>
      <c r="F139" s="238">
        <f>data!AH61</f>
        <v>0</v>
      </c>
      <c r="G139" s="238">
        <f>data!AI61</f>
        <v>0</v>
      </c>
      <c r="H139" s="238">
        <f>data!AJ61</f>
        <v>54865448.060000002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759696</v>
      </c>
      <c r="D140" s="238">
        <f>data!AF62</f>
        <v>0</v>
      </c>
      <c r="E140" s="238">
        <f>data!AG62</f>
        <v>2229090</v>
      </c>
      <c r="F140" s="238">
        <f>data!AH62</f>
        <v>0</v>
      </c>
      <c r="G140" s="238">
        <f>data!AI62</f>
        <v>0</v>
      </c>
      <c r="H140" s="238">
        <f>data!AJ62</f>
        <v>9324927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13224663.130000001</v>
      </c>
      <c r="F141" s="238">
        <f>data!AH63</f>
        <v>0</v>
      </c>
      <c r="G141" s="238">
        <f>data!AI63</f>
        <v>0</v>
      </c>
      <c r="H141" s="238">
        <f>data!AJ63</f>
        <v>14227232.18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56449.440000000002</v>
      </c>
      <c r="D142" s="238">
        <f>data!AF64</f>
        <v>0</v>
      </c>
      <c r="E142" s="238">
        <f>data!AG64</f>
        <v>1803144.81</v>
      </c>
      <c r="F142" s="238">
        <f>data!AH64</f>
        <v>0</v>
      </c>
      <c r="G142" s="238">
        <f>data!AI64</f>
        <v>0</v>
      </c>
      <c r="H142" s="238">
        <f>data!AJ64</f>
        <v>38884219.5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28763.47</v>
      </c>
      <c r="D143" s="238">
        <f>data!AF65</f>
        <v>0</v>
      </c>
      <c r="E143" s="238">
        <f>data!AG65</f>
        <v>9294.06</v>
      </c>
      <c r="F143" s="238">
        <f>data!AH65</f>
        <v>0</v>
      </c>
      <c r="G143" s="238">
        <f>data!AI65</f>
        <v>0</v>
      </c>
      <c r="H143" s="238">
        <f>data!AJ65</f>
        <v>624945.65999999992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16782.919999999998</v>
      </c>
      <c r="D144" s="238">
        <f>data!AF66</f>
        <v>0</v>
      </c>
      <c r="E144" s="238">
        <f>data!AG66</f>
        <v>1080747.1399999999</v>
      </c>
      <c r="F144" s="238">
        <f>data!AH66</f>
        <v>0</v>
      </c>
      <c r="G144" s="238">
        <f>data!AI66</f>
        <v>0</v>
      </c>
      <c r="H144" s="238">
        <f>data!AJ66</f>
        <v>4320374.3499999996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40595</v>
      </c>
      <c r="D145" s="238">
        <f>data!AF67</f>
        <v>0</v>
      </c>
      <c r="E145" s="238">
        <f>data!AG67</f>
        <v>297816</v>
      </c>
      <c r="F145" s="238">
        <f>data!AH67</f>
        <v>0</v>
      </c>
      <c r="G145" s="238">
        <f>data!AI67</f>
        <v>0</v>
      </c>
      <c r="H145" s="238">
        <f>data!AJ67</f>
        <v>2954271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1003</v>
      </c>
      <c r="C146" s="238">
        <f>data!AE68</f>
        <v>296476.89</v>
      </c>
      <c r="D146" s="238">
        <f>data!AF68</f>
        <v>0</v>
      </c>
      <c r="E146" s="238">
        <f>data!AG68</f>
        <v>5071.3500000000004</v>
      </c>
      <c r="F146" s="238">
        <f>data!AH68</f>
        <v>0</v>
      </c>
      <c r="G146" s="238">
        <f>data!AI68</f>
        <v>0</v>
      </c>
      <c r="H146" s="238">
        <f>data!AJ68</f>
        <v>5466032.9000000004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1004</v>
      </c>
      <c r="C147" s="238">
        <f>data!AE69</f>
        <v>36376.54</v>
      </c>
      <c r="D147" s="238">
        <f>data!AF69</f>
        <v>0</v>
      </c>
      <c r="E147" s="238">
        <f>data!AG69</f>
        <v>2183180.3699999996</v>
      </c>
      <c r="F147" s="238">
        <f>data!AH69</f>
        <v>0</v>
      </c>
      <c r="G147" s="238">
        <f>data!AI69</f>
        <v>0</v>
      </c>
      <c r="H147" s="238">
        <f>data!AJ69</f>
        <v>5119767.1900000004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-43786.89</v>
      </c>
      <c r="D148" s="238">
        <f>-data!AF84</f>
        <v>0</v>
      </c>
      <c r="E148" s="238">
        <f>-data!AG84</f>
        <v>-29035.38</v>
      </c>
      <c r="F148" s="238">
        <f>-data!AH84</f>
        <v>0</v>
      </c>
      <c r="G148" s="238">
        <f>-data!AI84</f>
        <v>0</v>
      </c>
      <c r="H148" s="238">
        <f>-data!AJ84</f>
        <v>-623589.1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1005</v>
      </c>
      <c r="C149" s="238">
        <f>data!AE85</f>
        <v>4510699.7299999995</v>
      </c>
      <c r="D149" s="238">
        <f>data!AF85</f>
        <v>0</v>
      </c>
      <c r="E149" s="238">
        <f>data!AG85</f>
        <v>35214340.899999999</v>
      </c>
      <c r="F149" s="238">
        <f>data!AH85</f>
        <v>0</v>
      </c>
      <c r="G149" s="238">
        <f>data!AI85</f>
        <v>0</v>
      </c>
      <c r="H149" s="238">
        <f>data!AJ85</f>
        <v>135163628.74000001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1006</v>
      </c>
      <c r="C151" s="246">
        <f>+data!M696</f>
        <v>815367</v>
      </c>
      <c r="D151" s="246">
        <f>+data!M697</f>
        <v>0</v>
      </c>
      <c r="E151" s="246">
        <f>+data!M698</f>
        <v>13256640</v>
      </c>
      <c r="F151" s="246">
        <f>+data!M699</f>
        <v>0</v>
      </c>
      <c r="G151" s="246">
        <f>+data!M700</f>
        <v>0</v>
      </c>
      <c r="H151" s="246">
        <f>+data!M701</f>
        <v>33212638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1007</v>
      </c>
      <c r="C152" s="238">
        <f>data!AE87</f>
        <v>5231919.6100000003</v>
      </c>
      <c r="D152" s="238">
        <f>data!AF87</f>
        <v>0</v>
      </c>
      <c r="E152" s="238">
        <f>data!AG87</f>
        <v>52647147.07</v>
      </c>
      <c r="F152" s="238">
        <f>data!AH87</f>
        <v>0</v>
      </c>
      <c r="G152" s="238">
        <f>data!AI87</f>
        <v>0</v>
      </c>
      <c r="H152" s="238">
        <f>data!AJ87</f>
        <v>7574314.1500000004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1008</v>
      </c>
      <c r="C153" s="238">
        <f>data!AE88</f>
        <v>7634166.6699999999</v>
      </c>
      <c r="D153" s="238">
        <f>data!AF88</f>
        <v>0</v>
      </c>
      <c r="E153" s="238">
        <f>data!AG88</f>
        <v>194984251.93000001</v>
      </c>
      <c r="F153" s="238">
        <f>data!AH88</f>
        <v>0</v>
      </c>
      <c r="G153" s="238">
        <f>data!AI88</f>
        <v>0</v>
      </c>
      <c r="H153" s="238">
        <f>data!AJ88</f>
        <v>486138223.81999999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1009</v>
      </c>
      <c r="C154" s="238">
        <f>data!AE89</f>
        <v>12866086.280000001</v>
      </c>
      <c r="D154" s="238">
        <f>data!AF89</f>
        <v>0</v>
      </c>
      <c r="E154" s="238">
        <f>data!AG89</f>
        <v>247631399</v>
      </c>
      <c r="F154" s="238">
        <f>data!AH89</f>
        <v>0</v>
      </c>
      <c r="G154" s="238">
        <f>data!AI89</f>
        <v>0</v>
      </c>
      <c r="H154" s="238">
        <f>data!AJ89</f>
        <v>493712537.96999997</v>
      </c>
      <c r="I154" s="238">
        <f>data!AK89</f>
        <v>0</v>
      </c>
    </row>
    <row r="155" spans="1:9" ht="20.100000000000001" customHeight="1" x14ac:dyDescent="0.2">
      <c r="A155" s="230" t="s">
        <v>1010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1011</v>
      </c>
      <c r="C156" s="238">
        <f>data!AE90</f>
        <v>841</v>
      </c>
      <c r="D156" s="238">
        <f>data!AF90</f>
        <v>0</v>
      </c>
      <c r="E156" s="238">
        <f>data!AG90</f>
        <v>21741</v>
      </c>
      <c r="F156" s="238">
        <f>data!AH90</f>
        <v>0</v>
      </c>
      <c r="G156" s="238">
        <f>data!AI90</f>
        <v>0</v>
      </c>
      <c r="H156" s="238">
        <f>data!AJ90</f>
        <v>146019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1012</v>
      </c>
      <c r="C157" s="238">
        <f>data!AE91</f>
        <v>0</v>
      </c>
      <c r="D157" s="238">
        <f>data!AF91</f>
        <v>0</v>
      </c>
      <c r="E157" s="238">
        <f>data!AG91</f>
        <v>5015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1013</v>
      </c>
      <c r="C158" s="238">
        <f>data!AE92</f>
        <v>0</v>
      </c>
      <c r="D158" s="238">
        <f>data!AF92</f>
        <v>0</v>
      </c>
      <c r="E158" s="238">
        <f>data!AG92</f>
        <v>10400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1014</v>
      </c>
      <c r="C159" s="238">
        <f>data!AE93</f>
        <v>0</v>
      </c>
      <c r="D159" s="238">
        <f>data!AF93</f>
        <v>0</v>
      </c>
      <c r="E159" s="238">
        <f>data!AG93</f>
        <v>346832.71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57.1</v>
      </c>
      <c r="F160" s="245">
        <f>data!AH94</f>
        <v>0</v>
      </c>
      <c r="G160" s="245">
        <f>data!AI94</f>
        <v>0</v>
      </c>
      <c r="H160" s="245">
        <f>data!AJ94</f>
        <v>41.7</v>
      </c>
      <c r="I160" s="245">
        <f>data!AK94</f>
        <v>0</v>
      </c>
    </row>
    <row r="161" spans="1:9" ht="20.100000000000001" customHeight="1" x14ac:dyDescent="0.2">
      <c r="A161" s="231" t="s">
        <v>996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1030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 xml:space="preserve">Hospital: YAKIMA VALLEY MEMORIAL 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998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1031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1032</v>
      </c>
      <c r="F167" s="244" t="s">
        <v>208</v>
      </c>
      <c r="G167" s="244" t="s">
        <v>147</v>
      </c>
      <c r="H167" s="243" t="s">
        <v>1033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1002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9414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17176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71.849999999999994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1315590.32</v>
      </c>
      <c r="D171" s="238">
        <f>data!AM61</f>
        <v>0</v>
      </c>
      <c r="E171" s="238">
        <f>data!AN61</f>
        <v>0</v>
      </c>
      <c r="F171" s="238">
        <f>data!AO61</f>
        <v>-219.2</v>
      </c>
      <c r="G171" s="238">
        <f>data!AP61</f>
        <v>0</v>
      </c>
      <c r="H171" s="238">
        <f>data!AQ61</f>
        <v>0</v>
      </c>
      <c r="I171" s="238">
        <f>data!AR61</f>
        <v>8512590.0899999999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290497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1790304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106646.91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12964.25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240301.39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3973.96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147755.45000000001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2959.13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1372906.02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139586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355831</v>
      </c>
    </row>
    <row r="178" spans="1:9" ht="20.100000000000001" customHeight="1" x14ac:dyDescent="0.2">
      <c r="A178" s="230">
        <v>13</v>
      </c>
      <c r="B178" s="238" t="s">
        <v>1003</v>
      </c>
      <c r="C178" s="238">
        <f>data!AL68</f>
        <v>18693.73</v>
      </c>
      <c r="D178" s="238">
        <f>data!AM68</f>
        <v>0</v>
      </c>
      <c r="E178" s="238">
        <f>data!AN68</f>
        <v>0</v>
      </c>
      <c r="F178" s="238">
        <f>data!AO68</f>
        <v>3.8</v>
      </c>
      <c r="G178" s="238">
        <f>data!AP68</f>
        <v>0</v>
      </c>
      <c r="H178" s="238">
        <f>data!AQ68</f>
        <v>0</v>
      </c>
      <c r="I178" s="238">
        <f>data!AR68</f>
        <v>233621.01</v>
      </c>
    </row>
    <row r="179" spans="1:9" ht="20.100000000000001" customHeight="1" x14ac:dyDescent="0.2">
      <c r="A179" s="230">
        <v>14</v>
      </c>
      <c r="B179" s="238" t="s">
        <v>1004</v>
      </c>
      <c r="C179" s="238">
        <f>data!AL69</f>
        <v>7063.12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369133.42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-62652.22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-28035.95</v>
      </c>
    </row>
    <row r="181" spans="1:9" ht="20.100000000000001" customHeight="1" x14ac:dyDescent="0.2">
      <c r="A181" s="230">
        <v>16</v>
      </c>
      <c r="B181" s="246" t="s">
        <v>1005</v>
      </c>
      <c r="C181" s="238">
        <f>data!AL85</f>
        <v>1728675.29</v>
      </c>
      <c r="D181" s="238">
        <f>data!AM85</f>
        <v>0</v>
      </c>
      <c r="E181" s="238">
        <f>data!AN85</f>
        <v>0</v>
      </c>
      <c r="F181" s="238">
        <f>data!AO85</f>
        <v>-215.39999999999998</v>
      </c>
      <c r="G181" s="238">
        <f>data!AP85</f>
        <v>0</v>
      </c>
      <c r="H181" s="238">
        <f>data!AQ85</f>
        <v>0</v>
      </c>
      <c r="I181" s="238">
        <f>data!AR85</f>
        <v>13101053.34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1006</v>
      </c>
      <c r="C183" s="246">
        <f>+data!M703</f>
        <v>650197</v>
      </c>
      <c r="D183" s="246">
        <f>+data!M704</f>
        <v>0</v>
      </c>
      <c r="E183" s="246">
        <f>+data!M705</f>
        <v>0</v>
      </c>
      <c r="F183" s="246">
        <f>+data!M706</f>
        <v>15624</v>
      </c>
      <c r="G183" s="246">
        <f>+data!M707</f>
        <v>0</v>
      </c>
      <c r="H183" s="246">
        <f>+data!M708</f>
        <v>0</v>
      </c>
      <c r="I183" s="246">
        <f>+data!M709</f>
        <v>3144736</v>
      </c>
    </row>
    <row r="184" spans="1:9" ht="20.100000000000001" customHeight="1" x14ac:dyDescent="0.2">
      <c r="A184" s="230">
        <v>19</v>
      </c>
      <c r="B184" s="246" t="s">
        <v>1007</v>
      </c>
      <c r="C184" s="238">
        <f>data!AL87</f>
        <v>1453235.34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2153</v>
      </c>
    </row>
    <row r="185" spans="1:9" ht="20.100000000000001" customHeight="1" x14ac:dyDescent="0.2">
      <c r="A185" s="230">
        <v>20</v>
      </c>
      <c r="B185" s="246" t="s">
        <v>1008</v>
      </c>
      <c r="C185" s="238">
        <f>data!AL88</f>
        <v>1678438.87</v>
      </c>
      <c r="D185" s="238">
        <f>data!AM88</f>
        <v>0</v>
      </c>
      <c r="E185" s="238">
        <f>data!AN88</f>
        <v>0</v>
      </c>
      <c r="F185" s="238">
        <f>data!AO88</f>
        <v>-925.65</v>
      </c>
      <c r="G185" s="238">
        <f>data!AP88</f>
        <v>0</v>
      </c>
      <c r="H185" s="238">
        <f>data!AQ88</f>
        <v>0</v>
      </c>
      <c r="I185" s="238">
        <f>data!AR88</f>
        <v>18285983.379999999</v>
      </c>
    </row>
    <row r="186" spans="1:9" ht="20.100000000000001" customHeight="1" x14ac:dyDescent="0.2">
      <c r="A186" s="230">
        <v>21</v>
      </c>
      <c r="B186" s="246" t="s">
        <v>1009</v>
      </c>
      <c r="C186" s="238">
        <f>data!AL89</f>
        <v>3131674.21</v>
      </c>
      <c r="D186" s="238">
        <f>data!AM89</f>
        <v>0</v>
      </c>
      <c r="E186" s="238">
        <f>data!AN89</f>
        <v>0</v>
      </c>
      <c r="F186" s="238">
        <f>data!AO89</f>
        <v>-925.65</v>
      </c>
      <c r="G186" s="238">
        <f>data!AP89</f>
        <v>0</v>
      </c>
      <c r="H186" s="238">
        <f>data!AQ89</f>
        <v>0</v>
      </c>
      <c r="I186" s="238">
        <f>data!AR89</f>
        <v>18288136.379999999</v>
      </c>
    </row>
    <row r="187" spans="1:9" ht="20.100000000000001" customHeight="1" x14ac:dyDescent="0.2">
      <c r="A187" s="230" t="s">
        <v>1010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1011</v>
      </c>
      <c r="C188" s="238">
        <f>data!AL90</f>
        <v>10190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25481</v>
      </c>
    </row>
    <row r="189" spans="1:9" ht="20.100000000000001" customHeight="1" x14ac:dyDescent="0.2">
      <c r="A189" s="230">
        <v>23</v>
      </c>
      <c r="B189" s="238" t="s">
        <v>1012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69</v>
      </c>
      <c r="G189" s="238">
        <f>data!AP91</f>
        <v>0</v>
      </c>
      <c r="H189" s="238">
        <f>data!AQ91</f>
        <v>0</v>
      </c>
      <c r="I189" s="238">
        <f>data!AR91</f>
        <v>2168</v>
      </c>
    </row>
    <row r="190" spans="1:9" ht="20.100000000000001" customHeight="1" x14ac:dyDescent="0.2">
      <c r="A190" s="230">
        <v>24</v>
      </c>
      <c r="B190" s="238" t="s">
        <v>1013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1014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7744.27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28.35</v>
      </c>
    </row>
    <row r="193" spans="1:9" ht="20.100000000000001" customHeight="1" x14ac:dyDescent="0.2">
      <c r="A193" s="231" t="s">
        <v>996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1034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 xml:space="preserve">Hospital: YAKIMA VALLEY MEMORIAL 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998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1035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1036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1002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153923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193</v>
      </c>
      <c r="G202" s="245">
        <f>data!AW60</f>
        <v>0</v>
      </c>
      <c r="H202" s="245">
        <f>data!AX60</f>
        <v>0</v>
      </c>
      <c r="I202" s="245">
        <f>data!AY60</f>
        <v>36.950000000000003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30792235.199999999</v>
      </c>
      <c r="G203" s="238">
        <f>data!AW61</f>
        <v>2572.52</v>
      </c>
      <c r="H203" s="238">
        <f>data!AX61</f>
        <v>0</v>
      </c>
      <c r="I203" s="238">
        <f>data!AY61</f>
        <v>2100085.62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4226702</v>
      </c>
      <c r="G204" s="238">
        <f>data!AW62</f>
        <v>19271</v>
      </c>
      <c r="H204" s="238">
        <f>data!AX62</f>
        <v>0</v>
      </c>
      <c r="I204" s="238">
        <f>data!AY62</f>
        <v>697601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145852.70000000001</v>
      </c>
      <c r="G205" s="238">
        <f>data!AW63</f>
        <v>1757574.24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448523.2</v>
      </c>
      <c r="G206" s="238">
        <f>data!AW64</f>
        <v>14302.62</v>
      </c>
      <c r="H206" s="238">
        <f>data!AX64</f>
        <v>6067.5</v>
      </c>
      <c r="I206" s="238">
        <f>data!AY64</f>
        <v>399594.11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76123.42</v>
      </c>
      <c r="G207" s="238">
        <f>data!AW65</f>
        <v>982.56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628370.84</v>
      </c>
      <c r="G208" s="238">
        <f>data!AW66</f>
        <v>0</v>
      </c>
      <c r="H208" s="238">
        <f>data!AX66</f>
        <v>0</v>
      </c>
      <c r="I208" s="238">
        <f>data!AY66</f>
        <v>3170.97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329065</v>
      </c>
      <c r="G209" s="238">
        <f>data!AW67</f>
        <v>0</v>
      </c>
      <c r="H209" s="238">
        <f>data!AX67</f>
        <v>0</v>
      </c>
      <c r="I209" s="238">
        <f>data!AY67</f>
        <v>90834</v>
      </c>
    </row>
    <row r="210" spans="1:9" ht="20.100000000000001" customHeight="1" x14ac:dyDescent="0.2">
      <c r="A210" s="230">
        <v>13</v>
      </c>
      <c r="B210" s="238" t="s">
        <v>1003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346511.47899999999</v>
      </c>
      <c r="G210" s="238">
        <f>data!AW68</f>
        <v>0</v>
      </c>
      <c r="H210" s="238">
        <f>data!AX68</f>
        <v>0</v>
      </c>
      <c r="I210" s="238">
        <f>data!AY68</f>
        <v>2473.5100000000002</v>
      </c>
    </row>
    <row r="211" spans="1:9" ht="20.100000000000001" customHeight="1" x14ac:dyDescent="0.2">
      <c r="A211" s="230">
        <v>14</v>
      </c>
      <c r="B211" s="238" t="s">
        <v>1004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1557252.26</v>
      </c>
      <c r="G211" s="238">
        <f>data!AW69</f>
        <v>116717.71</v>
      </c>
      <c r="H211" s="238">
        <f>data!AX69</f>
        <v>0</v>
      </c>
      <c r="I211" s="238">
        <f>data!AY69</f>
        <v>141613.17000000001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-7545441.6799999997</v>
      </c>
      <c r="G212" s="238">
        <f>-data!AW84</f>
        <v>0</v>
      </c>
      <c r="H212" s="238">
        <f>-data!AX84</f>
        <v>0</v>
      </c>
      <c r="I212" s="238">
        <f>-data!AY84</f>
        <v>-102.37</v>
      </c>
    </row>
    <row r="213" spans="1:9" ht="20.100000000000001" customHeight="1" x14ac:dyDescent="0.2">
      <c r="A213" s="230">
        <v>16</v>
      </c>
      <c r="B213" s="246" t="s">
        <v>1005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31005194.419000015</v>
      </c>
      <c r="G213" s="238">
        <f>data!AW85</f>
        <v>1911420.6500000001</v>
      </c>
      <c r="H213" s="238">
        <f>data!AX85</f>
        <v>6067.5</v>
      </c>
      <c r="I213" s="238">
        <f>data!AY85</f>
        <v>3435270.01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1006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5338001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1007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5432751.4199999999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1008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39589196.439999998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1009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45021947.859999999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1010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1011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21626</v>
      </c>
      <c r="G220" s="238">
        <f>data!AW90</f>
        <v>0</v>
      </c>
      <c r="H220" s="238">
        <f>data!AX90</f>
        <v>0</v>
      </c>
      <c r="I220" s="238">
        <f>data!AY90</f>
        <v>6631</v>
      </c>
    </row>
    <row r="221" spans="1:9" ht="20.100000000000001" customHeight="1" x14ac:dyDescent="0.2">
      <c r="A221" s="230">
        <v>23</v>
      </c>
      <c r="B221" s="238" t="s">
        <v>1012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1013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1014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3627.33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21.8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996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1037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 xml:space="preserve">Hospital: YAKIMA VALLEY MEMORIAL 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998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1038</v>
      </c>
      <c r="F231" s="244" t="s">
        <v>1039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1002</v>
      </c>
      <c r="C232" s="240" t="s">
        <v>1040</v>
      </c>
      <c r="D232" s="240" t="s">
        <v>1041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1060925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14.4</v>
      </c>
      <c r="D234" s="245">
        <f>data!BA60</f>
        <v>3</v>
      </c>
      <c r="E234" s="245">
        <f>data!BB60</f>
        <v>0</v>
      </c>
      <c r="F234" s="245">
        <f>data!BC60</f>
        <v>0</v>
      </c>
      <c r="G234" s="245">
        <f>data!BD60</f>
        <v>23</v>
      </c>
      <c r="H234" s="245">
        <f>data!BE60</f>
        <v>20.5</v>
      </c>
      <c r="I234" s="245">
        <f>data!BF60</f>
        <v>55.3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1134916.49</v>
      </c>
      <c r="D235" s="238">
        <f>data!BA61</f>
        <v>124509.68</v>
      </c>
      <c r="E235" s="238">
        <f>data!BB61</f>
        <v>0</v>
      </c>
      <c r="F235" s="238">
        <f>data!BC61</f>
        <v>0</v>
      </c>
      <c r="G235" s="238">
        <f>data!BD61</f>
        <v>1438145.23</v>
      </c>
      <c r="H235" s="238">
        <f>data!BE61</f>
        <v>1509535.94</v>
      </c>
      <c r="I235" s="238">
        <f>data!BF61</f>
        <v>3207966.54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277089</v>
      </c>
      <c r="D236" s="238">
        <f>data!BA62</f>
        <v>37905</v>
      </c>
      <c r="E236" s="238">
        <f>data!BB62</f>
        <v>0</v>
      </c>
      <c r="F236" s="238">
        <f>data!BC62</f>
        <v>0</v>
      </c>
      <c r="G236" s="238">
        <f>data!BD62</f>
        <v>420854</v>
      </c>
      <c r="H236" s="238">
        <f>data!BE62</f>
        <v>384201</v>
      </c>
      <c r="I236" s="238">
        <f>data!BF62</f>
        <v>990969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171695.74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1469000.99</v>
      </c>
      <c r="D238" s="238">
        <f>data!BA64</f>
        <v>74377.64</v>
      </c>
      <c r="E238" s="238">
        <f>data!BB64</f>
        <v>0</v>
      </c>
      <c r="F238" s="238">
        <f>data!BC64</f>
        <v>0</v>
      </c>
      <c r="G238" s="238">
        <f>data!BD64</f>
        <v>-111804.87</v>
      </c>
      <c r="H238" s="238">
        <f>data!BE64</f>
        <v>432082.85</v>
      </c>
      <c r="I238" s="238">
        <f>data!BF64</f>
        <v>752211.2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1813403.95</v>
      </c>
      <c r="I239" s="238">
        <f>data!BF65</f>
        <v>50864.4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75776.850000000006</v>
      </c>
      <c r="D240" s="238">
        <f>data!BA66</f>
        <v>36261.379999999997</v>
      </c>
      <c r="E240" s="238">
        <f>data!BB66</f>
        <v>0</v>
      </c>
      <c r="F240" s="238">
        <f>data!BC66</f>
        <v>0</v>
      </c>
      <c r="G240" s="238">
        <f>data!BD66</f>
        <v>33</v>
      </c>
      <c r="H240" s="238">
        <f>data!BE66</f>
        <v>485250.84</v>
      </c>
      <c r="I240" s="238">
        <f>data!BF66</f>
        <v>1030567.49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74944</v>
      </c>
      <c r="D241" s="238">
        <f>data!BA67</f>
        <v>35972</v>
      </c>
      <c r="E241" s="238">
        <f>data!BB67</f>
        <v>0</v>
      </c>
      <c r="F241" s="238">
        <f>data!BC67</f>
        <v>0</v>
      </c>
      <c r="G241" s="238">
        <f>data!BD67</f>
        <v>91258</v>
      </c>
      <c r="H241" s="238">
        <f>data!BE67</f>
        <v>6379419</v>
      </c>
      <c r="I241" s="238">
        <f>data!BF67</f>
        <v>19438</v>
      </c>
    </row>
    <row r="242" spans="1:9" ht="20.100000000000001" customHeight="1" x14ac:dyDescent="0.2">
      <c r="A242" s="230">
        <v>13</v>
      </c>
      <c r="B242" s="238" t="s">
        <v>1003</v>
      </c>
      <c r="C242" s="238">
        <f>data!AZ68</f>
        <v>13</v>
      </c>
      <c r="D242" s="238">
        <f>data!BA68</f>
        <v>96404.62</v>
      </c>
      <c r="E242" s="238">
        <f>data!BB68</f>
        <v>0</v>
      </c>
      <c r="F242" s="238">
        <f>data!BC68</f>
        <v>0</v>
      </c>
      <c r="G242" s="238">
        <f>data!BD68</f>
        <v>3028.05</v>
      </c>
      <c r="H242" s="238">
        <f>data!BE68</f>
        <v>68056.09</v>
      </c>
      <c r="I242" s="238">
        <f>data!BF68</f>
        <v>130456.8</v>
      </c>
    </row>
    <row r="243" spans="1:9" ht="20.100000000000001" customHeight="1" x14ac:dyDescent="0.2">
      <c r="A243" s="230">
        <v>14</v>
      </c>
      <c r="B243" s="238" t="s">
        <v>1004</v>
      </c>
      <c r="C243" s="238">
        <f>data!AZ69</f>
        <v>40578.67</v>
      </c>
      <c r="D243" s="238">
        <f>data!BA69</f>
        <v>2150741.1399999997</v>
      </c>
      <c r="E243" s="238">
        <f>data!BB69</f>
        <v>0</v>
      </c>
      <c r="F243" s="238">
        <f>data!BC69</f>
        <v>0</v>
      </c>
      <c r="G243" s="238">
        <f>data!BD69</f>
        <v>707258.64</v>
      </c>
      <c r="H243" s="238">
        <f>data!BE69</f>
        <v>4975805.4399999995</v>
      </c>
      <c r="I243" s="238">
        <f>data!BF69</f>
        <v>1289890.4099999999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-2198874.67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-110648.23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1005</v>
      </c>
      <c r="C245" s="238">
        <f>data!AZ85</f>
        <v>873444.33000000007</v>
      </c>
      <c r="D245" s="238">
        <f>data!BA85</f>
        <v>2556171.4599999995</v>
      </c>
      <c r="E245" s="238">
        <f>data!BB85</f>
        <v>0</v>
      </c>
      <c r="F245" s="238">
        <f>data!BC85</f>
        <v>0</v>
      </c>
      <c r="G245" s="238">
        <f>data!BD85</f>
        <v>2438123.8199999998</v>
      </c>
      <c r="H245" s="238">
        <f>data!BE85</f>
        <v>16219450.85</v>
      </c>
      <c r="I245" s="238">
        <f>data!BF85</f>
        <v>7472363.8400000008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1006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1007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1008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1009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1010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1011</v>
      </c>
      <c r="C252" s="254">
        <f>data!AZ90</f>
        <v>5471</v>
      </c>
      <c r="D252" s="254">
        <f>data!BA90</f>
        <v>2626</v>
      </c>
      <c r="E252" s="254">
        <f>data!BB90</f>
        <v>0</v>
      </c>
      <c r="F252" s="254">
        <f>data!BC90</f>
        <v>0</v>
      </c>
      <c r="G252" s="254">
        <f>data!BD90</f>
        <v>6662</v>
      </c>
      <c r="H252" s="254">
        <f>data!BE90</f>
        <v>426711</v>
      </c>
      <c r="I252" s="254">
        <f>data!BF90</f>
        <v>1419</v>
      </c>
    </row>
    <row r="253" spans="1:9" ht="20.100000000000001" customHeight="1" x14ac:dyDescent="0.2">
      <c r="A253" s="230">
        <v>23</v>
      </c>
      <c r="B253" s="238" t="s">
        <v>1012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1013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1014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996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1042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 xml:space="preserve">Hospital: YAKIMA VALLEY MEMORIAL 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998</v>
      </c>
      <c r="C262" s="244" t="s">
        <v>1043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1044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1045</v>
      </c>
    </row>
    <row r="264" spans="1:9" ht="20.100000000000001" customHeight="1" x14ac:dyDescent="0.2">
      <c r="A264" s="230">
        <v>3</v>
      </c>
      <c r="B264" s="238" t="s">
        <v>1002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3.8</v>
      </c>
      <c r="D266" s="245">
        <f>data!BH60</f>
        <v>20</v>
      </c>
      <c r="E266" s="245">
        <f>data!BI60</f>
        <v>1</v>
      </c>
      <c r="F266" s="245">
        <f>data!BJ60</f>
        <v>7</v>
      </c>
      <c r="G266" s="245">
        <f>data!BK60</f>
        <v>54</v>
      </c>
      <c r="H266" s="245">
        <f>data!BL60</f>
        <v>49.9</v>
      </c>
      <c r="I266" s="245">
        <f>data!BM60</f>
        <v>5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212434.63</v>
      </c>
      <c r="D267" s="238">
        <f>data!BH61</f>
        <v>1892494.58</v>
      </c>
      <c r="E267" s="238">
        <f>data!BI61</f>
        <v>30170.720000000001</v>
      </c>
      <c r="F267" s="238">
        <f>data!BJ61</f>
        <v>701370.22</v>
      </c>
      <c r="G267" s="238">
        <f>data!BK61</f>
        <v>3392509.81</v>
      </c>
      <c r="H267" s="238">
        <f>data!BL61</f>
        <v>4212655.2</v>
      </c>
      <c r="I267" s="238">
        <f>data!BM61</f>
        <v>1174331.6499999999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61619</v>
      </c>
      <c r="D268" s="238">
        <f>data!BH62</f>
        <v>503477</v>
      </c>
      <c r="E268" s="238">
        <f>data!BI62</f>
        <v>6878</v>
      </c>
      <c r="F268" s="238">
        <f>data!BJ62</f>
        <v>178531</v>
      </c>
      <c r="G268" s="238">
        <f>data!BK62</f>
        <v>1011242</v>
      </c>
      <c r="H268" s="238">
        <f>data!BL62</f>
        <v>1256956</v>
      </c>
      <c r="I268" s="238">
        <f>data!BM62</f>
        <v>252284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33890.86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14107.63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287.83999999999997</v>
      </c>
      <c r="D270" s="238">
        <f>data!BH64</f>
        <v>497928.53</v>
      </c>
      <c r="E270" s="238">
        <f>data!BI64</f>
        <v>17595.740000000002</v>
      </c>
      <c r="F270" s="238">
        <f>data!BJ64</f>
        <v>4282.3999999999996</v>
      </c>
      <c r="G270" s="238">
        <f>data!BK64</f>
        <v>23491.87</v>
      </c>
      <c r="H270" s="238">
        <f>data!BL64</f>
        <v>57008.71</v>
      </c>
      <c r="I270" s="238">
        <f>data!BM64</f>
        <v>5572.57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127057.27</v>
      </c>
      <c r="D271" s="238">
        <f>data!BH65</f>
        <v>381794.18</v>
      </c>
      <c r="E271" s="238">
        <f>data!BI65</f>
        <v>4638.3</v>
      </c>
      <c r="F271" s="238">
        <f>data!BJ65</f>
        <v>0</v>
      </c>
      <c r="G271" s="238">
        <f>data!BK65</f>
        <v>459.87</v>
      </c>
      <c r="H271" s="238">
        <f>data!BL65</f>
        <v>8.3000000000000007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1669.06</v>
      </c>
      <c r="D272" s="238">
        <f>data!BH66</f>
        <v>367613.97</v>
      </c>
      <c r="E272" s="238">
        <f>data!BI66</f>
        <v>1903554.31</v>
      </c>
      <c r="F272" s="238">
        <f>data!BJ66</f>
        <v>1014509.37</v>
      </c>
      <c r="G272" s="238">
        <f>data!BK66</f>
        <v>1351287.8</v>
      </c>
      <c r="H272" s="238">
        <f>data!BL66</f>
        <v>1513085.08</v>
      </c>
      <c r="I272" s="238">
        <f>data!BM66</f>
        <v>305478.82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2685</v>
      </c>
      <c r="D273" s="238">
        <f>data!BH67</f>
        <v>160337</v>
      </c>
      <c r="E273" s="238">
        <f>data!BI67</f>
        <v>22113</v>
      </c>
      <c r="F273" s="238">
        <f>data!BJ67</f>
        <v>45328</v>
      </c>
      <c r="G273" s="238">
        <f>data!BK67</f>
        <v>117765</v>
      </c>
      <c r="H273" s="238">
        <f>data!BL67</f>
        <v>53985</v>
      </c>
      <c r="I273" s="238">
        <f>data!BM67</f>
        <v>30808</v>
      </c>
    </row>
    <row r="274" spans="1:9" ht="20.100000000000001" customHeight="1" x14ac:dyDescent="0.2">
      <c r="A274" s="230">
        <v>13</v>
      </c>
      <c r="B274" s="238" t="s">
        <v>1003</v>
      </c>
      <c r="C274" s="238">
        <f>data!BG68</f>
        <v>0</v>
      </c>
      <c r="D274" s="238">
        <f>data!BH68</f>
        <v>1138419.51</v>
      </c>
      <c r="E274" s="238">
        <f>data!BI68</f>
        <v>36622.99</v>
      </c>
      <c r="F274" s="238">
        <f>data!BJ68</f>
        <v>569.96</v>
      </c>
      <c r="G274" s="238">
        <f>data!BK68</f>
        <v>2211.7800000000002</v>
      </c>
      <c r="H274" s="238">
        <f>data!BL68</f>
        <v>7017.15</v>
      </c>
      <c r="I274" s="238">
        <f>data!BM68</f>
        <v>499.83</v>
      </c>
    </row>
    <row r="275" spans="1:9" ht="20.100000000000001" customHeight="1" x14ac:dyDescent="0.2">
      <c r="A275" s="230">
        <v>14</v>
      </c>
      <c r="B275" s="238" t="s">
        <v>1004</v>
      </c>
      <c r="C275" s="238">
        <f>data!BG69</f>
        <v>0</v>
      </c>
      <c r="D275" s="238">
        <f>data!BH69</f>
        <v>8061529.9600000009</v>
      </c>
      <c r="E275" s="238">
        <f>data!BI69</f>
        <v>659713.80900000001</v>
      </c>
      <c r="F275" s="238">
        <f>data!BJ69</f>
        <v>630730.15</v>
      </c>
      <c r="G275" s="238">
        <f>data!BK69</f>
        <v>228349.86</v>
      </c>
      <c r="H275" s="238">
        <f>data!BL69</f>
        <v>32386.010000000002</v>
      </c>
      <c r="I275" s="238">
        <f>data!BM69</f>
        <v>1095075.6200000001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-267616.64000000001</v>
      </c>
      <c r="E276" s="238">
        <f>-data!BI84</f>
        <v>-21632.400000000001</v>
      </c>
      <c r="F276" s="238">
        <f>-data!BJ84</f>
        <v>-83098.83</v>
      </c>
      <c r="G276" s="238">
        <f>-data!BK84</f>
        <v>0</v>
      </c>
      <c r="H276" s="238">
        <f>-data!BL84</f>
        <v>-220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1005</v>
      </c>
      <c r="C277" s="238">
        <f>data!BG85</f>
        <v>405752.80000000005</v>
      </c>
      <c r="D277" s="238">
        <f>data!BH85</f>
        <v>12769868.949999999</v>
      </c>
      <c r="E277" s="238">
        <f>data!BI85</f>
        <v>2659654.469</v>
      </c>
      <c r="F277" s="238">
        <f>data!BJ85</f>
        <v>2492222.27</v>
      </c>
      <c r="G277" s="238">
        <f>data!BK85</f>
        <v>6127317.9900000012</v>
      </c>
      <c r="H277" s="238">
        <f>data!BL85</f>
        <v>7132881.4500000002</v>
      </c>
      <c r="I277" s="238">
        <f>data!BM85</f>
        <v>2878158.12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1006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1007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1008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1009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1010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1011</v>
      </c>
      <c r="C284" s="254">
        <f>data!BG90</f>
        <v>196</v>
      </c>
      <c r="D284" s="254">
        <f>data!BH90</f>
        <v>6332</v>
      </c>
      <c r="E284" s="254">
        <f>data!BI90</f>
        <v>951</v>
      </c>
      <c r="F284" s="254">
        <f>data!BJ90</f>
        <v>3309</v>
      </c>
      <c r="G284" s="254">
        <f>data!BK90</f>
        <v>8597</v>
      </c>
      <c r="H284" s="254">
        <f>data!BL90</f>
        <v>3941</v>
      </c>
      <c r="I284" s="254">
        <f>data!BM90</f>
        <v>2249</v>
      </c>
    </row>
    <row r="285" spans="1:9" ht="20.100000000000001" customHeight="1" x14ac:dyDescent="0.2">
      <c r="A285" s="230">
        <v>23</v>
      </c>
      <c r="B285" s="238" t="s">
        <v>1012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1013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1014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996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1046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 xml:space="preserve">Hospital: YAKIMA VALLEY MEMORIAL 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998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1047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1002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6</v>
      </c>
      <c r="D298" s="245">
        <f>data!BO60</f>
        <v>0</v>
      </c>
      <c r="E298" s="245">
        <f>data!BP60</f>
        <v>1</v>
      </c>
      <c r="F298" s="245">
        <f>data!BQ60</f>
        <v>0</v>
      </c>
      <c r="G298" s="245">
        <f>data!BR60</f>
        <v>21.5</v>
      </c>
      <c r="H298" s="245">
        <f>data!BS60</f>
        <v>1</v>
      </c>
      <c r="I298" s="245">
        <f>data!BT60</f>
        <v>1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989543.67</v>
      </c>
      <c r="D299" s="238">
        <f>data!BO61</f>
        <v>0</v>
      </c>
      <c r="E299" s="238">
        <f>data!BP61</f>
        <v>74845.857999999993</v>
      </c>
      <c r="F299" s="238">
        <f>data!BQ61</f>
        <v>0</v>
      </c>
      <c r="G299" s="238">
        <f>data!BR61</f>
        <v>2074164.6</v>
      </c>
      <c r="H299" s="238">
        <f>data!BS61</f>
        <v>69012.960000000006</v>
      </c>
      <c r="I299" s="238">
        <f>data!BT61</f>
        <v>87013.8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248594</v>
      </c>
      <c r="D300" s="238">
        <f>data!BO62</f>
        <v>37</v>
      </c>
      <c r="E300" s="238">
        <f>data!BP62</f>
        <v>14977</v>
      </c>
      <c r="F300" s="238">
        <f>data!BQ62</f>
        <v>0</v>
      </c>
      <c r="G300" s="238">
        <f>data!BR62</f>
        <v>474490</v>
      </c>
      <c r="H300" s="238">
        <f>data!BS62</f>
        <v>19777</v>
      </c>
      <c r="I300" s="238">
        <f>data!BT62</f>
        <v>23453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1184210.67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21800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36941.18</v>
      </c>
      <c r="D302" s="238">
        <f>data!BO64</f>
        <v>4421.45</v>
      </c>
      <c r="E302" s="238">
        <f>data!BP64</f>
        <v>1155</v>
      </c>
      <c r="F302" s="238">
        <f>data!BQ64</f>
        <v>0</v>
      </c>
      <c r="G302" s="238">
        <f>data!BR64</f>
        <v>6017.33</v>
      </c>
      <c r="H302" s="238">
        <f>data!BS64</f>
        <v>1560</v>
      </c>
      <c r="I302" s="238">
        <f>data!BT64</f>
        <v>6.85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12845.4</v>
      </c>
      <c r="D303" s="238">
        <f>data!BO65</f>
        <v>4222.74</v>
      </c>
      <c r="E303" s="238">
        <f>data!BP65</f>
        <v>5511.74</v>
      </c>
      <c r="F303" s="238">
        <f>data!BQ65</f>
        <v>0</v>
      </c>
      <c r="G303" s="238">
        <f>data!BR65</f>
        <v>780.96</v>
      </c>
      <c r="H303" s="238">
        <f>data!BS65</f>
        <v>0</v>
      </c>
      <c r="I303" s="238">
        <f>data!BT65</f>
        <v>592.29999999999995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2748021.73</v>
      </c>
      <c r="D304" s="238">
        <f>data!BO66</f>
        <v>289600.90000000002</v>
      </c>
      <c r="E304" s="238">
        <f>data!BP66</f>
        <v>100136.76</v>
      </c>
      <c r="F304" s="238">
        <f>data!BQ66</f>
        <v>0</v>
      </c>
      <c r="G304" s="238">
        <f>data!BR66</f>
        <v>837295.16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146095</v>
      </c>
      <c r="D305" s="238">
        <f>data!BO67</f>
        <v>34438</v>
      </c>
      <c r="E305" s="238">
        <f>data!BP67</f>
        <v>50711</v>
      </c>
      <c r="F305" s="238">
        <f>data!BQ67</f>
        <v>0</v>
      </c>
      <c r="G305" s="238">
        <f>data!BR67</f>
        <v>48629</v>
      </c>
      <c r="H305" s="238">
        <f>data!BS67</f>
        <v>6931</v>
      </c>
      <c r="I305" s="238">
        <f>data!BT67</f>
        <v>4096</v>
      </c>
    </row>
    <row r="306" spans="1:9" ht="20.100000000000001" customHeight="1" x14ac:dyDescent="0.2">
      <c r="A306" s="230">
        <v>13</v>
      </c>
      <c r="B306" s="238" t="s">
        <v>1003</v>
      </c>
      <c r="C306" s="238">
        <f>data!BN68</f>
        <v>18050.330000000002</v>
      </c>
      <c r="D306" s="238">
        <f>data!BO68</f>
        <v>49566.69</v>
      </c>
      <c r="E306" s="238">
        <f>data!BP68</f>
        <v>150.11000000000001</v>
      </c>
      <c r="F306" s="238">
        <f>data!BQ68</f>
        <v>0</v>
      </c>
      <c r="G306" s="238">
        <f>data!BR68</f>
        <v>201028.98</v>
      </c>
      <c r="H306" s="238">
        <f>data!BS68</f>
        <v>120.37</v>
      </c>
      <c r="I306" s="238">
        <f>data!BT68</f>
        <v>19.309999999999999</v>
      </c>
    </row>
    <row r="307" spans="1:9" ht="20.100000000000001" customHeight="1" x14ac:dyDescent="0.2">
      <c r="A307" s="230">
        <v>14</v>
      </c>
      <c r="B307" s="238" t="s">
        <v>1004</v>
      </c>
      <c r="C307" s="238">
        <f>data!BN69</f>
        <v>390930.74</v>
      </c>
      <c r="D307" s="238">
        <f>data!BO69</f>
        <v>74151.73000000001</v>
      </c>
      <c r="E307" s="238">
        <f>data!BP69</f>
        <v>267574.3</v>
      </c>
      <c r="F307" s="238">
        <f>data!BQ69</f>
        <v>0</v>
      </c>
      <c r="G307" s="238">
        <f>data!BR69</f>
        <v>1168435.52</v>
      </c>
      <c r="H307" s="238">
        <f>data!BS69</f>
        <v>17961.38</v>
      </c>
      <c r="I307" s="238">
        <f>data!BT69</f>
        <v>372.40000000000003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-1303085.2</v>
      </c>
      <c r="D308" s="238">
        <f>-data!BO84</f>
        <v>-5791.1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1005</v>
      </c>
      <c r="C309" s="238">
        <f>data!BN85</f>
        <v>4472147.5200000005</v>
      </c>
      <c r="D309" s="238">
        <f>data!BO85</f>
        <v>450647.41000000003</v>
      </c>
      <c r="E309" s="238">
        <f>data!BP85</f>
        <v>515061.76799999998</v>
      </c>
      <c r="F309" s="238">
        <f>data!BQ85</f>
        <v>0</v>
      </c>
      <c r="G309" s="238">
        <f>data!BR85</f>
        <v>4832641.5500000007</v>
      </c>
      <c r="H309" s="238">
        <f>data!BS85</f>
        <v>115362.71</v>
      </c>
      <c r="I309" s="238">
        <f>data!BT85</f>
        <v>115553.66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1006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1007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1008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1009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1010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1011</v>
      </c>
      <c r="C316" s="254">
        <f>data!BN90</f>
        <v>1905</v>
      </c>
      <c r="D316" s="254">
        <f>data!BO90</f>
        <v>2514</v>
      </c>
      <c r="E316" s="254">
        <f>data!BP90</f>
        <v>3702</v>
      </c>
      <c r="F316" s="254">
        <f>data!BQ90</f>
        <v>0</v>
      </c>
      <c r="G316" s="254">
        <f>data!BR90</f>
        <v>3550</v>
      </c>
      <c r="H316" s="254">
        <f>data!BS90</f>
        <v>506</v>
      </c>
      <c r="I316" s="254">
        <f>data!BT90</f>
        <v>299</v>
      </c>
    </row>
    <row r="317" spans="1:9" ht="20.100000000000001" customHeight="1" x14ac:dyDescent="0.2">
      <c r="A317" s="230">
        <v>23</v>
      </c>
      <c r="B317" s="238" t="s">
        <v>1012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1013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1014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996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1048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 xml:space="preserve">Hospital: YAKIMA VALLEY MEMORIAL 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998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1047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1002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54.3</v>
      </c>
      <c r="E330" s="245">
        <f>data!BW60</f>
        <v>3</v>
      </c>
      <c r="F330" s="245">
        <f>data!BX60</f>
        <v>45.7</v>
      </c>
      <c r="G330" s="245">
        <f>data!BY60</f>
        <v>10.6</v>
      </c>
      <c r="H330" s="245">
        <f>data!BZ60</f>
        <v>41.25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3316024.44</v>
      </c>
      <c r="E331" s="257">
        <f>data!BW61</f>
        <v>253959.57</v>
      </c>
      <c r="F331" s="257">
        <f>data!BX61</f>
        <v>5841517.9299999997</v>
      </c>
      <c r="G331" s="257">
        <f>data!BY61</f>
        <v>1385266.99</v>
      </c>
      <c r="H331" s="257">
        <f>data!BZ61</f>
        <v>1760467.19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1023740</v>
      </c>
      <c r="E332" s="257">
        <f>data!BW62</f>
        <v>168820</v>
      </c>
      <c r="F332" s="257">
        <f>data!BX62</f>
        <v>1221681</v>
      </c>
      <c r="G332" s="257">
        <f>data!BY62</f>
        <v>315360</v>
      </c>
      <c r="H332" s="257">
        <f>data!BZ62</f>
        <v>545212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81081.759999999995</v>
      </c>
      <c r="F333" s="257">
        <f>data!BX63</f>
        <v>61521.82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852.26</v>
      </c>
      <c r="E334" s="257">
        <f>data!BW64</f>
        <v>22718.12</v>
      </c>
      <c r="F334" s="257">
        <f>data!BX64</f>
        <v>31623.86</v>
      </c>
      <c r="G334" s="257">
        <f>data!BY64</f>
        <v>1701.58</v>
      </c>
      <c r="H334" s="257">
        <f>data!BZ64</f>
        <v>5452.95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459.92</v>
      </c>
      <c r="E335" s="257">
        <f>data!BW65</f>
        <v>0</v>
      </c>
      <c r="F335" s="257">
        <f>data!BX65</f>
        <v>5535.8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1627479.6</v>
      </c>
      <c r="E336" s="257">
        <f>data!BW66</f>
        <v>97780.27</v>
      </c>
      <c r="F336" s="257">
        <f>data!BX66</f>
        <v>3966454.23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50711</v>
      </c>
      <c r="E337" s="257">
        <f>data!BW67</f>
        <v>23794</v>
      </c>
      <c r="F337" s="257">
        <f>data!BX67</f>
        <v>79957</v>
      </c>
      <c r="G337" s="257">
        <f>data!BY67</f>
        <v>0</v>
      </c>
      <c r="H337" s="257">
        <f>data!BZ67</f>
        <v>2164</v>
      </c>
      <c r="I337" s="257">
        <f>data!CA67</f>
        <v>5794</v>
      </c>
    </row>
    <row r="338" spans="1:9" ht="20.100000000000001" customHeight="1" x14ac:dyDescent="0.2">
      <c r="A338" s="230">
        <v>13</v>
      </c>
      <c r="B338" s="238" t="s">
        <v>1003</v>
      </c>
      <c r="C338" s="257">
        <f>data!BU68</f>
        <v>0</v>
      </c>
      <c r="D338" s="257">
        <f>data!BV68</f>
        <v>55540.26</v>
      </c>
      <c r="E338" s="257">
        <f>data!BW68</f>
        <v>957.36</v>
      </c>
      <c r="F338" s="257">
        <f>data!BX68</f>
        <v>32539.77</v>
      </c>
      <c r="G338" s="257">
        <f>data!BY68</f>
        <v>22.9</v>
      </c>
      <c r="H338" s="257">
        <f>data!BZ68</f>
        <v>29.26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1004</v>
      </c>
      <c r="C339" s="257">
        <f>data!BU69</f>
        <v>0</v>
      </c>
      <c r="D339" s="257">
        <f>data!BV69</f>
        <v>-117860.68</v>
      </c>
      <c r="E339" s="257">
        <f>data!BW69</f>
        <v>2550686.7600000007</v>
      </c>
      <c r="F339" s="257">
        <f>data!BX69</f>
        <v>479762.03</v>
      </c>
      <c r="G339" s="257">
        <f>data!BY69</f>
        <v>115442.26000000001</v>
      </c>
      <c r="H339" s="257">
        <f>data!BZ69</f>
        <v>147081.99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-13683.54</v>
      </c>
      <c r="E340" s="238">
        <f>-data!BW84</f>
        <v>-162311</v>
      </c>
      <c r="F340" s="238">
        <f>-data!BX84</f>
        <v>-1520.95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1005</v>
      </c>
      <c r="C341" s="238">
        <f>data!BU85</f>
        <v>0</v>
      </c>
      <c r="D341" s="238">
        <f>data!BV85</f>
        <v>5943263.2599999988</v>
      </c>
      <c r="E341" s="238">
        <f>data!BW85</f>
        <v>3037486.8400000008</v>
      </c>
      <c r="F341" s="238">
        <f>data!BX85</f>
        <v>11719072.49</v>
      </c>
      <c r="G341" s="238">
        <f>data!BY85</f>
        <v>1817793.73</v>
      </c>
      <c r="H341" s="238">
        <f>data!BZ85</f>
        <v>2460407.3899999997</v>
      </c>
      <c r="I341" s="238">
        <f>data!CA85</f>
        <v>5794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1006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1007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1008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1009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1010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1011</v>
      </c>
      <c r="C348" s="254">
        <f>data!BU90</f>
        <v>0</v>
      </c>
      <c r="D348" s="254">
        <f>data!BV90</f>
        <v>3702</v>
      </c>
      <c r="E348" s="254">
        <f>data!BW90</f>
        <v>1737</v>
      </c>
      <c r="F348" s="254">
        <f>data!BX90</f>
        <v>5837</v>
      </c>
      <c r="G348" s="254">
        <f>data!BY90</f>
        <v>0</v>
      </c>
      <c r="H348" s="254">
        <f>data!BZ90</f>
        <v>158</v>
      </c>
      <c r="I348" s="254">
        <f>data!CA90</f>
        <v>423</v>
      </c>
    </row>
    <row r="349" spans="1:9" ht="20.100000000000001" customHeight="1" x14ac:dyDescent="0.2">
      <c r="A349" s="230">
        <v>23</v>
      </c>
      <c r="B349" s="238" t="s">
        <v>1012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1013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1014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996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1049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 xml:space="preserve">Hospital: YAKIMA VALLEY MEMORIAL 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998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1050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1002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71.575000000000003</v>
      </c>
      <c r="E362" s="260"/>
      <c r="F362" s="248"/>
      <c r="G362" s="248"/>
      <c r="H362" s="248"/>
      <c r="I362" s="261">
        <f>data!CE60</f>
        <v>2238.1349999999993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7366272.5700000003</v>
      </c>
      <c r="E363" s="262"/>
      <c r="F363" s="262"/>
      <c r="G363" s="262"/>
      <c r="H363" s="262"/>
      <c r="I363" s="257">
        <f>data!CE61</f>
        <v>274380747.06800008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-4570277</v>
      </c>
      <c r="E364" s="262"/>
      <c r="F364" s="262"/>
      <c r="G364" s="262"/>
      <c r="H364" s="262"/>
      <c r="I364" s="257">
        <f>data!CE62</f>
        <v>47285978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504001.1</v>
      </c>
      <c r="E365" s="262"/>
      <c r="F365" s="262"/>
      <c r="G365" s="262"/>
      <c r="H365" s="262"/>
      <c r="I365" s="257">
        <f>data!CE63</f>
        <v>37000543.760000005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-72602</v>
      </c>
      <c r="E366" s="262"/>
      <c r="F366" s="262"/>
      <c r="G366" s="262"/>
      <c r="H366" s="262"/>
      <c r="I366" s="257">
        <f>data!CE64</f>
        <v>125379790.26000001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378732.25</v>
      </c>
      <c r="E367" s="262"/>
      <c r="F367" s="262"/>
      <c r="G367" s="262"/>
      <c r="H367" s="262"/>
      <c r="I367" s="257">
        <f>data!CE65</f>
        <v>3967004.7699999996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2687744.92</v>
      </c>
      <c r="E368" s="262"/>
      <c r="F368" s="262"/>
      <c r="G368" s="262"/>
      <c r="H368" s="262"/>
      <c r="I368" s="257">
        <f>data!CE66</f>
        <v>36491295.439999998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660758</v>
      </c>
      <c r="E369" s="262"/>
      <c r="F369" s="262"/>
      <c r="G369" s="262"/>
      <c r="H369" s="262"/>
      <c r="I369" s="257">
        <f>data!CE67</f>
        <v>17106907</v>
      </c>
    </row>
    <row r="370" spans="1:9" ht="20.100000000000001" customHeight="1" x14ac:dyDescent="0.2">
      <c r="A370" s="230">
        <v>13</v>
      </c>
      <c r="B370" s="238" t="s">
        <v>1003</v>
      </c>
      <c r="C370" s="257">
        <f>data!CB68</f>
        <v>0</v>
      </c>
      <c r="D370" s="257">
        <f>data!CC68</f>
        <v>503934.44</v>
      </c>
      <c r="E370" s="262"/>
      <c r="F370" s="262"/>
      <c r="G370" s="262"/>
      <c r="H370" s="262"/>
      <c r="I370" s="257">
        <f>data!CE68</f>
        <v>11134988.179</v>
      </c>
    </row>
    <row r="371" spans="1:9" ht="20.100000000000001" customHeight="1" x14ac:dyDescent="0.2">
      <c r="A371" s="230">
        <v>14</v>
      </c>
      <c r="B371" s="238" t="s">
        <v>1004</v>
      </c>
      <c r="C371" s="257">
        <f>data!CB69</f>
        <v>0</v>
      </c>
      <c r="D371" s="257">
        <f>data!CC69</f>
        <v>27602581.859999999</v>
      </c>
      <c r="E371" s="257">
        <f>data!CD69</f>
        <v>11239366.02</v>
      </c>
      <c r="F371" s="262"/>
      <c r="G371" s="262"/>
      <c r="H371" s="262"/>
      <c r="I371" s="257">
        <f>data!CE69</f>
        <v>90045139.05399999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-4274452.49</v>
      </c>
      <c r="E372" s="238">
        <f>-data!CD84</f>
        <v>-2082898.74</v>
      </c>
      <c r="F372" s="248"/>
      <c r="G372" s="248"/>
      <c r="H372" s="248"/>
      <c r="I372" s="238">
        <f>-data!CE84</f>
        <v>-19211691.149999995</v>
      </c>
    </row>
    <row r="373" spans="1:9" ht="20.100000000000001" customHeight="1" x14ac:dyDescent="0.2">
      <c r="A373" s="230">
        <v>16</v>
      </c>
      <c r="B373" s="246" t="s">
        <v>1005</v>
      </c>
      <c r="C373" s="257">
        <f>data!CB85</f>
        <v>0</v>
      </c>
      <c r="D373" s="257">
        <f>data!CC85</f>
        <v>30786693.649999999</v>
      </c>
      <c r="E373" s="257">
        <f>data!CD85</f>
        <v>9156467.2799999993</v>
      </c>
      <c r="F373" s="262"/>
      <c r="G373" s="262"/>
      <c r="H373" s="262"/>
      <c r="I373" s="238">
        <f>data!CE85</f>
        <v>623580702.3809998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1006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1007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609660807.88999999</v>
      </c>
    </row>
    <row r="377" spans="1:9" ht="20.100000000000001" customHeight="1" x14ac:dyDescent="0.2">
      <c r="A377" s="230">
        <v>20</v>
      </c>
      <c r="B377" s="246" t="s">
        <v>1008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1438532089.4799998</v>
      </c>
    </row>
    <row r="378" spans="1:9" ht="20.100000000000001" customHeight="1" x14ac:dyDescent="0.2">
      <c r="A378" s="230">
        <v>21</v>
      </c>
      <c r="B378" s="246" t="s">
        <v>1009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2048192897.3699999</v>
      </c>
    </row>
    <row r="379" spans="1:9" ht="20.100000000000001" customHeight="1" x14ac:dyDescent="0.2">
      <c r="A379" s="230" t="s">
        <v>1010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1011</v>
      </c>
      <c r="C380" s="254">
        <f>data!CB90</f>
        <v>0</v>
      </c>
      <c r="D380" s="254">
        <f>data!CC90</f>
        <v>44402</v>
      </c>
      <c r="E380" s="248"/>
      <c r="F380" s="248"/>
      <c r="G380" s="248"/>
      <c r="H380" s="248"/>
      <c r="I380" s="238">
        <f>data!CE90</f>
        <v>1060925</v>
      </c>
    </row>
    <row r="381" spans="1:9" ht="20.100000000000001" customHeight="1" x14ac:dyDescent="0.2">
      <c r="A381" s="230">
        <v>23</v>
      </c>
      <c r="B381" s="238" t="s">
        <v>1012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153923</v>
      </c>
    </row>
    <row r="382" spans="1:9" ht="20.100000000000001" customHeight="1" x14ac:dyDescent="0.2">
      <c r="A382" s="230">
        <v>24</v>
      </c>
      <c r="B382" s="238" t="s">
        <v>1013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99632</v>
      </c>
    </row>
    <row r="383" spans="1:9" ht="20.100000000000001" customHeight="1" x14ac:dyDescent="0.2">
      <c r="A383" s="230">
        <v>25</v>
      </c>
      <c r="B383" s="238" t="s">
        <v>1014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1594844.26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480.40000000000003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385" transitionEvaluation="1" transitionEntry="1" codeName="Sheet1">
    <tabColor rgb="FF92D050"/>
    <pageSetUpPr autoPageBreaks="0" fitToPage="1"/>
  </sheetPr>
  <dimension ref="A1:CF716"/>
  <sheetViews>
    <sheetView topLeftCell="A385" zoomScaleNormal="100" workbookViewId="0">
      <selection activeCell="C418" sqref="C41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1051</v>
      </c>
    </row>
    <row r="6" spans="1:3" x14ac:dyDescent="0.25">
      <c r="A6" s="11" t="s">
        <v>1052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1053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1054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</row>
    <row r="48" spans="1:83" x14ac:dyDescent="0.25">
      <c r="A48" s="25" t="s">
        <v>231</v>
      </c>
      <c r="B48" s="272">
        <v>53384198.240000002</v>
      </c>
      <c r="C48" s="25">
        <v>1222630</v>
      </c>
      <c r="D48" s="25">
        <v>0</v>
      </c>
      <c r="E48" s="25">
        <v>4678863</v>
      </c>
      <c r="F48" s="25">
        <v>987707</v>
      </c>
      <c r="G48" s="25">
        <v>0</v>
      </c>
      <c r="H48" s="25">
        <v>913237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1116802</v>
      </c>
      <c r="P48" s="25">
        <v>2042359</v>
      </c>
      <c r="Q48" s="25">
        <v>714849</v>
      </c>
      <c r="R48" s="25">
        <v>47499</v>
      </c>
      <c r="S48" s="25">
        <v>259015</v>
      </c>
      <c r="T48" s="25">
        <v>256355</v>
      </c>
      <c r="U48" s="25">
        <v>1113162</v>
      </c>
      <c r="V48" s="25">
        <v>22803</v>
      </c>
      <c r="W48" s="25">
        <v>263895</v>
      </c>
      <c r="X48" s="25">
        <v>343565</v>
      </c>
      <c r="Y48" s="25">
        <v>1450753</v>
      </c>
      <c r="Z48" s="25">
        <v>293833</v>
      </c>
      <c r="AA48" s="25">
        <v>116250</v>
      </c>
      <c r="AB48" s="25">
        <v>1300699</v>
      </c>
      <c r="AC48" s="25">
        <v>417211</v>
      </c>
      <c r="AD48" s="25">
        <v>0</v>
      </c>
      <c r="AE48" s="25">
        <v>591585</v>
      </c>
      <c r="AF48" s="25">
        <v>0</v>
      </c>
      <c r="AG48" s="25">
        <v>2148939</v>
      </c>
      <c r="AH48" s="25">
        <v>0</v>
      </c>
      <c r="AI48" s="25">
        <v>0</v>
      </c>
      <c r="AJ48" s="25">
        <v>1597391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15024227</v>
      </c>
      <c r="AQ48" s="25">
        <v>0</v>
      </c>
      <c r="AR48" s="25">
        <v>1748844</v>
      </c>
      <c r="AS48" s="25">
        <v>0</v>
      </c>
      <c r="AT48" s="25">
        <v>0</v>
      </c>
      <c r="AU48" s="25">
        <v>0</v>
      </c>
      <c r="AV48" s="25">
        <v>4836991</v>
      </c>
      <c r="AW48" s="25">
        <v>0</v>
      </c>
      <c r="AX48" s="25">
        <v>0</v>
      </c>
      <c r="AY48" s="25">
        <v>393707</v>
      </c>
      <c r="AZ48" s="25">
        <v>230004</v>
      </c>
      <c r="BA48" s="25">
        <v>23498</v>
      </c>
      <c r="BB48" s="25">
        <v>0</v>
      </c>
      <c r="BC48" s="25">
        <v>0</v>
      </c>
      <c r="BD48" s="25">
        <v>244215</v>
      </c>
      <c r="BE48" s="25">
        <v>303889</v>
      </c>
      <c r="BF48" s="25">
        <v>565445</v>
      </c>
      <c r="BG48" s="25">
        <v>29867</v>
      </c>
      <c r="BH48" s="25">
        <v>436711</v>
      </c>
      <c r="BI48" s="25">
        <v>2655</v>
      </c>
      <c r="BJ48" s="25">
        <v>162773</v>
      </c>
      <c r="BK48" s="25">
        <v>738527</v>
      </c>
      <c r="BL48" s="25">
        <v>600240</v>
      </c>
      <c r="BM48" s="25">
        <v>215600</v>
      </c>
      <c r="BN48" s="25">
        <v>809103</v>
      </c>
      <c r="BO48" s="25">
        <v>76806</v>
      </c>
      <c r="BP48" s="25">
        <v>39621</v>
      </c>
      <c r="BQ48" s="25">
        <v>0</v>
      </c>
      <c r="BR48" s="25">
        <v>531191</v>
      </c>
      <c r="BS48" s="25">
        <v>16753</v>
      </c>
      <c r="BT48" s="25">
        <v>34924</v>
      </c>
      <c r="BU48" s="25">
        <v>0</v>
      </c>
      <c r="BV48" s="25">
        <v>736709</v>
      </c>
      <c r="BW48" s="25">
        <v>56763</v>
      </c>
      <c r="BX48" s="25">
        <v>1266768</v>
      </c>
      <c r="BY48" s="25">
        <v>248829</v>
      </c>
      <c r="BZ48" s="25">
        <v>240334</v>
      </c>
      <c r="CA48" s="25">
        <v>56190</v>
      </c>
      <c r="CB48" s="25">
        <v>0</v>
      </c>
      <c r="CC48" s="25">
        <v>1813613</v>
      </c>
      <c r="CD48" s="25" t="s">
        <v>1055</v>
      </c>
      <c r="CE48" s="25" t="s">
        <v>1055</v>
      </c>
    </row>
    <row r="49" spans="1:83" x14ac:dyDescent="0.25">
      <c r="A49" s="16" t="s">
        <v>232</v>
      </c>
      <c r="B49" s="25">
        <v>53384198.240000002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</row>
    <row r="52" spans="1:83" x14ac:dyDescent="0.25">
      <c r="A52" s="31" t="s">
        <v>234</v>
      </c>
      <c r="B52" s="328">
        <v>21976671.309999999</v>
      </c>
      <c r="C52" s="25">
        <v>235284</v>
      </c>
      <c r="D52" s="25">
        <v>0</v>
      </c>
      <c r="E52" s="25">
        <v>1318542</v>
      </c>
      <c r="F52" s="25">
        <v>388508</v>
      </c>
      <c r="G52" s="25">
        <v>0</v>
      </c>
      <c r="H52" s="25">
        <v>276284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219560</v>
      </c>
      <c r="P52" s="25">
        <v>883896</v>
      </c>
      <c r="Q52" s="25">
        <v>64824</v>
      </c>
      <c r="R52" s="25">
        <v>12969</v>
      </c>
      <c r="S52" s="25">
        <v>711488</v>
      </c>
      <c r="T52" s="25">
        <v>6049</v>
      </c>
      <c r="U52" s="25">
        <v>244897</v>
      </c>
      <c r="V52" s="25">
        <v>4682</v>
      </c>
      <c r="W52" s="25">
        <v>47152</v>
      </c>
      <c r="X52" s="25">
        <v>49535</v>
      </c>
      <c r="Y52" s="25">
        <v>837925</v>
      </c>
      <c r="Z52" s="25">
        <v>263004</v>
      </c>
      <c r="AA52" s="25">
        <v>47401</v>
      </c>
      <c r="AB52" s="25">
        <v>213449</v>
      </c>
      <c r="AC52" s="25">
        <v>63726</v>
      </c>
      <c r="AD52" s="25">
        <v>5531</v>
      </c>
      <c r="AE52" s="25">
        <v>228531</v>
      </c>
      <c r="AF52" s="25">
        <v>0</v>
      </c>
      <c r="AG52" s="25">
        <v>427684</v>
      </c>
      <c r="AH52" s="25">
        <v>0</v>
      </c>
      <c r="AI52" s="25">
        <v>0</v>
      </c>
      <c r="AJ52" s="25">
        <v>351818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3583028</v>
      </c>
      <c r="AQ52" s="25">
        <v>0</v>
      </c>
      <c r="AR52" s="25">
        <v>541235</v>
      </c>
      <c r="AS52" s="25">
        <v>0</v>
      </c>
      <c r="AT52" s="25">
        <v>0</v>
      </c>
      <c r="AU52" s="25">
        <v>0</v>
      </c>
      <c r="AV52" s="25">
        <v>225568</v>
      </c>
      <c r="AW52" s="25">
        <v>0</v>
      </c>
      <c r="AX52" s="25">
        <v>0</v>
      </c>
      <c r="AY52" s="25">
        <v>137375</v>
      </c>
      <c r="AZ52" s="25">
        <v>113343</v>
      </c>
      <c r="BA52" s="25">
        <v>54403</v>
      </c>
      <c r="BB52" s="25">
        <v>0</v>
      </c>
      <c r="BC52" s="25">
        <v>0</v>
      </c>
      <c r="BD52" s="25">
        <v>138018</v>
      </c>
      <c r="BE52" s="25">
        <v>8840228</v>
      </c>
      <c r="BF52" s="25">
        <v>29398</v>
      </c>
      <c r="BG52" s="25">
        <v>4061</v>
      </c>
      <c r="BH52" s="25">
        <v>131181</v>
      </c>
      <c r="BI52" s="25">
        <v>19702</v>
      </c>
      <c r="BJ52" s="25">
        <v>68553</v>
      </c>
      <c r="BK52" s="25">
        <v>175453</v>
      </c>
      <c r="BL52" s="25">
        <v>81646</v>
      </c>
      <c r="BM52" s="25">
        <v>46593</v>
      </c>
      <c r="BN52" s="25">
        <v>36524</v>
      </c>
      <c r="BO52" s="25">
        <v>52083</v>
      </c>
      <c r="BP52" s="25">
        <v>76695</v>
      </c>
      <c r="BQ52" s="25">
        <v>0</v>
      </c>
      <c r="BR52" s="25">
        <v>73546</v>
      </c>
      <c r="BS52" s="25">
        <v>10483</v>
      </c>
      <c r="BT52" s="25">
        <v>6194</v>
      </c>
      <c r="BU52" s="25">
        <v>0</v>
      </c>
      <c r="BV52" s="25">
        <v>76695</v>
      </c>
      <c r="BW52" s="25">
        <v>35986</v>
      </c>
      <c r="BX52" s="25">
        <v>88131</v>
      </c>
      <c r="BY52" s="25">
        <v>6215</v>
      </c>
      <c r="BZ52" s="25">
        <v>8763</v>
      </c>
      <c r="CA52" s="25">
        <v>32795</v>
      </c>
      <c r="CB52" s="25">
        <v>0</v>
      </c>
      <c r="CC52" s="25">
        <v>380035</v>
      </c>
      <c r="CD52" s="25" t="s">
        <v>1055</v>
      </c>
      <c r="CE52" s="25" t="s">
        <v>1055</v>
      </c>
    </row>
    <row r="53" spans="1:83" x14ac:dyDescent="0.25">
      <c r="A53" s="16" t="s">
        <v>232</v>
      </c>
      <c r="B53" s="25">
        <v>21976671.309999999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184130</v>
      </c>
      <c r="AZ59" s="329">
        <v>214032</v>
      </c>
      <c r="BA59" s="330">
        <v>0</v>
      </c>
      <c r="BB59" s="330">
        <v>0</v>
      </c>
      <c r="BC59" s="330">
        <v>0</v>
      </c>
      <c r="BD59" s="330">
        <v>0</v>
      </c>
      <c r="BE59" s="329">
        <v>1060797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47.48</v>
      </c>
      <c r="D60" s="277">
        <v>0</v>
      </c>
      <c r="E60" s="277">
        <v>242.95</v>
      </c>
      <c r="F60" s="277">
        <v>42.38</v>
      </c>
      <c r="G60" s="277">
        <v>0</v>
      </c>
      <c r="H60" s="277">
        <v>36.799999999999997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48.87</v>
      </c>
      <c r="P60" s="332">
        <v>105.59</v>
      </c>
      <c r="Q60" s="332">
        <v>30.89</v>
      </c>
      <c r="R60" s="332">
        <v>2.42</v>
      </c>
      <c r="S60" s="278">
        <v>21.76</v>
      </c>
      <c r="T60" s="278">
        <v>9.4</v>
      </c>
      <c r="U60" s="333">
        <v>73.599999999999994</v>
      </c>
      <c r="V60" s="332">
        <v>2.2200000000000002</v>
      </c>
      <c r="W60" s="332">
        <v>11.01</v>
      </c>
      <c r="X60" s="332">
        <v>15.89</v>
      </c>
      <c r="Y60" s="332">
        <v>73.739999999999995</v>
      </c>
      <c r="Z60" s="332">
        <v>11.84</v>
      </c>
      <c r="AA60" s="332">
        <v>5.24</v>
      </c>
      <c r="AB60" s="278">
        <v>62.23</v>
      </c>
      <c r="AC60" s="332">
        <v>18</v>
      </c>
      <c r="AD60" s="332">
        <v>0</v>
      </c>
      <c r="AE60" s="332">
        <v>25.96</v>
      </c>
      <c r="AF60" s="332">
        <v>0</v>
      </c>
      <c r="AG60" s="332">
        <v>104.36</v>
      </c>
      <c r="AH60" s="332">
        <v>0</v>
      </c>
      <c r="AI60" s="332">
        <v>0</v>
      </c>
      <c r="AJ60" s="332">
        <v>66.16</v>
      </c>
      <c r="AK60" s="332">
        <v>0</v>
      </c>
      <c r="AL60" s="332">
        <v>0</v>
      </c>
      <c r="AM60" s="332">
        <v>0</v>
      </c>
      <c r="AN60" s="332">
        <v>0</v>
      </c>
      <c r="AO60" s="332">
        <v>0</v>
      </c>
      <c r="AP60" s="332">
        <v>390.48</v>
      </c>
      <c r="AQ60" s="332">
        <v>0</v>
      </c>
      <c r="AR60" s="332">
        <v>78.63</v>
      </c>
      <c r="AS60" s="332">
        <v>0</v>
      </c>
      <c r="AT60" s="332">
        <v>0</v>
      </c>
      <c r="AU60" s="332">
        <v>0</v>
      </c>
      <c r="AV60" s="278">
        <v>130.38999999999999</v>
      </c>
      <c r="AW60" s="278">
        <v>0</v>
      </c>
      <c r="AX60" s="278">
        <v>0</v>
      </c>
      <c r="AY60" s="332">
        <v>34.57</v>
      </c>
      <c r="AZ60" s="332">
        <v>23.8</v>
      </c>
      <c r="BA60" s="278">
        <v>2.68</v>
      </c>
      <c r="BB60" s="278">
        <v>0</v>
      </c>
      <c r="BC60" s="278">
        <v>0</v>
      </c>
      <c r="BD60" s="278">
        <v>19.36</v>
      </c>
      <c r="BE60" s="332">
        <v>20.11</v>
      </c>
      <c r="BF60" s="278">
        <v>65.89</v>
      </c>
      <c r="BG60" s="278">
        <v>3.29</v>
      </c>
      <c r="BH60" s="278">
        <v>23.03</v>
      </c>
      <c r="BI60" s="278">
        <v>0.36</v>
      </c>
      <c r="BJ60" s="278">
        <v>9.68</v>
      </c>
      <c r="BK60" s="278">
        <v>63.8</v>
      </c>
      <c r="BL60" s="278">
        <v>53.56</v>
      </c>
      <c r="BM60" s="278">
        <v>8.89</v>
      </c>
      <c r="BN60" s="278">
        <v>8.74</v>
      </c>
      <c r="BO60" s="278">
        <v>3.69</v>
      </c>
      <c r="BP60" s="278">
        <v>1.78</v>
      </c>
      <c r="BQ60" s="278">
        <v>0</v>
      </c>
      <c r="BR60" s="278">
        <v>23.2</v>
      </c>
      <c r="BS60" s="278">
        <v>1</v>
      </c>
      <c r="BT60" s="278">
        <v>2.1800000000000002</v>
      </c>
      <c r="BU60" s="278">
        <v>0</v>
      </c>
      <c r="BV60" s="278">
        <v>59.54</v>
      </c>
      <c r="BW60" s="278">
        <v>3.46</v>
      </c>
      <c r="BX60" s="278">
        <v>53.61</v>
      </c>
      <c r="BY60" s="278">
        <v>11.77</v>
      </c>
      <c r="BZ60" s="278">
        <v>15.95</v>
      </c>
      <c r="CA60" s="278">
        <v>1.96</v>
      </c>
      <c r="CB60" s="278">
        <v>0</v>
      </c>
      <c r="CC60" s="278">
        <v>97.89</v>
      </c>
      <c r="CD60" s="209" t="s">
        <v>247</v>
      </c>
      <c r="CE60" s="227">
        <v>2272.08</v>
      </c>
    </row>
    <row r="61" spans="1:83" x14ac:dyDescent="0.25">
      <c r="A61" s="31" t="s">
        <v>262</v>
      </c>
      <c r="B61" s="16"/>
      <c r="C61" s="273">
        <v>5383478</v>
      </c>
      <c r="D61" s="273">
        <v>0</v>
      </c>
      <c r="E61" s="273">
        <v>20601954</v>
      </c>
      <c r="F61" s="273">
        <v>4349067</v>
      </c>
      <c r="G61" s="273">
        <v>0</v>
      </c>
      <c r="H61" s="273">
        <v>4021161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4917497</v>
      </c>
      <c r="P61" s="329">
        <v>8992906</v>
      </c>
      <c r="Q61" s="329">
        <v>3147619</v>
      </c>
      <c r="R61" s="329">
        <v>209146</v>
      </c>
      <c r="S61" s="280">
        <v>1140495</v>
      </c>
      <c r="T61" s="280">
        <v>1128783</v>
      </c>
      <c r="U61" s="331">
        <v>4901472</v>
      </c>
      <c r="V61" s="329">
        <v>100407</v>
      </c>
      <c r="W61" s="329">
        <v>1161983</v>
      </c>
      <c r="X61" s="329">
        <v>1512784</v>
      </c>
      <c r="Y61" s="329">
        <v>6387948</v>
      </c>
      <c r="Z61" s="329">
        <v>1293806</v>
      </c>
      <c r="AA61" s="329">
        <v>511870</v>
      </c>
      <c r="AB61" s="281">
        <v>5727231</v>
      </c>
      <c r="AC61" s="329">
        <v>1837060</v>
      </c>
      <c r="AD61" s="329">
        <v>0</v>
      </c>
      <c r="AE61" s="329">
        <v>2604864</v>
      </c>
      <c r="AF61" s="329">
        <v>0</v>
      </c>
      <c r="AG61" s="329">
        <v>9462201</v>
      </c>
      <c r="AH61" s="329">
        <v>0</v>
      </c>
      <c r="AI61" s="329">
        <v>0</v>
      </c>
      <c r="AJ61" s="329">
        <v>7033624</v>
      </c>
      <c r="AK61" s="329">
        <v>0</v>
      </c>
      <c r="AL61" s="329">
        <v>0</v>
      </c>
      <c r="AM61" s="329">
        <v>0</v>
      </c>
      <c r="AN61" s="329">
        <v>0</v>
      </c>
      <c r="AO61" s="329">
        <v>0</v>
      </c>
      <c r="AP61" s="329">
        <v>66154619</v>
      </c>
      <c r="AQ61" s="329">
        <v>0</v>
      </c>
      <c r="AR61" s="329">
        <v>7700505</v>
      </c>
      <c r="AS61" s="329">
        <v>0</v>
      </c>
      <c r="AT61" s="329">
        <v>0</v>
      </c>
      <c r="AU61" s="329">
        <v>0</v>
      </c>
      <c r="AV61" s="280">
        <v>21298221</v>
      </c>
      <c r="AW61" s="280">
        <v>0</v>
      </c>
      <c r="AX61" s="280">
        <v>0</v>
      </c>
      <c r="AY61" s="329">
        <v>1733571</v>
      </c>
      <c r="AZ61" s="329">
        <v>1012754</v>
      </c>
      <c r="BA61" s="280">
        <v>103467</v>
      </c>
      <c r="BB61" s="280">
        <v>0</v>
      </c>
      <c r="BC61" s="280">
        <v>0</v>
      </c>
      <c r="BD61" s="280">
        <v>1075325</v>
      </c>
      <c r="BE61" s="329">
        <v>1338083</v>
      </c>
      <c r="BF61" s="280">
        <v>2489766</v>
      </c>
      <c r="BG61" s="280">
        <v>131510</v>
      </c>
      <c r="BH61" s="280">
        <v>1922926</v>
      </c>
      <c r="BI61" s="280">
        <v>11690</v>
      </c>
      <c r="BJ61" s="280">
        <v>716720</v>
      </c>
      <c r="BK61" s="280">
        <v>3251878</v>
      </c>
      <c r="BL61" s="280">
        <v>2642976</v>
      </c>
      <c r="BM61" s="280">
        <v>949329</v>
      </c>
      <c r="BN61" s="280">
        <v>3562639</v>
      </c>
      <c r="BO61" s="280">
        <v>338191</v>
      </c>
      <c r="BP61" s="280">
        <v>174459</v>
      </c>
      <c r="BQ61" s="280">
        <v>0</v>
      </c>
      <c r="BR61" s="280">
        <v>2338940</v>
      </c>
      <c r="BS61" s="280">
        <v>73768</v>
      </c>
      <c r="BT61" s="280">
        <v>153778</v>
      </c>
      <c r="BU61" s="280">
        <v>0</v>
      </c>
      <c r="BV61" s="280">
        <v>3243873</v>
      </c>
      <c r="BW61" s="280">
        <v>249937</v>
      </c>
      <c r="BX61" s="280">
        <v>5577829</v>
      </c>
      <c r="BY61" s="280">
        <v>1095644</v>
      </c>
      <c r="BZ61" s="280">
        <v>1058237</v>
      </c>
      <c r="CA61" s="280">
        <v>247416</v>
      </c>
      <c r="CB61" s="280">
        <v>0</v>
      </c>
      <c r="CC61" s="280">
        <v>7985695</v>
      </c>
      <c r="CD61" s="24" t="s">
        <v>247</v>
      </c>
      <c r="CE61" s="25">
        <v>235061102</v>
      </c>
    </row>
    <row r="62" spans="1:83" x14ac:dyDescent="0.25">
      <c r="A62" s="31" t="s">
        <v>10</v>
      </c>
      <c r="B62" s="16"/>
      <c r="C62" s="25">
        <v>1222630</v>
      </c>
      <c r="D62" s="25">
        <v>0</v>
      </c>
      <c r="E62" s="25">
        <v>4678863</v>
      </c>
      <c r="F62" s="25">
        <v>987707</v>
      </c>
      <c r="G62" s="25">
        <v>0</v>
      </c>
      <c r="H62" s="25">
        <v>913237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1116802</v>
      </c>
      <c r="P62" s="25">
        <v>2042359</v>
      </c>
      <c r="Q62" s="25">
        <v>714849</v>
      </c>
      <c r="R62" s="25">
        <v>47499</v>
      </c>
      <c r="S62" s="25">
        <v>259015</v>
      </c>
      <c r="T62" s="25">
        <v>256355</v>
      </c>
      <c r="U62" s="25">
        <v>1113162</v>
      </c>
      <c r="V62" s="25">
        <v>22803</v>
      </c>
      <c r="W62" s="25">
        <v>263895</v>
      </c>
      <c r="X62" s="25">
        <v>343565</v>
      </c>
      <c r="Y62" s="25">
        <v>1450753</v>
      </c>
      <c r="Z62" s="25">
        <v>293833</v>
      </c>
      <c r="AA62" s="25">
        <v>116250</v>
      </c>
      <c r="AB62" s="25">
        <v>1300699</v>
      </c>
      <c r="AC62" s="25">
        <v>417211</v>
      </c>
      <c r="AD62" s="25">
        <v>0</v>
      </c>
      <c r="AE62" s="25">
        <v>591585</v>
      </c>
      <c r="AF62" s="25">
        <v>0</v>
      </c>
      <c r="AG62" s="25">
        <v>2148939</v>
      </c>
      <c r="AH62" s="25">
        <v>0</v>
      </c>
      <c r="AI62" s="25">
        <v>0</v>
      </c>
      <c r="AJ62" s="25">
        <v>1597391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15024227</v>
      </c>
      <c r="AQ62" s="25">
        <v>0</v>
      </c>
      <c r="AR62" s="25">
        <v>1748844</v>
      </c>
      <c r="AS62" s="25">
        <v>0</v>
      </c>
      <c r="AT62" s="25">
        <v>0</v>
      </c>
      <c r="AU62" s="25">
        <v>0</v>
      </c>
      <c r="AV62" s="25">
        <v>4836991</v>
      </c>
      <c r="AW62" s="25">
        <v>0</v>
      </c>
      <c r="AX62" s="25">
        <v>0</v>
      </c>
      <c r="AY62" s="25">
        <v>393707</v>
      </c>
      <c r="AZ62" s="25">
        <v>230004</v>
      </c>
      <c r="BA62" s="25">
        <v>23498</v>
      </c>
      <c r="BB62" s="25">
        <v>0</v>
      </c>
      <c r="BC62" s="25">
        <v>0</v>
      </c>
      <c r="BD62" s="25">
        <v>244215</v>
      </c>
      <c r="BE62" s="25">
        <v>303889</v>
      </c>
      <c r="BF62" s="25">
        <v>565445</v>
      </c>
      <c r="BG62" s="25">
        <v>29867</v>
      </c>
      <c r="BH62" s="25">
        <v>436711</v>
      </c>
      <c r="BI62" s="25">
        <v>2655</v>
      </c>
      <c r="BJ62" s="25">
        <v>162773</v>
      </c>
      <c r="BK62" s="25">
        <v>738527</v>
      </c>
      <c r="BL62" s="25">
        <v>600240</v>
      </c>
      <c r="BM62" s="25">
        <v>215600</v>
      </c>
      <c r="BN62" s="25">
        <v>809103</v>
      </c>
      <c r="BO62" s="25">
        <v>76806</v>
      </c>
      <c r="BP62" s="25">
        <v>39621</v>
      </c>
      <c r="BQ62" s="25">
        <v>0</v>
      </c>
      <c r="BR62" s="25">
        <v>531191</v>
      </c>
      <c r="BS62" s="25">
        <v>16753</v>
      </c>
      <c r="BT62" s="25">
        <v>34924</v>
      </c>
      <c r="BU62" s="25">
        <v>0</v>
      </c>
      <c r="BV62" s="25">
        <v>736709</v>
      </c>
      <c r="BW62" s="25">
        <v>56763</v>
      </c>
      <c r="BX62" s="25">
        <v>1266768</v>
      </c>
      <c r="BY62" s="25">
        <v>248829</v>
      </c>
      <c r="BZ62" s="25">
        <v>240334</v>
      </c>
      <c r="CA62" s="25">
        <v>56190</v>
      </c>
      <c r="CB62" s="25">
        <v>0</v>
      </c>
      <c r="CC62" s="25">
        <v>1813613</v>
      </c>
      <c r="CD62" s="24" t="s">
        <v>247</v>
      </c>
      <c r="CE62" s="25">
        <v>53384199</v>
      </c>
    </row>
    <row r="63" spans="1:83" x14ac:dyDescent="0.25">
      <c r="A63" s="31" t="s">
        <v>263</v>
      </c>
      <c r="B63" s="16"/>
      <c r="C63" s="273">
        <v>606612</v>
      </c>
      <c r="D63" s="273">
        <v>0</v>
      </c>
      <c r="E63" s="273">
        <v>0</v>
      </c>
      <c r="F63" s="273">
        <v>0</v>
      </c>
      <c r="G63" s="273">
        <v>0</v>
      </c>
      <c r="H63" s="273">
        <v>541863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16625</v>
      </c>
      <c r="Q63" s="329">
        <v>2500000</v>
      </c>
      <c r="R63" s="329">
        <v>0</v>
      </c>
      <c r="S63" s="280">
        <v>0</v>
      </c>
      <c r="T63" s="280">
        <v>0</v>
      </c>
      <c r="U63" s="331">
        <v>132957</v>
      </c>
      <c r="V63" s="329">
        <v>0</v>
      </c>
      <c r="W63" s="329">
        <v>0</v>
      </c>
      <c r="X63" s="329">
        <v>0</v>
      </c>
      <c r="Y63" s="329">
        <v>71592</v>
      </c>
      <c r="Z63" s="329">
        <v>0</v>
      </c>
      <c r="AA63" s="329">
        <v>0</v>
      </c>
      <c r="AB63" s="281">
        <v>0</v>
      </c>
      <c r="AC63" s="329">
        <v>0</v>
      </c>
      <c r="AD63" s="329">
        <v>0</v>
      </c>
      <c r="AE63" s="329">
        <v>0</v>
      </c>
      <c r="AF63" s="329">
        <v>0</v>
      </c>
      <c r="AG63" s="329">
        <v>13814828</v>
      </c>
      <c r="AH63" s="329">
        <v>0</v>
      </c>
      <c r="AI63" s="329">
        <v>0</v>
      </c>
      <c r="AJ63" s="329">
        <v>1982452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12974092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2192550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457910</v>
      </c>
      <c r="BN63" s="280">
        <v>757906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42000</v>
      </c>
      <c r="BX63" s="280">
        <v>0</v>
      </c>
      <c r="BY63" s="280">
        <v>0</v>
      </c>
      <c r="BZ63" s="280">
        <v>96251</v>
      </c>
      <c r="CA63" s="280">
        <v>0</v>
      </c>
      <c r="CB63" s="280">
        <v>0</v>
      </c>
      <c r="CC63" s="280">
        <v>40653</v>
      </c>
      <c r="CD63" s="24" t="s">
        <v>247</v>
      </c>
      <c r="CE63" s="25">
        <v>36228291</v>
      </c>
    </row>
    <row r="64" spans="1:83" x14ac:dyDescent="0.25">
      <c r="A64" s="31" t="s">
        <v>264</v>
      </c>
      <c r="B64" s="16"/>
      <c r="C64" s="273">
        <v>528043</v>
      </c>
      <c r="D64" s="273">
        <v>0</v>
      </c>
      <c r="E64" s="273">
        <v>1521076</v>
      </c>
      <c r="F64" s="273">
        <v>162409</v>
      </c>
      <c r="G64" s="273">
        <v>0</v>
      </c>
      <c r="H64" s="273">
        <v>61368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695639</v>
      </c>
      <c r="P64" s="329">
        <v>19436507</v>
      </c>
      <c r="Q64" s="329">
        <v>2072</v>
      </c>
      <c r="R64" s="329">
        <v>-176</v>
      </c>
      <c r="S64" s="280">
        <v>821066</v>
      </c>
      <c r="T64" s="280">
        <v>4540346</v>
      </c>
      <c r="U64" s="331">
        <v>15437</v>
      </c>
      <c r="V64" s="329">
        <v>1738</v>
      </c>
      <c r="W64" s="329">
        <v>40484</v>
      </c>
      <c r="X64" s="329">
        <v>377196</v>
      </c>
      <c r="Y64" s="329">
        <v>9512829</v>
      </c>
      <c r="Z64" s="329">
        <v>61289</v>
      </c>
      <c r="AA64" s="329">
        <v>566457</v>
      </c>
      <c r="AB64" s="281">
        <v>12284941</v>
      </c>
      <c r="AC64" s="329">
        <v>490870</v>
      </c>
      <c r="AD64" s="329">
        <v>0</v>
      </c>
      <c r="AE64" s="329">
        <v>15855</v>
      </c>
      <c r="AF64" s="329">
        <v>0</v>
      </c>
      <c r="AG64" s="329">
        <v>1800184</v>
      </c>
      <c r="AH64" s="329">
        <v>0</v>
      </c>
      <c r="AI64" s="329">
        <v>0</v>
      </c>
      <c r="AJ64" s="329">
        <v>27702734</v>
      </c>
      <c r="AK64" s="329">
        <v>0</v>
      </c>
      <c r="AL64" s="329">
        <v>0</v>
      </c>
      <c r="AM64" s="329">
        <v>0</v>
      </c>
      <c r="AN64" s="329">
        <v>0</v>
      </c>
      <c r="AO64" s="329">
        <v>0</v>
      </c>
      <c r="AP64" s="329">
        <v>3331411</v>
      </c>
      <c r="AQ64" s="329">
        <v>0</v>
      </c>
      <c r="AR64" s="329">
        <v>1334473</v>
      </c>
      <c r="AS64" s="329">
        <v>0</v>
      </c>
      <c r="AT64" s="329">
        <v>0</v>
      </c>
      <c r="AU64" s="329">
        <v>0</v>
      </c>
      <c r="AV64" s="280">
        <v>10466966</v>
      </c>
      <c r="AW64" s="280">
        <v>0</v>
      </c>
      <c r="AX64" s="280">
        <v>0</v>
      </c>
      <c r="AY64" s="329">
        <v>583018</v>
      </c>
      <c r="AZ64" s="329">
        <v>884307</v>
      </c>
      <c r="BA64" s="280">
        <v>342664.19</v>
      </c>
      <c r="BB64" s="280">
        <v>0</v>
      </c>
      <c r="BC64" s="280">
        <v>0</v>
      </c>
      <c r="BD64" s="280">
        <v>-178377</v>
      </c>
      <c r="BE64" s="329">
        <v>145552</v>
      </c>
      <c r="BF64" s="280">
        <v>304208</v>
      </c>
      <c r="BG64" s="280">
        <v>244</v>
      </c>
      <c r="BH64" s="280">
        <v>320</v>
      </c>
      <c r="BI64" s="280">
        <v>5510</v>
      </c>
      <c r="BJ64" s="280">
        <v>1040</v>
      </c>
      <c r="BK64" s="280">
        <v>10362</v>
      </c>
      <c r="BL64" s="280">
        <v>53494</v>
      </c>
      <c r="BM64" s="280">
        <v>112</v>
      </c>
      <c r="BN64" s="280">
        <v>24031</v>
      </c>
      <c r="BO64" s="280">
        <v>102385</v>
      </c>
      <c r="BP64" s="280">
        <v>882</v>
      </c>
      <c r="BQ64" s="280">
        <v>0</v>
      </c>
      <c r="BR64" s="280">
        <v>1687</v>
      </c>
      <c r="BS64" s="280">
        <v>373</v>
      </c>
      <c r="BT64" s="280">
        <v>0</v>
      </c>
      <c r="BU64" s="280">
        <v>0</v>
      </c>
      <c r="BV64" s="280">
        <v>5204</v>
      </c>
      <c r="BW64" s="280">
        <v>616</v>
      </c>
      <c r="BX64" s="280">
        <v>8253</v>
      </c>
      <c r="BY64" s="280">
        <v>1604</v>
      </c>
      <c r="BZ64" s="280">
        <v>639112</v>
      </c>
      <c r="CA64" s="280">
        <v>11226</v>
      </c>
      <c r="CB64" s="280">
        <v>0</v>
      </c>
      <c r="CC64" s="280">
        <v>254020</v>
      </c>
      <c r="CD64" s="24" t="s">
        <v>247</v>
      </c>
      <c r="CE64" s="25">
        <v>98973061.189999998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46101</v>
      </c>
      <c r="Q65" s="329">
        <v>0</v>
      </c>
      <c r="R65" s="329">
        <v>0</v>
      </c>
      <c r="S65" s="280">
        <v>0</v>
      </c>
      <c r="T65" s="280">
        <v>0</v>
      </c>
      <c r="U65" s="331">
        <v>7448</v>
      </c>
      <c r="V65" s="329">
        <v>0</v>
      </c>
      <c r="W65" s="329">
        <v>0</v>
      </c>
      <c r="X65" s="329">
        <v>0</v>
      </c>
      <c r="Y65" s="329">
        <v>157983</v>
      </c>
      <c r="Z65" s="329">
        <v>0</v>
      </c>
      <c r="AA65" s="329">
        <v>0</v>
      </c>
      <c r="AB65" s="281">
        <v>4378</v>
      </c>
      <c r="AC65" s="329">
        <v>0</v>
      </c>
      <c r="AD65" s="329">
        <v>0</v>
      </c>
      <c r="AE65" s="329">
        <v>10470</v>
      </c>
      <c r="AF65" s="329">
        <v>0</v>
      </c>
      <c r="AG65" s="329">
        <v>0</v>
      </c>
      <c r="AH65" s="329">
        <v>0</v>
      </c>
      <c r="AI65" s="329">
        <v>0</v>
      </c>
      <c r="AJ65" s="329">
        <v>163914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351793</v>
      </c>
      <c r="AQ65" s="329">
        <v>0</v>
      </c>
      <c r="AR65" s="329">
        <v>84387</v>
      </c>
      <c r="AS65" s="329">
        <v>0</v>
      </c>
      <c r="AT65" s="329">
        <v>0</v>
      </c>
      <c r="AU65" s="329">
        <v>0</v>
      </c>
      <c r="AV65" s="280">
        <v>22626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2295722</v>
      </c>
      <c r="BF65" s="280">
        <v>118346</v>
      </c>
      <c r="BG65" s="280">
        <v>0</v>
      </c>
      <c r="BH65" s="280">
        <v>0</v>
      </c>
      <c r="BI65" s="280">
        <v>1373</v>
      </c>
      <c r="BJ65" s="280">
        <v>0</v>
      </c>
      <c r="BK65" s="280">
        <v>0</v>
      </c>
      <c r="BL65" s="280">
        <v>3</v>
      </c>
      <c r="BM65" s="280">
        <v>0</v>
      </c>
      <c r="BN65" s="280">
        <v>617</v>
      </c>
      <c r="BO65" s="280">
        <v>4722</v>
      </c>
      <c r="BP65" s="280">
        <v>5843</v>
      </c>
      <c r="BQ65" s="280">
        <v>0</v>
      </c>
      <c r="BR65" s="280">
        <v>121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2562</v>
      </c>
      <c r="BY65" s="280">
        <v>0</v>
      </c>
      <c r="BZ65" s="280">
        <v>0</v>
      </c>
      <c r="CA65" s="280">
        <v>60</v>
      </c>
      <c r="CB65" s="280">
        <v>0</v>
      </c>
      <c r="CC65" s="280">
        <v>169366</v>
      </c>
      <c r="CD65" s="24" t="s">
        <v>247</v>
      </c>
      <c r="CE65" s="25">
        <v>3447835</v>
      </c>
    </row>
    <row r="66" spans="1:83" x14ac:dyDescent="0.25">
      <c r="A66" s="31" t="s">
        <v>266</v>
      </c>
      <c r="B66" s="16"/>
      <c r="C66" s="273">
        <v>14468</v>
      </c>
      <c r="D66" s="273">
        <v>0</v>
      </c>
      <c r="E66" s="273">
        <v>1271</v>
      </c>
      <c r="F66" s="273">
        <v>0</v>
      </c>
      <c r="G66" s="273">
        <v>0</v>
      </c>
      <c r="H66" s="273">
        <v>920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1950</v>
      </c>
      <c r="P66" s="329">
        <v>1542666</v>
      </c>
      <c r="Q66" s="329">
        <v>0</v>
      </c>
      <c r="R66" s="329">
        <v>0</v>
      </c>
      <c r="S66" s="280">
        <v>2048</v>
      </c>
      <c r="T66" s="280">
        <v>0</v>
      </c>
      <c r="U66" s="331">
        <v>1907490</v>
      </c>
      <c r="V66" s="329">
        <v>0</v>
      </c>
      <c r="W66" s="329">
        <v>448772</v>
      </c>
      <c r="X66" s="329">
        <v>236610</v>
      </c>
      <c r="Y66" s="329">
        <v>352194</v>
      </c>
      <c r="Z66" s="329">
        <v>1085406</v>
      </c>
      <c r="AA66" s="329">
        <v>59874</v>
      </c>
      <c r="AB66" s="281">
        <v>204638</v>
      </c>
      <c r="AC66" s="329">
        <v>518</v>
      </c>
      <c r="AD66" s="329">
        <v>1778074</v>
      </c>
      <c r="AE66" s="329">
        <v>16</v>
      </c>
      <c r="AF66" s="329">
        <v>0</v>
      </c>
      <c r="AG66" s="329">
        <v>1327618</v>
      </c>
      <c r="AH66" s="329">
        <v>0</v>
      </c>
      <c r="AI66" s="329">
        <v>0</v>
      </c>
      <c r="AJ66" s="329">
        <v>81067</v>
      </c>
      <c r="AK66" s="329">
        <v>0</v>
      </c>
      <c r="AL66" s="329">
        <v>0</v>
      </c>
      <c r="AM66" s="329">
        <v>0</v>
      </c>
      <c r="AN66" s="329">
        <v>0</v>
      </c>
      <c r="AO66" s="329">
        <v>0</v>
      </c>
      <c r="AP66" s="329">
        <v>3838098</v>
      </c>
      <c r="AQ66" s="329">
        <v>0</v>
      </c>
      <c r="AR66" s="329">
        <v>1019592</v>
      </c>
      <c r="AS66" s="329">
        <v>0</v>
      </c>
      <c r="AT66" s="329">
        <v>0</v>
      </c>
      <c r="AU66" s="329">
        <v>0</v>
      </c>
      <c r="AV66" s="280">
        <v>444009</v>
      </c>
      <c r="AW66" s="280">
        <v>0</v>
      </c>
      <c r="AX66" s="280">
        <v>0</v>
      </c>
      <c r="AY66" s="329">
        <v>1621</v>
      </c>
      <c r="AZ66" s="329">
        <v>0</v>
      </c>
      <c r="BA66" s="280">
        <v>44676</v>
      </c>
      <c r="BB66" s="280">
        <v>0</v>
      </c>
      <c r="BC66" s="280">
        <v>0</v>
      </c>
      <c r="BD66" s="280">
        <v>0</v>
      </c>
      <c r="BE66" s="329">
        <v>286045</v>
      </c>
      <c r="BF66" s="280">
        <v>100485</v>
      </c>
      <c r="BG66" s="280">
        <v>0</v>
      </c>
      <c r="BH66" s="280">
        <v>305510</v>
      </c>
      <c r="BI66" s="280">
        <v>2424331</v>
      </c>
      <c r="BJ66" s="280">
        <v>9331</v>
      </c>
      <c r="BK66" s="280">
        <v>1892008</v>
      </c>
      <c r="BL66" s="280">
        <v>1254387</v>
      </c>
      <c r="BM66" s="280">
        <v>76063</v>
      </c>
      <c r="BN66" s="280">
        <v>468688</v>
      </c>
      <c r="BO66" s="280">
        <v>73735</v>
      </c>
      <c r="BP66" s="280">
        <v>26876</v>
      </c>
      <c r="BQ66" s="280">
        <v>0</v>
      </c>
      <c r="BR66" s="280">
        <v>48414</v>
      </c>
      <c r="BS66" s="280">
        <v>443</v>
      </c>
      <c r="BT66" s="280">
        <v>0</v>
      </c>
      <c r="BU66" s="280">
        <v>0</v>
      </c>
      <c r="BV66" s="280">
        <v>1063763</v>
      </c>
      <c r="BW66" s="280">
        <v>65961</v>
      </c>
      <c r="BX66" s="280">
        <v>1001925</v>
      </c>
      <c r="BY66" s="280">
        <v>0</v>
      </c>
      <c r="BZ66" s="280">
        <v>682</v>
      </c>
      <c r="CA66" s="280">
        <v>1140</v>
      </c>
      <c r="CB66" s="280">
        <v>0</v>
      </c>
      <c r="CC66" s="280">
        <v>1189327</v>
      </c>
      <c r="CD66" s="24" t="s">
        <v>247</v>
      </c>
      <c r="CE66" s="25">
        <v>24682710</v>
      </c>
    </row>
    <row r="67" spans="1:83" x14ac:dyDescent="0.25">
      <c r="A67" s="31" t="s">
        <v>15</v>
      </c>
      <c r="B67" s="16"/>
      <c r="C67" s="25">
        <v>235284</v>
      </c>
      <c r="D67" s="25">
        <v>0</v>
      </c>
      <c r="E67" s="25">
        <v>1318542</v>
      </c>
      <c r="F67" s="25">
        <v>388508</v>
      </c>
      <c r="G67" s="25">
        <v>0</v>
      </c>
      <c r="H67" s="25">
        <v>276284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219560</v>
      </c>
      <c r="P67" s="25">
        <v>883896</v>
      </c>
      <c r="Q67" s="25">
        <v>64824</v>
      </c>
      <c r="R67" s="25">
        <v>12969</v>
      </c>
      <c r="S67" s="25">
        <v>711488</v>
      </c>
      <c r="T67" s="25">
        <v>6049</v>
      </c>
      <c r="U67" s="25">
        <v>244897</v>
      </c>
      <c r="V67" s="25">
        <v>4682</v>
      </c>
      <c r="W67" s="25">
        <v>47152</v>
      </c>
      <c r="X67" s="25">
        <v>49535</v>
      </c>
      <c r="Y67" s="25">
        <v>837925</v>
      </c>
      <c r="Z67" s="25">
        <v>263004</v>
      </c>
      <c r="AA67" s="25">
        <v>47401</v>
      </c>
      <c r="AB67" s="25">
        <v>213449</v>
      </c>
      <c r="AC67" s="25">
        <v>63726</v>
      </c>
      <c r="AD67" s="25">
        <v>5531</v>
      </c>
      <c r="AE67" s="25">
        <v>228531</v>
      </c>
      <c r="AF67" s="25">
        <v>0</v>
      </c>
      <c r="AG67" s="25">
        <v>427684</v>
      </c>
      <c r="AH67" s="25">
        <v>0</v>
      </c>
      <c r="AI67" s="25">
        <v>0</v>
      </c>
      <c r="AJ67" s="25">
        <v>351818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3583028</v>
      </c>
      <c r="AQ67" s="25">
        <v>0</v>
      </c>
      <c r="AR67" s="25">
        <v>541235</v>
      </c>
      <c r="AS67" s="25">
        <v>0</v>
      </c>
      <c r="AT67" s="25">
        <v>0</v>
      </c>
      <c r="AU67" s="25">
        <v>0</v>
      </c>
      <c r="AV67" s="25">
        <v>225568</v>
      </c>
      <c r="AW67" s="25">
        <v>0</v>
      </c>
      <c r="AX67" s="25">
        <v>0</v>
      </c>
      <c r="AY67" s="25">
        <v>137375</v>
      </c>
      <c r="AZ67" s="25">
        <v>113343</v>
      </c>
      <c r="BA67" s="25">
        <v>54403</v>
      </c>
      <c r="BB67" s="25">
        <v>0</v>
      </c>
      <c r="BC67" s="25">
        <v>0</v>
      </c>
      <c r="BD67" s="25">
        <v>138018</v>
      </c>
      <c r="BE67" s="25">
        <v>8840228</v>
      </c>
      <c r="BF67" s="25">
        <v>29398</v>
      </c>
      <c r="BG67" s="25">
        <v>4061</v>
      </c>
      <c r="BH67" s="25">
        <v>131181</v>
      </c>
      <c r="BI67" s="25">
        <v>19702</v>
      </c>
      <c r="BJ67" s="25">
        <v>68553</v>
      </c>
      <c r="BK67" s="25">
        <v>175453</v>
      </c>
      <c r="BL67" s="25">
        <v>81646</v>
      </c>
      <c r="BM67" s="25">
        <v>46593</v>
      </c>
      <c r="BN67" s="25">
        <v>36524</v>
      </c>
      <c r="BO67" s="25">
        <v>52083</v>
      </c>
      <c r="BP67" s="25">
        <v>76695</v>
      </c>
      <c r="BQ67" s="25">
        <v>0</v>
      </c>
      <c r="BR67" s="25">
        <v>73546</v>
      </c>
      <c r="BS67" s="25">
        <v>10483</v>
      </c>
      <c r="BT67" s="25">
        <v>6194</v>
      </c>
      <c r="BU67" s="25">
        <v>0</v>
      </c>
      <c r="BV67" s="25">
        <v>76695</v>
      </c>
      <c r="BW67" s="25">
        <v>35986</v>
      </c>
      <c r="BX67" s="25">
        <v>88131</v>
      </c>
      <c r="BY67" s="25">
        <v>6215</v>
      </c>
      <c r="BZ67" s="25">
        <v>8763</v>
      </c>
      <c r="CA67" s="25">
        <v>32795</v>
      </c>
      <c r="CB67" s="25">
        <v>0</v>
      </c>
      <c r="CC67" s="25">
        <v>380035</v>
      </c>
      <c r="CD67" s="24" t="s">
        <v>247</v>
      </c>
      <c r="CE67" s="25">
        <v>21976669</v>
      </c>
    </row>
    <row r="68" spans="1:83" x14ac:dyDescent="0.25">
      <c r="A68" s="31" t="s">
        <v>267</v>
      </c>
      <c r="B68" s="25"/>
      <c r="C68" s="273">
        <v>2026</v>
      </c>
      <c r="D68" s="273">
        <v>0</v>
      </c>
      <c r="E68" s="273">
        <v>10619</v>
      </c>
      <c r="F68" s="273">
        <v>26949</v>
      </c>
      <c r="G68" s="273">
        <v>0</v>
      </c>
      <c r="H68" s="273">
        <v>2786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1563</v>
      </c>
      <c r="P68" s="329">
        <v>775198</v>
      </c>
      <c r="Q68" s="329">
        <v>1391</v>
      </c>
      <c r="R68" s="329">
        <v>226</v>
      </c>
      <c r="S68" s="280">
        <v>80942</v>
      </c>
      <c r="T68" s="280">
        <v>368</v>
      </c>
      <c r="U68" s="331">
        <v>700771</v>
      </c>
      <c r="V68" s="329">
        <v>43</v>
      </c>
      <c r="W68" s="329">
        <v>436</v>
      </c>
      <c r="X68" s="329">
        <v>972</v>
      </c>
      <c r="Y68" s="329">
        <v>147156</v>
      </c>
      <c r="Z68" s="329">
        <v>4296</v>
      </c>
      <c r="AA68" s="329">
        <v>939</v>
      </c>
      <c r="AB68" s="281">
        <v>80879</v>
      </c>
      <c r="AC68" s="329">
        <v>29066</v>
      </c>
      <c r="AD68" s="329">
        <v>0</v>
      </c>
      <c r="AE68" s="329">
        <v>163282</v>
      </c>
      <c r="AF68" s="329">
        <v>0</v>
      </c>
      <c r="AG68" s="329">
        <v>6012</v>
      </c>
      <c r="AH68" s="329">
        <v>0</v>
      </c>
      <c r="AI68" s="329">
        <v>0</v>
      </c>
      <c r="AJ68" s="329">
        <v>92321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5159669</v>
      </c>
      <c r="AQ68" s="329">
        <v>0</v>
      </c>
      <c r="AR68" s="329">
        <v>187638</v>
      </c>
      <c r="AS68" s="329">
        <v>0</v>
      </c>
      <c r="AT68" s="329">
        <v>0</v>
      </c>
      <c r="AU68" s="329">
        <v>0</v>
      </c>
      <c r="AV68" s="280">
        <v>504635</v>
      </c>
      <c r="AW68" s="280">
        <v>0</v>
      </c>
      <c r="AX68" s="280">
        <v>0</v>
      </c>
      <c r="AY68" s="329">
        <v>11191</v>
      </c>
      <c r="AZ68" s="329">
        <v>12</v>
      </c>
      <c r="BA68" s="280">
        <v>231632</v>
      </c>
      <c r="BB68" s="280">
        <v>0</v>
      </c>
      <c r="BC68" s="280">
        <v>0</v>
      </c>
      <c r="BD68" s="280">
        <v>5820</v>
      </c>
      <c r="BE68" s="329">
        <v>3054</v>
      </c>
      <c r="BF68" s="280">
        <v>2870</v>
      </c>
      <c r="BG68" s="280">
        <v>70</v>
      </c>
      <c r="BH68" s="280">
        <v>35073</v>
      </c>
      <c r="BI68" s="280">
        <v>191</v>
      </c>
      <c r="BJ68" s="280">
        <v>2146</v>
      </c>
      <c r="BK68" s="280">
        <v>4547</v>
      </c>
      <c r="BL68" s="280">
        <v>28704</v>
      </c>
      <c r="BM68" s="280">
        <v>855</v>
      </c>
      <c r="BN68" s="280">
        <v>3793</v>
      </c>
      <c r="BO68" s="280">
        <v>52102</v>
      </c>
      <c r="BP68" s="280">
        <v>971</v>
      </c>
      <c r="BQ68" s="280">
        <v>0</v>
      </c>
      <c r="BR68" s="280">
        <v>241376</v>
      </c>
      <c r="BS68" s="280">
        <v>104</v>
      </c>
      <c r="BT68" s="280">
        <v>29</v>
      </c>
      <c r="BU68" s="280">
        <v>0</v>
      </c>
      <c r="BV68" s="280">
        <v>68521</v>
      </c>
      <c r="BW68" s="280">
        <v>2038</v>
      </c>
      <c r="BX68" s="280">
        <v>37899</v>
      </c>
      <c r="BY68" s="280">
        <v>421</v>
      </c>
      <c r="BZ68" s="280">
        <v>367</v>
      </c>
      <c r="CA68" s="280">
        <v>0</v>
      </c>
      <c r="CB68" s="280">
        <v>0</v>
      </c>
      <c r="CC68" s="280">
        <v>105769</v>
      </c>
      <c r="CD68" s="24" t="s">
        <v>247</v>
      </c>
      <c r="CE68" s="25">
        <v>8819738</v>
      </c>
    </row>
    <row r="69" spans="1:83" x14ac:dyDescent="0.25">
      <c r="A69" s="31" t="s">
        <v>268</v>
      </c>
      <c r="B69" s="16"/>
      <c r="C69" s="25">
        <v>1055704</v>
      </c>
      <c r="D69" s="25">
        <v>0</v>
      </c>
      <c r="E69" s="25">
        <v>2141268.71</v>
      </c>
      <c r="F69" s="25">
        <v>109984</v>
      </c>
      <c r="G69" s="25">
        <v>0</v>
      </c>
      <c r="H69" s="25">
        <v>50268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337351</v>
      </c>
      <c r="P69" s="25">
        <v>2266182</v>
      </c>
      <c r="Q69" s="25">
        <v>72549</v>
      </c>
      <c r="R69" s="25">
        <v>208446</v>
      </c>
      <c r="S69" s="25">
        <v>129595</v>
      </c>
      <c r="T69" s="25">
        <v>14907</v>
      </c>
      <c r="U69" s="25">
        <v>3665062</v>
      </c>
      <c r="V69" s="25">
        <v>2438</v>
      </c>
      <c r="W69" s="25">
        <v>24896</v>
      </c>
      <c r="X69" s="25">
        <v>77212</v>
      </c>
      <c r="Y69" s="25">
        <v>865403</v>
      </c>
      <c r="Z69" s="25">
        <v>930228</v>
      </c>
      <c r="AA69" s="25">
        <v>20850</v>
      </c>
      <c r="AB69" s="25">
        <v>315128</v>
      </c>
      <c r="AC69" s="25">
        <v>385846</v>
      </c>
      <c r="AD69" s="25">
        <v>34</v>
      </c>
      <c r="AE69" s="25">
        <v>45910</v>
      </c>
      <c r="AF69" s="25">
        <v>0</v>
      </c>
      <c r="AG69" s="25">
        <v>1981621</v>
      </c>
      <c r="AH69" s="25">
        <v>0</v>
      </c>
      <c r="AI69" s="25">
        <v>0</v>
      </c>
      <c r="AJ69" s="25">
        <v>1018631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4806128</v>
      </c>
      <c r="AQ69" s="25">
        <v>0</v>
      </c>
      <c r="AR69" s="25">
        <v>511951</v>
      </c>
      <c r="AS69" s="25">
        <v>0</v>
      </c>
      <c r="AT69" s="25">
        <v>0</v>
      </c>
      <c r="AU69" s="25">
        <v>0</v>
      </c>
      <c r="AV69" s="25">
        <v>937459.78</v>
      </c>
      <c r="AW69" s="25">
        <v>0</v>
      </c>
      <c r="AX69" s="25">
        <v>0</v>
      </c>
      <c r="AY69" s="25">
        <v>166910</v>
      </c>
      <c r="AZ69" s="25">
        <v>210828</v>
      </c>
      <c r="BA69" s="25">
        <v>1086161</v>
      </c>
      <c r="BB69" s="25">
        <v>0</v>
      </c>
      <c r="BC69" s="25">
        <v>0</v>
      </c>
      <c r="BD69" s="25">
        <v>1820443</v>
      </c>
      <c r="BE69" s="25">
        <v>2603283</v>
      </c>
      <c r="BF69" s="25">
        <v>1051288</v>
      </c>
      <c r="BG69" s="25">
        <v>190797</v>
      </c>
      <c r="BH69" s="25">
        <v>12023136</v>
      </c>
      <c r="BI69" s="25">
        <v>117792</v>
      </c>
      <c r="BJ69" s="25">
        <v>437293</v>
      </c>
      <c r="BK69" s="25">
        <v>355420</v>
      </c>
      <c r="BL69" s="25">
        <v>35574</v>
      </c>
      <c r="BM69" s="25">
        <v>2865674</v>
      </c>
      <c r="BN69" s="25">
        <v>32656476</v>
      </c>
      <c r="BO69" s="25">
        <v>167924</v>
      </c>
      <c r="BP69" s="25">
        <v>94228</v>
      </c>
      <c r="BQ69" s="25">
        <v>0</v>
      </c>
      <c r="BR69" s="25">
        <v>971309</v>
      </c>
      <c r="BS69" s="25">
        <v>13925</v>
      </c>
      <c r="BT69" s="25">
        <v>712</v>
      </c>
      <c r="BU69" s="25">
        <v>0</v>
      </c>
      <c r="BV69" s="25">
        <v>27340</v>
      </c>
      <c r="BW69" s="25">
        <v>317337</v>
      </c>
      <c r="BX69" s="25">
        <v>384767</v>
      </c>
      <c r="BY69" s="25">
        <v>179954</v>
      </c>
      <c r="BZ69" s="25">
        <v>1615198</v>
      </c>
      <c r="CA69" s="25">
        <v>18418</v>
      </c>
      <c r="CB69" s="25">
        <v>0</v>
      </c>
      <c r="CC69" s="25">
        <v>3610721</v>
      </c>
      <c r="CD69" s="25">
        <v>-162546350.15000001</v>
      </c>
      <c r="CE69" s="25">
        <v>-77548389.659999996</v>
      </c>
    </row>
    <row r="70" spans="1:83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1360152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1360152</v>
      </c>
    </row>
    <row r="71" spans="1:83" x14ac:dyDescent="0.25">
      <c r="A71" s="26" t="s">
        <v>270</v>
      </c>
      <c r="B71" s="334"/>
      <c r="C71" s="282">
        <v>857669</v>
      </c>
      <c r="D71" s="282">
        <v>0</v>
      </c>
      <c r="E71" s="282">
        <v>1788422</v>
      </c>
      <c r="F71" s="282">
        <v>0</v>
      </c>
      <c r="G71" s="282">
        <v>0</v>
      </c>
      <c r="H71" s="282">
        <v>6570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26800</v>
      </c>
      <c r="P71" s="282">
        <v>1134806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204514</v>
      </c>
      <c r="Z71" s="282">
        <v>0</v>
      </c>
      <c r="AA71" s="282">
        <v>0</v>
      </c>
      <c r="AB71" s="282">
        <v>0</v>
      </c>
      <c r="AC71" s="282">
        <v>358195</v>
      </c>
      <c r="AD71" s="282">
        <v>0</v>
      </c>
      <c r="AE71" s="282">
        <v>0</v>
      </c>
      <c r="AF71" s="282">
        <v>0</v>
      </c>
      <c r="AG71" s="282">
        <v>1823379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56980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134699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397019</v>
      </c>
      <c r="CA71" s="282">
        <v>0</v>
      </c>
      <c r="CB71" s="282">
        <v>0</v>
      </c>
      <c r="CC71" s="282">
        <v>0</v>
      </c>
      <c r="CD71" s="282">
        <v>0</v>
      </c>
      <c r="CE71" s="25">
        <v>6789053</v>
      </c>
    </row>
    <row r="72" spans="1:83" x14ac:dyDescent="0.25">
      <c r="A72" s="26" t="s">
        <v>271</v>
      </c>
      <c r="B72" s="334"/>
      <c r="C72" s="282">
        <v>0</v>
      </c>
      <c r="D72" s="282">
        <v>0</v>
      </c>
      <c r="E72" s="282">
        <v>22110</v>
      </c>
      <c r="F72" s="282">
        <v>12394</v>
      </c>
      <c r="G72" s="282">
        <v>0</v>
      </c>
      <c r="H72" s="282">
        <v>152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200326</v>
      </c>
      <c r="P72" s="282">
        <v>13612</v>
      </c>
      <c r="Q72" s="282">
        <v>48007</v>
      </c>
      <c r="R72" s="282">
        <v>198666</v>
      </c>
      <c r="S72" s="282">
        <v>140</v>
      </c>
      <c r="T72" s="282">
        <v>815</v>
      </c>
      <c r="U72" s="282">
        <v>383708</v>
      </c>
      <c r="V72" s="282">
        <v>0</v>
      </c>
      <c r="W72" s="282">
        <v>450</v>
      </c>
      <c r="X72" s="282">
        <v>60767</v>
      </c>
      <c r="Y72" s="282">
        <v>228690</v>
      </c>
      <c r="Z72" s="282">
        <v>898119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5444</v>
      </c>
      <c r="AH72" s="282">
        <v>0</v>
      </c>
      <c r="AI72" s="282">
        <v>0</v>
      </c>
      <c r="AJ72" s="282">
        <v>200551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946392</v>
      </c>
      <c r="AQ72" s="282">
        <v>0</v>
      </c>
      <c r="AR72" s="282">
        <v>11903</v>
      </c>
      <c r="AS72" s="282">
        <v>0</v>
      </c>
      <c r="AT72" s="282">
        <v>0</v>
      </c>
      <c r="AU72" s="282">
        <v>0</v>
      </c>
      <c r="AV72" s="282">
        <v>155339</v>
      </c>
      <c r="AW72" s="282">
        <v>0</v>
      </c>
      <c r="AX72" s="282">
        <v>0</v>
      </c>
      <c r="AY72" s="282">
        <v>96789</v>
      </c>
      <c r="AZ72" s="282">
        <v>25192</v>
      </c>
      <c r="BA72" s="282">
        <v>0</v>
      </c>
      <c r="BB72" s="282">
        <v>0</v>
      </c>
      <c r="BC72" s="282">
        <v>0</v>
      </c>
      <c r="BD72" s="282">
        <v>47698</v>
      </c>
      <c r="BE72" s="282">
        <v>1790514</v>
      </c>
      <c r="BF72" s="282">
        <v>102</v>
      </c>
      <c r="BG72" s="282">
        <v>0</v>
      </c>
      <c r="BH72" s="282">
        <v>11473483</v>
      </c>
      <c r="BI72" s="282">
        <v>3446</v>
      </c>
      <c r="BJ72" s="282">
        <v>80199</v>
      </c>
      <c r="BK72" s="282">
        <v>351</v>
      </c>
      <c r="BL72" s="282">
        <v>35112</v>
      </c>
      <c r="BM72" s="282">
        <v>2854799</v>
      </c>
      <c r="BN72" s="282">
        <v>18877</v>
      </c>
      <c r="BO72" s="282">
        <v>34044</v>
      </c>
      <c r="BP72" s="282">
        <v>24657</v>
      </c>
      <c r="BQ72" s="282">
        <v>0</v>
      </c>
      <c r="BR72" s="282">
        <v>724916</v>
      </c>
      <c r="BS72" s="282">
        <v>5192</v>
      </c>
      <c r="BT72" s="282">
        <v>0</v>
      </c>
      <c r="BU72" s="282">
        <v>0</v>
      </c>
      <c r="BV72" s="282">
        <v>6945</v>
      </c>
      <c r="BW72" s="282">
        <v>155091</v>
      </c>
      <c r="BX72" s="282">
        <v>62566</v>
      </c>
      <c r="BY72" s="282">
        <v>177969</v>
      </c>
      <c r="BZ72" s="282">
        <v>1216358</v>
      </c>
      <c r="CA72" s="282">
        <v>5792</v>
      </c>
      <c r="CB72" s="282">
        <v>0</v>
      </c>
      <c r="CC72" s="282">
        <v>495019</v>
      </c>
      <c r="CD72" s="282">
        <v>56915.85</v>
      </c>
      <c r="CE72" s="25">
        <v>22779611.850000001</v>
      </c>
    </row>
    <row r="73" spans="1:83" x14ac:dyDescent="0.25">
      <c r="A73" s="26" t="s">
        <v>272</v>
      </c>
      <c r="B73" s="334"/>
      <c r="C73" s="282">
        <v>720</v>
      </c>
      <c r="D73" s="282">
        <v>0</v>
      </c>
      <c r="E73" s="282">
        <v>0</v>
      </c>
      <c r="F73" s="282">
        <v>0</v>
      </c>
      <c r="G73" s="282">
        <v>0</v>
      </c>
      <c r="H73" s="282">
        <v>7655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734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-1192</v>
      </c>
      <c r="Z73" s="282">
        <v>0</v>
      </c>
      <c r="AA73" s="282">
        <v>397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34713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1469502</v>
      </c>
      <c r="AQ73" s="282">
        <v>0</v>
      </c>
      <c r="AR73" s="282">
        <v>1980</v>
      </c>
      <c r="AS73" s="282">
        <v>0</v>
      </c>
      <c r="AT73" s="282">
        <v>0</v>
      </c>
      <c r="AU73" s="282">
        <v>0</v>
      </c>
      <c r="AV73" s="282">
        <v>233801.78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11729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-156979</v>
      </c>
      <c r="CE73" s="25">
        <v>1603060.78</v>
      </c>
    </row>
    <row r="74" spans="1:83" x14ac:dyDescent="0.25">
      <c r="A74" s="26" t="s">
        <v>273</v>
      </c>
      <c r="B74" s="334"/>
      <c r="C74" s="282">
        <v>30613</v>
      </c>
      <c r="D74" s="282">
        <v>0</v>
      </c>
      <c r="E74" s="282">
        <v>285190</v>
      </c>
      <c r="F74" s="282">
        <v>56727</v>
      </c>
      <c r="G74" s="282">
        <v>0</v>
      </c>
      <c r="H74" s="282">
        <v>16609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77164</v>
      </c>
      <c r="P74" s="282">
        <v>173071</v>
      </c>
      <c r="Q74" s="282">
        <v>23957</v>
      </c>
      <c r="R74" s="282">
        <v>0</v>
      </c>
      <c r="S74" s="282">
        <v>9614</v>
      </c>
      <c r="T74" s="282">
        <v>0</v>
      </c>
      <c r="U74" s="282">
        <v>13</v>
      </c>
      <c r="V74" s="282">
        <v>0</v>
      </c>
      <c r="W74" s="282">
        <v>6231</v>
      </c>
      <c r="X74" s="282">
        <v>13323</v>
      </c>
      <c r="Y74" s="282">
        <v>35966</v>
      </c>
      <c r="Z74" s="282">
        <v>0</v>
      </c>
      <c r="AA74" s="282">
        <v>1713</v>
      </c>
      <c r="AB74" s="282">
        <v>988</v>
      </c>
      <c r="AC74" s="282">
        <v>0</v>
      </c>
      <c r="AD74" s="282">
        <v>0</v>
      </c>
      <c r="AE74" s="282">
        <v>4001</v>
      </c>
      <c r="AF74" s="282">
        <v>0</v>
      </c>
      <c r="AG74" s="282">
        <v>135009</v>
      </c>
      <c r="AH74" s="282">
        <v>0</v>
      </c>
      <c r="AI74" s="282">
        <v>0</v>
      </c>
      <c r="AJ74" s="282">
        <v>360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69955</v>
      </c>
      <c r="AQ74" s="282">
        <v>0</v>
      </c>
      <c r="AR74" s="282">
        <v>32539</v>
      </c>
      <c r="AS74" s="282">
        <v>0</v>
      </c>
      <c r="AT74" s="282">
        <v>0</v>
      </c>
      <c r="AU74" s="282">
        <v>0</v>
      </c>
      <c r="AV74" s="282">
        <v>13766</v>
      </c>
      <c r="AW74" s="282">
        <v>0</v>
      </c>
      <c r="AX74" s="282">
        <v>0</v>
      </c>
      <c r="AY74" s="282">
        <v>0</v>
      </c>
      <c r="AZ74" s="282">
        <v>0</v>
      </c>
      <c r="BA74" s="282">
        <v>1085956</v>
      </c>
      <c r="BB74" s="282">
        <v>0</v>
      </c>
      <c r="BC74" s="282">
        <v>0</v>
      </c>
      <c r="BD74" s="282">
        <v>0</v>
      </c>
      <c r="BE74" s="282">
        <v>6</v>
      </c>
      <c r="BF74" s="282">
        <v>2175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64</v>
      </c>
      <c r="CD74" s="282">
        <v>0</v>
      </c>
      <c r="CE74" s="25">
        <v>2075010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28992</v>
      </c>
      <c r="Q75" s="282">
        <v>0</v>
      </c>
      <c r="R75" s="282">
        <v>0</v>
      </c>
      <c r="S75" s="282">
        <v>0</v>
      </c>
      <c r="T75" s="282">
        <v>0</v>
      </c>
      <c r="U75" s="282">
        <v>13319</v>
      </c>
      <c r="V75" s="282">
        <v>0</v>
      </c>
      <c r="W75" s="282">
        <v>0</v>
      </c>
      <c r="X75" s="282">
        <v>0</v>
      </c>
      <c r="Y75" s="282">
        <v>55745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7490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252770</v>
      </c>
      <c r="AQ75" s="282">
        <v>0</v>
      </c>
      <c r="AR75" s="282">
        <v>57768</v>
      </c>
      <c r="AS75" s="282">
        <v>0</v>
      </c>
      <c r="AT75" s="282">
        <v>0</v>
      </c>
      <c r="AU75" s="282">
        <v>0</v>
      </c>
      <c r="AV75" s="282">
        <v>25333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336031</v>
      </c>
      <c r="BK75" s="282">
        <v>0</v>
      </c>
      <c r="BL75" s="282">
        <v>0</v>
      </c>
      <c r="BM75" s="282">
        <v>0</v>
      </c>
      <c r="BN75" s="282">
        <v>18844112</v>
      </c>
      <c r="BO75" s="282">
        <v>1440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2198</v>
      </c>
      <c r="BY75" s="282">
        <v>0</v>
      </c>
      <c r="BZ75" s="282">
        <v>0</v>
      </c>
      <c r="CA75" s="282">
        <v>0</v>
      </c>
      <c r="CB75" s="282">
        <v>0</v>
      </c>
      <c r="CC75" s="282">
        <v>323845</v>
      </c>
      <c r="CD75" s="282">
        <v>2907604</v>
      </c>
      <c r="CE75" s="25">
        <v>22856647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1547988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74653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1622641</v>
      </c>
    </row>
    <row r="77" spans="1:83" x14ac:dyDescent="0.25">
      <c r="A77" s="26" t="s">
        <v>276</v>
      </c>
      <c r="B77" s="334"/>
      <c r="C77" s="282">
        <v>29595</v>
      </c>
      <c r="D77" s="282">
        <v>0</v>
      </c>
      <c r="E77" s="282">
        <v>11884</v>
      </c>
      <c r="F77" s="282">
        <v>1647</v>
      </c>
      <c r="G77" s="282">
        <v>0</v>
      </c>
      <c r="H77" s="282">
        <v>9313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10840</v>
      </c>
      <c r="P77" s="282">
        <v>643182</v>
      </c>
      <c r="Q77" s="282">
        <v>439</v>
      </c>
      <c r="R77" s="282">
        <v>3492</v>
      </c>
      <c r="S77" s="282">
        <v>116131</v>
      </c>
      <c r="T77" s="282">
        <v>6492</v>
      </c>
      <c r="U77" s="282">
        <v>193568</v>
      </c>
      <c r="V77" s="282">
        <v>2438</v>
      </c>
      <c r="W77" s="282">
        <v>18035</v>
      </c>
      <c r="X77" s="282">
        <v>1786</v>
      </c>
      <c r="Y77" s="282">
        <v>142413</v>
      </c>
      <c r="Z77" s="282">
        <v>2686</v>
      </c>
      <c r="AA77" s="282">
        <v>1190</v>
      </c>
      <c r="AB77" s="282">
        <v>27978</v>
      </c>
      <c r="AC77" s="282">
        <v>22935</v>
      </c>
      <c r="AD77" s="282">
        <v>34</v>
      </c>
      <c r="AE77" s="282">
        <v>1973</v>
      </c>
      <c r="AF77" s="282">
        <v>0</v>
      </c>
      <c r="AG77" s="282">
        <v>8835</v>
      </c>
      <c r="AH77" s="282">
        <v>0</v>
      </c>
      <c r="AI77" s="282">
        <v>0</v>
      </c>
      <c r="AJ77" s="282">
        <v>141009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218557</v>
      </c>
      <c r="AQ77" s="282">
        <v>0</v>
      </c>
      <c r="AR77" s="282">
        <v>62973</v>
      </c>
      <c r="AS77" s="282">
        <v>0</v>
      </c>
      <c r="AT77" s="282">
        <v>0</v>
      </c>
      <c r="AU77" s="282">
        <v>0</v>
      </c>
      <c r="AV77" s="282">
        <v>35702</v>
      </c>
      <c r="AW77" s="282">
        <v>0</v>
      </c>
      <c r="AX77" s="282">
        <v>0</v>
      </c>
      <c r="AY77" s="282">
        <v>51314</v>
      </c>
      <c r="AZ77" s="282">
        <v>5651</v>
      </c>
      <c r="BA77" s="282">
        <v>0</v>
      </c>
      <c r="BB77" s="282">
        <v>0</v>
      </c>
      <c r="BC77" s="282">
        <v>0</v>
      </c>
      <c r="BD77" s="282">
        <v>1073</v>
      </c>
      <c r="BE77" s="282">
        <v>741384</v>
      </c>
      <c r="BF77" s="282">
        <v>5687</v>
      </c>
      <c r="BG77" s="282">
        <v>1124</v>
      </c>
      <c r="BH77" s="282">
        <v>196049</v>
      </c>
      <c r="BI77" s="282">
        <v>557</v>
      </c>
      <c r="BJ77" s="282">
        <v>721</v>
      </c>
      <c r="BK77" s="282">
        <v>0</v>
      </c>
      <c r="BL77" s="282">
        <v>0</v>
      </c>
      <c r="BM77" s="282">
        <v>0</v>
      </c>
      <c r="BN77" s="282">
        <v>126</v>
      </c>
      <c r="BO77" s="282">
        <v>44476</v>
      </c>
      <c r="BP77" s="282">
        <v>91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836</v>
      </c>
      <c r="BY77" s="282">
        <v>1426</v>
      </c>
      <c r="BZ77" s="282">
        <v>0</v>
      </c>
      <c r="CA77" s="282">
        <v>0</v>
      </c>
      <c r="CB77" s="282">
        <v>0</v>
      </c>
      <c r="CC77" s="282">
        <v>93914</v>
      </c>
      <c r="CD77" s="282">
        <v>86535</v>
      </c>
      <c r="CE77" s="25">
        <v>2946091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22528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960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103</v>
      </c>
      <c r="BJ79" s="282">
        <v>0</v>
      </c>
      <c r="BK79" s="282">
        <v>0</v>
      </c>
      <c r="BL79" s="282">
        <v>0</v>
      </c>
      <c r="BM79" s="282">
        <v>0</v>
      </c>
      <c r="BN79" s="282">
        <v>58</v>
      </c>
      <c r="BO79" s="282">
        <v>0</v>
      </c>
      <c r="BP79" s="282">
        <v>0</v>
      </c>
      <c r="BQ79" s="282">
        <v>0</v>
      </c>
      <c r="BR79" s="282">
        <v>234627</v>
      </c>
      <c r="BS79" s="282">
        <v>0</v>
      </c>
      <c r="BT79" s="282">
        <v>0</v>
      </c>
      <c r="BU79" s="282">
        <v>0</v>
      </c>
      <c r="BV79" s="282">
        <v>0</v>
      </c>
      <c r="BW79" s="282">
        <v>18303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139306</v>
      </c>
      <c r="CE79" s="25">
        <v>415885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28992</v>
      </c>
      <c r="Q81" s="282">
        <v>0</v>
      </c>
      <c r="R81" s="282">
        <v>0</v>
      </c>
      <c r="S81" s="282">
        <v>0</v>
      </c>
      <c r="T81" s="282">
        <v>0</v>
      </c>
      <c r="U81" s="282">
        <v>13319</v>
      </c>
      <c r="V81" s="282">
        <v>0</v>
      </c>
      <c r="W81" s="282">
        <v>0</v>
      </c>
      <c r="X81" s="282">
        <v>0</v>
      </c>
      <c r="Y81" s="282">
        <v>55745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7490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249671</v>
      </c>
      <c r="AQ81" s="282">
        <v>0</v>
      </c>
      <c r="AR81" s="282">
        <v>57768</v>
      </c>
      <c r="AS81" s="282">
        <v>0</v>
      </c>
      <c r="AT81" s="282">
        <v>0</v>
      </c>
      <c r="AU81" s="282">
        <v>0</v>
      </c>
      <c r="AV81" s="282">
        <v>25333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-2368</v>
      </c>
      <c r="BK81" s="282">
        <v>0</v>
      </c>
      <c r="BL81" s="282">
        <v>0</v>
      </c>
      <c r="BM81" s="282">
        <v>0</v>
      </c>
      <c r="BN81" s="282">
        <v>9956427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2198</v>
      </c>
      <c r="BY81" s="282">
        <v>0</v>
      </c>
      <c r="BZ81" s="282">
        <v>0</v>
      </c>
      <c r="CA81" s="282">
        <v>0</v>
      </c>
      <c r="CB81" s="282">
        <v>0</v>
      </c>
      <c r="CC81" s="282">
        <v>69326</v>
      </c>
      <c r="CD81" s="282">
        <v>2865271</v>
      </c>
      <c r="CE81" s="25">
        <v>13329172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</row>
    <row r="83" spans="1:84" x14ac:dyDescent="0.25">
      <c r="A83" s="26" t="s">
        <v>282</v>
      </c>
      <c r="B83" s="16"/>
      <c r="C83" s="273">
        <v>137107</v>
      </c>
      <c r="D83" s="273">
        <v>0</v>
      </c>
      <c r="E83" s="329">
        <v>33662.71</v>
      </c>
      <c r="F83" s="329">
        <v>39216</v>
      </c>
      <c r="G83" s="273">
        <v>0</v>
      </c>
      <c r="H83" s="273">
        <v>9969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22221</v>
      </c>
      <c r="P83" s="329">
        <v>243527</v>
      </c>
      <c r="Q83" s="329">
        <v>146</v>
      </c>
      <c r="R83" s="331">
        <v>5554</v>
      </c>
      <c r="S83" s="329">
        <v>3710</v>
      </c>
      <c r="T83" s="273">
        <v>7600</v>
      </c>
      <c r="U83" s="329">
        <v>152995</v>
      </c>
      <c r="V83" s="329">
        <v>0</v>
      </c>
      <c r="W83" s="273">
        <v>180</v>
      </c>
      <c r="X83" s="329">
        <v>1336</v>
      </c>
      <c r="Y83" s="329">
        <v>143522</v>
      </c>
      <c r="Z83" s="329">
        <v>29423</v>
      </c>
      <c r="AA83" s="329">
        <v>17550</v>
      </c>
      <c r="AB83" s="329">
        <v>286162</v>
      </c>
      <c r="AC83" s="329">
        <v>4716</v>
      </c>
      <c r="AD83" s="329">
        <v>0</v>
      </c>
      <c r="AE83" s="329">
        <v>39936</v>
      </c>
      <c r="AF83" s="329">
        <v>0</v>
      </c>
      <c r="AG83" s="329">
        <v>8954</v>
      </c>
      <c r="AH83" s="329">
        <v>0</v>
      </c>
      <c r="AI83" s="329">
        <v>0</v>
      </c>
      <c r="AJ83" s="329">
        <v>627018</v>
      </c>
      <c r="AK83" s="329">
        <v>0</v>
      </c>
      <c r="AL83" s="329">
        <v>0</v>
      </c>
      <c r="AM83" s="329">
        <v>0</v>
      </c>
      <c r="AN83" s="329">
        <v>0</v>
      </c>
      <c r="AO83" s="273">
        <v>0</v>
      </c>
      <c r="AP83" s="329">
        <v>1519773</v>
      </c>
      <c r="AQ83" s="273">
        <v>0</v>
      </c>
      <c r="AR83" s="273">
        <v>287020</v>
      </c>
      <c r="AS83" s="273">
        <v>0</v>
      </c>
      <c r="AT83" s="273">
        <v>0</v>
      </c>
      <c r="AU83" s="329">
        <v>0</v>
      </c>
      <c r="AV83" s="329">
        <v>312526</v>
      </c>
      <c r="AW83" s="329">
        <v>0</v>
      </c>
      <c r="AX83" s="329">
        <v>0</v>
      </c>
      <c r="AY83" s="329">
        <v>18807</v>
      </c>
      <c r="AZ83" s="329">
        <v>179985</v>
      </c>
      <c r="BA83" s="329">
        <v>205</v>
      </c>
      <c r="BB83" s="329">
        <v>0</v>
      </c>
      <c r="BC83" s="329">
        <v>0</v>
      </c>
      <c r="BD83" s="329">
        <v>1771672</v>
      </c>
      <c r="BE83" s="329">
        <v>71379</v>
      </c>
      <c r="BF83" s="329">
        <v>1043324</v>
      </c>
      <c r="BG83" s="329">
        <v>189673</v>
      </c>
      <c r="BH83" s="331">
        <v>353604</v>
      </c>
      <c r="BI83" s="329">
        <v>113686</v>
      </c>
      <c r="BJ83" s="329">
        <v>22710</v>
      </c>
      <c r="BK83" s="329">
        <v>355069</v>
      </c>
      <c r="BL83" s="329">
        <v>462</v>
      </c>
      <c r="BM83" s="329">
        <v>10875</v>
      </c>
      <c r="BN83" s="329">
        <v>3825147</v>
      </c>
      <c r="BO83" s="329">
        <v>13311</v>
      </c>
      <c r="BP83" s="329">
        <v>69480</v>
      </c>
      <c r="BQ83" s="329">
        <v>0</v>
      </c>
      <c r="BR83" s="329">
        <v>11766</v>
      </c>
      <c r="BS83" s="329">
        <v>8733</v>
      </c>
      <c r="BT83" s="329">
        <v>712</v>
      </c>
      <c r="BU83" s="329">
        <v>0</v>
      </c>
      <c r="BV83" s="329">
        <v>20395</v>
      </c>
      <c r="BW83" s="329">
        <v>143943</v>
      </c>
      <c r="BX83" s="329">
        <v>316969</v>
      </c>
      <c r="BY83" s="329">
        <v>559</v>
      </c>
      <c r="BZ83" s="329">
        <v>1821</v>
      </c>
      <c r="CA83" s="329">
        <v>12626</v>
      </c>
      <c r="CB83" s="329">
        <v>0</v>
      </c>
      <c r="CC83" s="329">
        <v>2628553</v>
      </c>
      <c r="CD83" s="282">
        <v>-168445003</v>
      </c>
      <c r="CE83" s="25">
        <v>-153325713.28999999</v>
      </c>
    </row>
    <row r="84" spans="1:84" x14ac:dyDescent="0.25">
      <c r="A84" s="31" t="s">
        <v>283</v>
      </c>
      <c r="B84" s="16"/>
      <c r="C84" s="273">
        <v>122462</v>
      </c>
      <c r="D84" s="273">
        <v>0</v>
      </c>
      <c r="E84" s="273">
        <v>1664</v>
      </c>
      <c r="F84" s="273">
        <v>37900</v>
      </c>
      <c r="G84" s="273">
        <v>0</v>
      </c>
      <c r="H84" s="273">
        <v>87235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11287</v>
      </c>
      <c r="P84" s="273">
        <v>6000</v>
      </c>
      <c r="Q84" s="273">
        <v>0</v>
      </c>
      <c r="R84" s="273">
        <v>0</v>
      </c>
      <c r="S84" s="273">
        <v>0</v>
      </c>
      <c r="T84" s="273">
        <v>0</v>
      </c>
      <c r="U84" s="273">
        <v>33322</v>
      </c>
      <c r="V84" s="273">
        <v>0</v>
      </c>
      <c r="W84" s="273">
        <v>0</v>
      </c>
      <c r="X84" s="273">
        <v>0</v>
      </c>
      <c r="Y84" s="273">
        <v>2283</v>
      </c>
      <c r="Z84" s="273">
        <v>47</v>
      </c>
      <c r="AA84" s="273">
        <v>0</v>
      </c>
      <c r="AB84" s="273">
        <v>236060</v>
      </c>
      <c r="AC84" s="273">
        <v>0</v>
      </c>
      <c r="AD84" s="273">
        <v>0</v>
      </c>
      <c r="AE84" s="273">
        <v>162298</v>
      </c>
      <c r="AF84" s="273">
        <v>0</v>
      </c>
      <c r="AG84" s="273">
        <v>72903</v>
      </c>
      <c r="AH84" s="273">
        <v>0</v>
      </c>
      <c r="AI84" s="273">
        <v>0</v>
      </c>
      <c r="AJ84" s="273">
        <v>605942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226096</v>
      </c>
      <c r="AQ84" s="273">
        <v>0</v>
      </c>
      <c r="AR84" s="273">
        <v>125706</v>
      </c>
      <c r="AS84" s="273">
        <v>0</v>
      </c>
      <c r="AT84" s="273">
        <v>0</v>
      </c>
      <c r="AU84" s="273">
        <v>0</v>
      </c>
      <c r="AV84" s="273">
        <v>6592838</v>
      </c>
      <c r="AW84" s="273">
        <v>0</v>
      </c>
      <c r="AX84" s="273">
        <v>0</v>
      </c>
      <c r="AY84" s="273">
        <v>3047</v>
      </c>
      <c r="AZ84" s="273">
        <v>2269848</v>
      </c>
      <c r="BA84" s="273">
        <v>0</v>
      </c>
      <c r="BB84" s="273">
        <v>0</v>
      </c>
      <c r="BC84" s="273">
        <v>0</v>
      </c>
      <c r="BD84" s="273">
        <v>67826</v>
      </c>
      <c r="BE84" s="273">
        <v>0</v>
      </c>
      <c r="BF84" s="273">
        <v>0</v>
      </c>
      <c r="BG84" s="273">
        <v>0</v>
      </c>
      <c r="BH84" s="273">
        <v>10</v>
      </c>
      <c r="BI84" s="273">
        <v>2342</v>
      </c>
      <c r="BJ84" s="273">
        <v>88185</v>
      </c>
      <c r="BK84" s="273">
        <v>55068</v>
      </c>
      <c r="BL84" s="273">
        <v>55</v>
      </c>
      <c r="BM84" s="273">
        <v>0</v>
      </c>
      <c r="BN84" s="273">
        <v>2516995</v>
      </c>
      <c r="BO84" s="273">
        <v>6205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16020</v>
      </c>
      <c r="BW84" s="273">
        <v>138214</v>
      </c>
      <c r="BX84" s="273">
        <v>9000</v>
      </c>
      <c r="BY84" s="273">
        <v>0</v>
      </c>
      <c r="BZ84" s="273">
        <v>0</v>
      </c>
      <c r="CA84" s="273">
        <v>0</v>
      </c>
      <c r="CB84" s="273">
        <v>0</v>
      </c>
      <c r="CC84" s="273">
        <v>4929715</v>
      </c>
      <c r="CD84" s="282">
        <v>8813547</v>
      </c>
      <c r="CE84" s="25">
        <v>27240120</v>
      </c>
    </row>
    <row r="85" spans="1:84" x14ac:dyDescent="0.25">
      <c r="A85" s="31" t="s">
        <v>284</v>
      </c>
      <c r="B85" s="25"/>
      <c r="C85" s="25">
        <v>8925783</v>
      </c>
      <c r="D85" s="25">
        <v>0</v>
      </c>
      <c r="E85" s="25">
        <v>30271929.710000001</v>
      </c>
      <c r="F85" s="25">
        <v>5986724</v>
      </c>
      <c r="G85" s="25">
        <v>0</v>
      </c>
      <c r="H85" s="25">
        <v>5780652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7279075</v>
      </c>
      <c r="P85" s="25">
        <v>35996440</v>
      </c>
      <c r="Q85" s="25">
        <v>6503304</v>
      </c>
      <c r="R85" s="25">
        <v>478110</v>
      </c>
      <c r="S85" s="25">
        <v>3144649</v>
      </c>
      <c r="T85" s="25">
        <v>5946808</v>
      </c>
      <c r="U85" s="25">
        <v>12655374</v>
      </c>
      <c r="V85" s="25">
        <v>132111</v>
      </c>
      <c r="W85" s="25">
        <v>1987618</v>
      </c>
      <c r="X85" s="25">
        <v>2597874</v>
      </c>
      <c r="Y85" s="25">
        <v>19781500</v>
      </c>
      <c r="Z85" s="25">
        <v>3931815</v>
      </c>
      <c r="AA85" s="25">
        <v>1323641</v>
      </c>
      <c r="AB85" s="25">
        <v>19895283</v>
      </c>
      <c r="AC85" s="25">
        <v>3224297</v>
      </c>
      <c r="AD85" s="25">
        <v>1783639</v>
      </c>
      <c r="AE85" s="25">
        <v>3498215</v>
      </c>
      <c r="AF85" s="25">
        <v>0</v>
      </c>
      <c r="AG85" s="25">
        <v>30896184</v>
      </c>
      <c r="AH85" s="25">
        <v>0</v>
      </c>
      <c r="AI85" s="25">
        <v>0</v>
      </c>
      <c r="AJ85" s="25">
        <v>39418010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114996969</v>
      </c>
      <c r="AQ85" s="25">
        <v>0</v>
      </c>
      <c r="AR85" s="25">
        <v>13002919</v>
      </c>
      <c r="AS85" s="25">
        <v>0</v>
      </c>
      <c r="AT85" s="25">
        <v>0</v>
      </c>
      <c r="AU85" s="25">
        <v>0</v>
      </c>
      <c r="AV85" s="25">
        <v>34336187.780000001</v>
      </c>
      <c r="AW85" s="25">
        <v>0</v>
      </c>
      <c r="AX85" s="25">
        <v>0</v>
      </c>
      <c r="AY85" s="25">
        <v>3024346</v>
      </c>
      <c r="AZ85" s="25">
        <v>181400</v>
      </c>
      <c r="BA85" s="25">
        <v>1886501.19</v>
      </c>
      <c r="BB85" s="25">
        <v>0</v>
      </c>
      <c r="BC85" s="25">
        <v>0</v>
      </c>
      <c r="BD85" s="25">
        <v>3037618</v>
      </c>
      <c r="BE85" s="25">
        <v>15815856</v>
      </c>
      <c r="BF85" s="25">
        <v>4661806</v>
      </c>
      <c r="BG85" s="25">
        <v>356549</v>
      </c>
      <c r="BH85" s="25">
        <v>14854847</v>
      </c>
      <c r="BI85" s="25">
        <v>2580902</v>
      </c>
      <c r="BJ85" s="25">
        <v>1309671</v>
      </c>
      <c r="BK85" s="25">
        <v>6373127</v>
      </c>
      <c r="BL85" s="25">
        <v>4696969</v>
      </c>
      <c r="BM85" s="25">
        <v>4612136</v>
      </c>
      <c r="BN85" s="25">
        <v>35802782</v>
      </c>
      <c r="BO85" s="25">
        <v>861743</v>
      </c>
      <c r="BP85" s="25">
        <v>419575</v>
      </c>
      <c r="BQ85" s="25">
        <v>0</v>
      </c>
      <c r="BR85" s="25">
        <v>4206584</v>
      </c>
      <c r="BS85" s="25">
        <v>115849</v>
      </c>
      <c r="BT85" s="25">
        <v>195637</v>
      </c>
      <c r="BU85" s="25">
        <v>0</v>
      </c>
      <c r="BV85" s="25">
        <v>5206085</v>
      </c>
      <c r="BW85" s="25">
        <v>632424</v>
      </c>
      <c r="BX85" s="25">
        <v>8359134</v>
      </c>
      <c r="BY85" s="25">
        <v>1532667</v>
      </c>
      <c r="BZ85" s="25">
        <v>3658944</v>
      </c>
      <c r="CA85" s="25">
        <v>367245</v>
      </c>
      <c r="CB85" s="25">
        <v>0</v>
      </c>
      <c r="CC85" s="25">
        <v>10619484</v>
      </c>
      <c r="CD85" s="25">
        <v>-171359897.15000001</v>
      </c>
      <c r="CE85" s="25">
        <v>377785095.53000009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30892760</v>
      </c>
      <c r="D87" s="273">
        <v>0</v>
      </c>
      <c r="E87" s="273">
        <v>147718026</v>
      </c>
      <c r="F87" s="273">
        <v>27309691</v>
      </c>
      <c r="G87" s="273">
        <v>0</v>
      </c>
      <c r="H87" s="273">
        <v>25805668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17497582</v>
      </c>
      <c r="P87" s="273">
        <v>30023608</v>
      </c>
      <c r="Q87" s="273">
        <v>2351547</v>
      </c>
      <c r="R87" s="273">
        <v>1503892</v>
      </c>
      <c r="S87" s="273">
        <v>-50</v>
      </c>
      <c r="T87" s="273">
        <v>1512289</v>
      </c>
      <c r="U87" s="273">
        <v>46352571</v>
      </c>
      <c r="V87" s="273">
        <v>3161469</v>
      </c>
      <c r="W87" s="273">
        <v>3027386</v>
      </c>
      <c r="X87" s="273">
        <v>26523275</v>
      </c>
      <c r="Y87" s="273">
        <v>33590364</v>
      </c>
      <c r="Z87" s="273">
        <v>252021</v>
      </c>
      <c r="AA87" s="273">
        <v>197467</v>
      </c>
      <c r="AB87" s="273">
        <v>39228897</v>
      </c>
      <c r="AC87" s="273">
        <v>17905762</v>
      </c>
      <c r="AD87" s="273">
        <v>3645702</v>
      </c>
      <c r="AE87" s="273">
        <v>4067405</v>
      </c>
      <c r="AF87" s="273">
        <v>0</v>
      </c>
      <c r="AG87" s="273">
        <v>44122370</v>
      </c>
      <c r="AH87" s="273">
        <v>0</v>
      </c>
      <c r="AI87" s="273">
        <v>0</v>
      </c>
      <c r="AJ87" s="273">
        <v>1040150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17390819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20548514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545669185</v>
      </c>
    </row>
    <row r="88" spans="1:84" x14ac:dyDescent="0.25">
      <c r="A88" s="21" t="s">
        <v>287</v>
      </c>
      <c r="B88" s="16"/>
      <c r="C88" s="273">
        <v>820915</v>
      </c>
      <c r="D88" s="273">
        <v>0</v>
      </c>
      <c r="E88" s="273">
        <v>12184065</v>
      </c>
      <c r="F88" s="273">
        <v>477914</v>
      </c>
      <c r="G88" s="273">
        <v>0</v>
      </c>
      <c r="H88" s="273">
        <v>27881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1205077</v>
      </c>
      <c r="P88" s="273">
        <v>129528817</v>
      </c>
      <c r="Q88" s="273">
        <v>10226431</v>
      </c>
      <c r="R88" s="273">
        <v>5429197</v>
      </c>
      <c r="S88" s="273">
        <v>50</v>
      </c>
      <c r="T88" s="273">
        <v>642838</v>
      </c>
      <c r="U88" s="273">
        <v>86125119</v>
      </c>
      <c r="V88" s="273">
        <v>6152195</v>
      </c>
      <c r="W88" s="273">
        <v>33688829</v>
      </c>
      <c r="X88" s="273">
        <v>83461265</v>
      </c>
      <c r="Y88" s="273">
        <v>106712674</v>
      </c>
      <c r="Z88" s="273">
        <v>24039612</v>
      </c>
      <c r="AA88" s="273">
        <v>8863252</v>
      </c>
      <c r="AB88" s="273">
        <v>39175624</v>
      </c>
      <c r="AC88" s="273">
        <v>5295575</v>
      </c>
      <c r="AD88" s="273">
        <v>165015</v>
      </c>
      <c r="AE88" s="273">
        <v>2942134</v>
      </c>
      <c r="AF88" s="273">
        <v>0</v>
      </c>
      <c r="AG88" s="273">
        <v>177788901</v>
      </c>
      <c r="AH88" s="273">
        <v>0</v>
      </c>
      <c r="AI88" s="273">
        <v>0</v>
      </c>
      <c r="AJ88" s="273">
        <v>190216286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262834691</v>
      </c>
      <c r="AQ88" s="273">
        <v>0</v>
      </c>
      <c r="AR88" s="273">
        <v>25425180</v>
      </c>
      <c r="AS88" s="273">
        <v>0</v>
      </c>
      <c r="AT88" s="273">
        <v>0</v>
      </c>
      <c r="AU88" s="273">
        <v>0</v>
      </c>
      <c r="AV88" s="273">
        <v>31262205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1244691742</v>
      </c>
    </row>
    <row r="89" spans="1:84" x14ac:dyDescent="0.25">
      <c r="A89" s="21" t="s">
        <v>288</v>
      </c>
      <c r="B89" s="16"/>
      <c r="C89" s="25">
        <v>31713675</v>
      </c>
      <c r="D89" s="25">
        <v>0</v>
      </c>
      <c r="E89" s="25">
        <v>159902091</v>
      </c>
      <c r="F89" s="25">
        <v>27787605</v>
      </c>
      <c r="G89" s="25">
        <v>0</v>
      </c>
      <c r="H89" s="25">
        <v>25833549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18702659</v>
      </c>
      <c r="P89" s="25">
        <v>159552425</v>
      </c>
      <c r="Q89" s="25">
        <v>12577978</v>
      </c>
      <c r="R89" s="25">
        <v>6933089</v>
      </c>
      <c r="S89" s="25">
        <v>0</v>
      </c>
      <c r="T89" s="25">
        <v>2155127</v>
      </c>
      <c r="U89" s="25">
        <v>132477690</v>
      </c>
      <c r="V89" s="25">
        <v>9313664</v>
      </c>
      <c r="W89" s="25">
        <v>36716215</v>
      </c>
      <c r="X89" s="25">
        <v>109984540</v>
      </c>
      <c r="Y89" s="25">
        <v>140303038</v>
      </c>
      <c r="Z89" s="25">
        <v>24291633</v>
      </c>
      <c r="AA89" s="25">
        <v>9060719</v>
      </c>
      <c r="AB89" s="25">
        <v>78404521</v>
      </c>
      <c r="AC89" s="25">
        <v>23201337</v>
      </c>
      <c r="AD89" s="25">
        <v>3810717</v>
      </c>
      <c r="AE89" s="25">
        <v>7009539</v>
      </c>
      <c r="AF89" s="25">
        <v>0</v>
      </c>
      <c r="AG89" s="25">
        <v>221911271</v>
      </c>
      <c r="AH89" s="25">
        <v>0</v>
      </c>
      <c r="AI89" s="25">
        <v>0</v>
      </c>
      <c r="AJ89" s="25">
        <v>191256436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280225510</v>
      </c>
      <c r="AQ89" s="25">
        <v>0</v>
      </c>
      <c r="AR89" s="25">
        <v>25425180</v>
      </c>
      <c r="AS89" s="25">
        <v>0</v>
      </c>
      <c r="AT89" s="25">
        <v>0</v>
      </c>
      <c r="AU89" s="25">
        <v>0</v>
      </c>
      <c r="AV89" s="25">
        <v>51810719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1790360927</v>
      </c>
    </row>
    <row r="90" spans="1:84" x14ac:dyDescent="0.25">
      <c r="A90" s="31" t="s">
        <v>289</v>
      </c>
      <c r="B90" s="25"/>
      <c r="C90" s="273">
        <v>11357</v>
      </c>
      <c r="D90" s="273">
        <v>0</v>
      </c>
      <c r="E90" s="273">
        <v>63645</v>
      </c>
      <c r="F90" s="273">
        <v>18753</v>
      </c>
      <c r="G90" s="273">
        <v>0</v>
      </c>
      <c r="H90" s="273">
        <v>13336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10598</v>
      </c>
      <c r="P90" s="273">
        <v>42665</v>
      </c>
      <c r="Q90" s="273">
        <v>3129</v>
      </c>
      <c r="R90" s="273">
        <v>626</v>
      </c>
      <c r="S90" s="273">
        <v>34343</v>
      </c>
      <c r="T90" s="273">
        <v>292</v>
      </c>
      <c r="U90" s="273">
        <v>11821</v>
      </c>
      <c r="V90" s="273">
        <v>226</v>
      </c>
      <c r="W90" s="273">
        <v>2276</v>
      </c>
      <c r="X90" s="273">
        <v>2391</v>
      </c>
      <c r="Y90" s="273">
        <v>40446</v>
      </c>
      <c r="Z90" s="273">
        <v>12695</v>
      </c>
      <c r="AA90" s="273">
        <v>2288</v>
      </c>
      <c r="AB90" s="273">
        <v>10303</v>
      </c>
      <c r="AC90" s="273">
        <v>3076</v>
      </c>
      <c r="AD90" s="273">
        <v>267</v>
      </c>
      <c r="AE90" s="273">
        <v>11031</v>
      </c>
      <c r="AF90" s="273">
        <v>0</v>
      </c>
      <c r="AG90" s="273">
        <v>20644</v>
      </c>
      <c r="AH90" s="273">
        <v>0</v>
      </c>
      <c r="AI90" s="273">
        <v>0</v>
      </c>
      <c r="AJ90" s="273">
        <v>16982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172950</v>
      </c>
      <c r="AQ90" s="273">
        <v>0</v>
      </c>
      <c r="AR90" s="273">
        <v>26125</v>
      </c>
      <c r="AS90" s="273">
        <v>0</v>
      </c>
      <c r="AT90" s="273">
        <v>0</v>
      </c>
      <c r="AU90" s="273">
        <v>0</v>
      </c>
      <c r="AV90" s="273">
        <v>10888</v>
      </c>
      <c r="AW90" s="273">
        <v>0</v>
      </c>
      <c r="AX90" s="273">
        <v>0</v>
      </c>
      <c r="AY90" s="273">
        <v>6631</v>
      </c>
      <c r="AZ90" s="273">
        <v>5471</v>
      </c>
      <c r="BA90" s="273">
        <v>2626</v>
      </c>
      <c r="BB90" s="273">
        <v>0</v>
      </c>
      <c r="BC90" s="273">
        <v>0</v>
      </c>
      <c r="BD90" s="273">
        <v>6662</v>
      </c>
      <c r="BE90" s="273">
        <v>426711</v>
      </c>
      <c r="BF90" s="273">
        <v>1419</v>
      </c>
      <c r="BG90" s="273">
        <v>196</v>
      </c>
      <c r="BH90" s="273">
        <v>6332</v>
      </c>
      <c r="BI90" s="273">
        <v>951</v>
      </c>
      <c r="BJ90" s="273">
        <v>3309</v>
      </c>
      <c r="BK90" s="273">
        <v>8469</v>
      </c>
      <c r="BL90" s="273">
        <v>3941</v>
      </c>
      <c r="BM90" s="273">
        <v>2249</v>
      </c>
      <c r="BN90" s="273">
        <v>1763</v>
      </c>
      <c r="BO90" s="273">
        <v>2514</v>
      </c>
      <c r="BP90" s="273">
        <v>3702</v>
      </c>
      <c r="BQ90" s="273">
        <v>0</v>
      </c>
      <c r="BR90" s="273">
        <v>3550</v>
      </c>
      <c r="BS90" s="273">
        <v>506</v>
      </c>
      <c r="BT90" s="273">
        <v>299</v>
      </c>
      <c r="BU90" s="273">
        <v>0</v>
      </c>
      <c r="BV90" s="273">
        <v>3702</v>
      </c>
      <c r="BW90" s="273">
        <v>1737</v>
      </c>
      <c r="BX90" s="273">
        <v>4254</v>
      </c>
      <c r="BY90" s="273">
        <v>300</v>
      </c>
      <c r="BZ90" s="273">
        <v>423</v>
      </c>
      <c r="CA90" s="273">
        <v>1583</v>
      </c>
      <c r="CB90" s="273">
        <v>0</v>
      </c>
      <c r="CC90" s="273">
        <v>18344</v>
      </c>
      <c r="CD90" s="224" t="s">
        <v>247</v>
      </c>
      <c r="CE90" s="25">
        <v>1060797</v>
      </c>
      <c r="CF90" s="25">
        <v>0</v>
      </c>
    </row>
    <row r="91" spans="1:84" x14ac:dyDescent="0.25">
      <c r="A91" s="21" t="s">
        <v>290</v>
      </c>
      <c r="B91" s="16"/>
      <c r="C91" s="273">
        <v>2451</v>
      </c>
      <c r="D91" s="273">
        <v>0</v>
      </c>
      <c r="E91" s="273">
        <v>136410</v>
      </c>
      <c r="F91" s="273">
        <v>12546</v>
      </c>
      <c r="G91" s="273">
        <v>0</v>
      </c>
      <c r="H91" s="273">
        <v>20620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196</v>
      </c>
      <c r="Q91" s="273">
        <v>166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1125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9367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1249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184130</v>
      </c>
      <c r="CF91" s="25">
        <v>0</v>
      </c>
    </row>
    <row r="92" spans="1:84" x14ac:dyDescent="0.25">
      <c r="A92" s="21" t="s">
        <v>291</v>
      </c>
      <c r="B92" s="16"/>
      <c r="C92" s="273">
        <v>4004</v>
      </c>
      <c r="D92" s="273">
        <v>0</v>
      </c>
      <c r="E92" s="273">
        <v>20800</v>
      </c>
      <c r="F92" s="273">
        <v>5408</v>
      </c>
      <c r="G92" s="273">
        <v>0</v>
      </c>
      <c r="H92" s="273">
        <v>2496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5408</v>
      </c>
      <c r="P92" s="273">
        <v>9867</v>
      </c>
      <c r="Q92" s="273">
        <v>884</v>
      </c>
      <c r="R92" s="273">
        <v>91</v>
      </c>
      <c r="S92" s="273">
        <v>3042</v>
      </c>
      <c r="T92" s="273">
        <v>26</v>
      </c>
      <c r="U92" s="273">
        <v>1261</v>
      </c>
      <c r="V92" s="273">
        <v>637</v>
      </c>
      <c r="W92" s="273">
        <v>195</v>
      </c>
      <c r="X92" s="273">
        <v>377</v>
      </c>
      <c r="Y92" s="273">
        <v>7631</v>
      </c>
      <c r="Z92" s="273">
        <v>2132</v>
      </c>
      <c r="AA92" s="273">
        <v>1326</v>
      </c>
      <c r="AB92" s="273">
        <v>1339</v>
      </c>
      <c r="AC92" s="273">
        <v>234</v>
      </c>
      <c r="AD92" s="273">
        <v>0</v>
      </c>
      <c r="AE92" s="273">
        <v>2002</v>
      </c>
      <c r="AF92" s="273">
        <v>0</v>
      </c>
      <c r="AG92" s="273">
        <v>17940</v>
      </c>
      <c r="AH92" s="273">
        <v>0</v>
      </c>
      <c r="AI92" s="273">
        <v>0</v>
      </c>
      <c r="AJ92" s="273">
        <v>5746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8281</v>
      </c>
      <c r="AQ92" s="273">
        <v>0</v>
      </c>
      <c r="AR92" s="273">
        <v>6747</v>
      </c>
      <c r="AS92" s="273">
        <v>0</v>
      </c>
      <c r="AT92" s="273">
        <v>0</v>
      </c>
      <c r="AU92" s="273">
        <v>0</v>
      </c>
      <c r="AV92" s="273">
        <v>5447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195</v>
      </c>
      <c r="BI92" s="273">
        <v>286</v>
      </c>
      <c r="BJ92" s="24" t="s">
        <v>247</v>
      </c>
      <c r="BK92" s="273">
        <v>0</v>
      </c>
      <c r="BL92" s="273">
        <v>260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65</v>
      </c>
      <c r="BT92" s="273">
        <v>0</v>
      </c>
      <c r="BU92" s="273">
        <v>0</v>
      </c>
      <c r="BV92" s="273">
        <v>0</v>
      </c>
      <c r="BW92" s="273">
        <v>52</v>
      </c>
      <c r="BX92" s="273">
        <v>338</v>
      </c>
      <c r="BY92" s="273">
        <v>195</v>
      </c>
      <c r="BZ92" s="273">
        <v>2262</v>
      </c>
      <c r="CA92" s="273">
        <v>130</v>
      </c>
      <c r="CB92" s="273">
        <v>0</v>
      </c>
      <c r="CC92" s="24" t="s">
        <v>247</v>
      </c>
      <c r="CD92" s="24" t="s">
        <v>247</v>
      </c>
      <c r="CE92" s="25">
        <v>117104</v>
      </c>
      <c r="CF92" s="16"/>
    </row>
    <row r="93" spans="1:84" x14ac:dyDescent="0.25">
      <c r="A93" s="21" t="s">
        <v>292</v>
      </c>
      <c r="B93" s="16"/>
      <c r="C93" s="273">
        <v>45995.61</v>
      </c>
      <c r="D93" s="273">
        <v>0</v>
      </c>
      <c r="E93" s="273">
        <v>509189.36800000002</v>
      </c>
      <c r="F93" s="273">
        <v>120566.13</v>
      </c>
      <c r="G93" s="273">
        <v>0</v>
      </c>
      <c r="H93" s="273">
        <v>43234.35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153153.1</v>
      </c>
      <c r="P93" s="273">
        <v>329512.02</v>
      </c>
      <c r="Q93" s="273">
        <v>68150.7</v>
      </c>
      <c r="R93" s="273">
        <v>0</v>
      </c>
      <c r="S93" s="273">
        <v>18032.95</v>
      </c>
      <c r="T93" s="273">
        <v>0</v>
      </c>
      <c r="U93" s="273">
        <v>0</v>
      </c>
      <c r="V93" s="273">
        <v>0</v>
      </c>
      <c r="W93" s="273">
        <v>12048.5</v>
      </c>
      <c r="X93" s="273">
        <v>33043.71</v>
      </c>
      <c r="Y93" s="273">
        <v>78481.490000000005</v>
      </c>
      <c r="Z93" s="273">
        <v>0</v>
      </c>
      <c r="AA93" s="273">
        <v>4436.7</v>
      </c>
      <c r="AB93" s="273">
        <v>1299.82</v>
      </c>
      <c r="AC93" s="273">
        <v>0</v>
      </c>
      <c r="AD93" s="273">
        <v>0</v>
      </c>
      <c r="AE93" s="273">
        <v>0</v>
      </c>
      <c r="AF93" s="273">
        <v>0</v>
      </c>
      <c r="AG93" s="273">
        <v>370247.37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3907.12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168.59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1791467.5280000002</v>
      </c>
      <c r="CF93" s="25">
        <v>0</v>
      </c>
    </row>
    <row r="94" spans="1:84" x14ac:dyDescent="0.25">
      <c r="A94" s="21" t="s">
        <v>293</v>
      </c>
      <c r="B94" s="16"/>
      <c r="C94" s="277">
        <v>18.440000000000001</v>
      </c>
      <c r="D94" s="277">
        <v>0</v>
      </c>
      <c r="E94" s="277">
        <v>0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0</v>
      </c>
      <c r="Q94" s="332">
        <v>0</v>
      </c>
      <c r="R94" s="332">
        <v>0</v>
      </c>
      <c r="S94" s="278">
        <v>0</v>
      </c>
      <c r="T94" s="278">
        <v>0</v>
      </c>
      <c r="U94" s="333">
        <v>0</v>
      </c>
      <c r="V94" s="332">
        <v>0</v>
      </c>
      <c r="W94" s="332">
        <v>0</v>
      </c>
      <c r="X94" s="332">
        <v>0</v>
      </c>
      <c r="Y94" s="332">
        <v>0</v>
      </c>
      <c r="Z94" s="332">
        <v>0</v>
      </c>
      <c r="AA94" s="332">
        <v>0</v>
      </c>
      <c r="AB94" s="278">
        <v>0</v>
      </c>
      <c r="AC94" s="332">
        <v>0</v>
      </c>
      <c r="AD94" s="332">
        <v>0</v>
      </c>
      <c r="AE94" s="332">
        <v>0</v>
      </c>
      <c r="AF94" s="332">
        <v>0</v>
      </c>
      <c r="AG94" s="332">
        <v>0</v>
      </c>
      <c r="AH94" s="332">
        <v>0</v>
      </c>
      <c r="AI94" s="332">
        <v>0</v>
      </c>
      <c r="AJ94" s="332">
        <v>0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18.440000000000001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98902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306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1057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1058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337" t="s">
        <v>1059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38" t="s">
        <v>1061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2">
        <v>14397</v>
      </c>
      <c r="D127" s="295">
        <v>58013</v>
      </c>
      <c r="E127" s="16"/>
    </row>
    <row r="128" spans="1:5" x14ac:dyDescent="0.25">
      <c r="A128" s="16" t="s">
        <v>333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2516</v>
      </c>
      <c r="D130" s="295">
        <v>4854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18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20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122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16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32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18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v>226</v>
      </c>
    </row>
    <row r="144" spans="1:5" x14ac:dyDescent="0.25">
      <c r="A144" s="16" t="s">
        <v>347</v>
      </c>
      <c r="B144" s="35" t="s">
        <v>299</v>
      </c>
      <c r="C144" s="292">
        <v>226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32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5377</v>
      </c>
      <c r="C154" s="295">
        <v>3660</v>
      </c>
      <c r="D154" s="295">
        <v>2644</v>
      </c>
      <c r="E154" s="25">
        <v>11681</v>
      </c>
    </row>
    <row r="155" spans="1:6" x14ac:dyDescent="0.25">
      <c r="A155" s="16" t="s">
        <v>241</v>
      </c>
      <c r="B155" s="295">
        <v>29609</v>
      </c>
      <c r="C155" s="295">
        <v>13788</v>
      </c>
      <c r="D155" s="295">
        <v>9324</v>
      </c>
      <c r="E155" s="25">
        <v>52721</v>
      </c>
    </row>
    <row r="156" spans="1:6" x14ac:dyDescent="0.25">
      <c r="A156" s="16" t="s">
        <v>354</v>
      </c>
      <c r="B156" s="295">
        <v>148973</v>
      </c>
      <c r="C156" s="295">
        <v>77779</v>
      </c>
      <c r="D156" s="295">
        <v>107660</v>
      </c>
      <c r="E156" s="25">
        <v>334412</v>
      </c>
    </row>
    <row r="157" spans="1:6" x14ac:dyDescent="0.25">
      <c r="A157" s="16" t="s">
        <v>286</v>
      </c>
      <c r="B157" s="295">
        <v>285311510</v>
      </c>
      <c r="C157" s="295">
        <v>157489205</v>
      </c>
      <c r="D157" s="295">
        <v>102868468</v>
      </c>
      <c r="E157" s="25">
        <v>545669183</v>
      </c>
      <c r="F157" s="14"/>
    </row>
    <row r="158" spans="1:6" x14ac:dyDescent="0.25">
      <c r="A158" s="16" t="s">
        <v>287</v>
      </c>
      <c r="B158" s="295">
        <v>554483295</v>
      </c>
      <c r="C158" s="295">
        <v>289689260</v>
      </c>
      <c r="D158" s="295">
        <v>400519189</v>
      </c>
      <c r="E158" s="25">
        <v>1244691744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15333404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540865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1122833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17100107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1011832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12520870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5754287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53384198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6350953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2078240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8429193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2494723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265638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2760361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343575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540793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12788379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13672747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3071193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3071193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5">
        <v>12075579</v>
      </c>
      <c r="C211" s="292">
        <v>5428832</v>
      </c>
      <c r="D211" s="295">
        <v>0</v>
      </c>
      <c r="E211" s="25">
        <v>17504411</v>
      </c>
    </row>
    <row r="212" spans="1:5" x14ac:dyDescent="0.25">
      <c r="A212" s="16" t="s">
        <v>389</v>
      </c>
      <c r="B212" s="295">
        <v>2770751</v>
      </c>
      <c r="C212" s="292">
        <v>6565859</v>
      </c>
      <c r="D212" s="295">
        <v>0</v>
      </c>
      <c r="E212" s="25">
        <v>9336610</v>
      </c>
    </row>
    <row r="213" spans="1:5" x14ac:dyDescent="0.25">
      <c r="A213" s="16" t="s">
        <v>390</v>
      </c>
      <c r="B213" s="295">
        <v>108492708</v>
      </c>
      <c r="C213" s="292">
        <v>28617075</v>
      </c>
      <c r="D213" s="295">
        <v>0</v>
      </c>
      <c r="E213" s="25">
        <v>137109783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72421252</v>
      </c>
      <c r="C215" s="292">
        <v>3546679</v>
      </c>
      <c r="D215" s="295">
        <v>0</v>
      </c>
      <c r="E215" s="25">
        <v>75967931</v>
      </c>
    </row>
    <row r="216" spans="1:5" x14ac:dyDescent="0.25">
      <c r="A216" s="16" t="s">
        <v>394</v>
      </c>
      <c r="B216" s="295">
        <v>102574826</v>
      </c>
      <c r="C216" s="292">
        <v>6045342</v>
      </c>
      <c r="D216" s="295">
        <v>90000</v>
      </c>
      <c r="E216" s="25">
        <v>108530168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6785018</v>
      </c>
      <c r="C218" s="292">
        <v>593074</v>
      </c>
      <c r="D218" s="295">
        <v>0</v>
      </c>
      <c r="E218" s="25">
        <v>7378092</v>
      </c>
    </row>
    <row r="219" spans="1:5" x14ac:dyDescent="0.25">
      <c r="A219" s="16" t="s">
        <v>397</v>
      </c>
      <c r="B219" s="295">
        <v>14365765</v>
      </c>
      <c r="C219" s="292">
        <v>-1641317</v>
      </c>
      <c r="D219" s="295">
        <v>0</v>
      </c>
      <c r="E219" s="25">
        <v>12724448</v>
      </c>
    </row>
    <row r="220" spans="1:5" x14ac:dyDescent="0.25">
      <c r="A220" s="16" t="s">
        <v>229</v>
      </c>
      <c r="B220" s="25">
        <v>319485899</v>
      </c>
      <c r="C220" s="225">
        <v>49155544</v>
      </c>
      <c r="D220" s="25">
        <v>90000</v>
      </c>
      <c r="E220" s="25">
        <v>368551443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5">
        <v>1867768</v>
      </c>
      <c r="C225" s="292">
        <v>-679803</v>
      </c>
      <c r="D225" s="295">
        <v>0</v>
      </c>
      <c r="E225" s="25">
        <v>1187965</v>
      </c>
    </row>
    <row r="226" spans="1:6" x14ac:dyDescent="0.25">
      <c r="A226" s="16" t="s">
        <v>390</v>
      </c>
      <c r="B226" s="295">
        <v>26592879</v>
      </c>
      <c r="C226" s="292">
        <v>-20212767</v>
      </c>
      <c r="D226" s="295">
        <v>0</v>
      </c>
      <c r="E226" s="25">
        <v>6380112</v>
      </c>
    </row>
    <row r="227" spans="1:6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295">
        <v>31464472</v>
      </c>
      <c r="C228" s="292">
        <v>5093786</v>
      </c>
      <c r="D228" s="295">
        <v>0</v>
      </c>
      <c r="E228" s="25">
        <v>36558258</v>
      </c>
    </row>
    <row r="229" spans="1:6" x14ac:dyDescent="0.25">
      <c r="A229" s="16" t="s">
        <v>394</v>
      </c>
      <c r="B229" s="295">
        <v>71063299</v>
      </c>
      <c r="C229" s="292">
        <v>8230539</v>
      </c>
      <c r="D229" s="295">
        <v>0</v>
      </c>
      <c r="E229" s="25">
        <v>79293838</v>
      </c>
    </row>
    <row r="230" spans="1:6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396</v>
      </c>
      <c r="B231" s="295">
        <v>3641678</v>
      </c>
      <c r="C231" s="292">
        <v>656527</v>
      </c>
      <c r="D231" s="295">
        <v>0</v>
      </c>
      <c r="E231" s="25">
        <v>4298205</v>
      </c>
    </row>
    <row r="232" spans="1:6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134630096</v>
      </c>
      <c r="C233" s="225">
        <v>-6911718</v>
      </c>
      <c r="D233" s="25">
        <v>0</v>
      </c>
      <c r="E233" s="25">
        <v>127718378</v>
      </c>
    </row>
    <row r="234" spans="1:6" x14ac:dyDescent="0.25">
      <c r="A234" s="16"/>
      <c r="B234" s="16"/>
      <c r="C234" s="22"/>
      <c r="D234" s="16"/>
      <c r="E234" s="16"/>
      <c r="F234" s="11">
        <v>240833065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9" t="s">
        <v>400</v>
      </c>
      <c r="C236" s="339"/>
      <c r="D236" s="30"/>
      <c r="E236" s="30"/>
    </row>
    <row r="237" spans="1:6" x14ac:dyDescent="0.25">
      <c r="A237" s="43" t="s">
        <v>400</v>
      </c>
      <c r="B237" s="30"/>
      <c r="C237" s="292">
        <v>9299679</v>
      </c>
      <c r="D237" s="32">
        <v>9299679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605971455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359976625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14281445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221592467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0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1201821992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36550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40850111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40850111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14794862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14794862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1266766644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79464025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266708843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193606087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1957894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21444130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9412250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3782600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189163655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4510608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3898446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8409054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17504411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9336610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137109783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75967931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108530168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7378092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12964286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368791281</v>
      </c>
      <c r="E291" s="16"/>
    </row>
    <row r="292" spans="1:5" x14ac:dyDescent="0.25">
      <c r="A292" s="16" t="s">
        <v>439</v>
      </c>
      <c r="B292" s="35" t="s">
        <v>299</v>
      </c>
      <c r="C292" s="292">
        <v>127718378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241072903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24463143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24463143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92006000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7439467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99445467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562554222</v>
      </c>
      <c r="E308" s="16"/>
    </row>
    <row r="309" spans="1:6" x14ac:dyDescent="0.25">
      <c r="A309" s="16"/>
      <c r="B309" s="16"/>
      <c r="C309" s="22"/>
      <c r="D309" s="16"/>
      <c r="E309" s="16"/>
      <c r="F309" s="11">
        <v>562554222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38436390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44593848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6407903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9689690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99127831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6056000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3743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6059743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19469136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61463951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1792858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82725945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82725945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374640703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562554222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562554222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545669185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1216091600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1761760785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9299679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1201821992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40850111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14794861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1266766643</v>
      </c>
      <c r="E366" s="16"/>
    </row>
    <row r="367" spans="1:5" x14ac:dyDescent="0.25">
      <c r="A367" s="16" t="s">
        <v>499</v>
      </c>
      <c r="B367" s="16"/>
      <c r="C367" s="22"/>
      <c r="D367" s="25">
        <v>494994142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9488300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9379143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28600143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134885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2269848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5967944</v>
      </c>
      <c r="D380" s="25">
        <v>0</v>
      </c>
      <c r="E380" s="204" t="s">
        <v>1062</v>
      </c>
      <c r="F380" s="47"/>
    </row>
    <row r="381" spans="1:6" x14ac:dyDescent="0.25">
      <c r="A381" s="48" t="s">
        <v>513</v>
      </c>
      <c r="B381" s="35"/>
      <c r="C381" s="35"/>
      <c r="D381" s="25">
        <v>55840263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55840263</v>
      </c>
      <c r="E383" s="16"/>
    </row>
    <row r="384" spans="1:6" x14ac:dyDescent="0.25">
      <c r="A384" s="16" t="s">
        <v>516</v>
      </c>
      <c r="B384" s="16"/>
      <c r="C384" s="22"/>
      <c r="D384" s="25">
        <v>550834405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4">
        <v>236787162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4">
        <v>53384198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4">
        <v>36228291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4">
        <v>99004258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4">
        <v>3524012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4">
        <v>25040090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4">
        <v>21976671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4">
        <v>8856289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1157330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13672747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3071193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1360151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6789053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22779612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1603061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2075010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9527475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1622641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2946091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415885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14287596</v>
      </c>
      <c r="D414" s="25">
        <v>0</v>
      </c>
      <c r="E414" s="204" t="s">
        <v>1062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63406575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566108816</v>
      </c>
      <c r="E416" s="25"/>
    </row>
    <row r="417" spans="1:13" x14ac:dyDescent="0.25">
      <c r="A417" s="25" t="s">
        <v>530</v>
      </c>
      <c r="B417" s="16"/>
      <c r="C417" s="22"/>
      <c r="D417" s="25">
        <v>-15274411</v>
      </c>
      <c r="E417" s="25"/>
    </row>
    <row r="418" spans="1:13" x14ac:dyDescent="0.25">
      <c r="A418" s="25" t="s">
        <v>531</v>
      </c>
      <c r="B418" s="16"/>
      <c r="C418" s="294">
        <v>170949394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170949394</v>
      </c>
      <c r="E420" s="25"/>
      <c r="F420" s="11">
        <v>167878201</v>
      </c>
    </row>
    <row r="421" spans="1:13" x14ac:dyDescent="0.25">
      <c r="A421" s="25" t="s">
        <v>534</v>
      </c>
      <c r="B421" s="16"/>
      <c r="C421" s="22"/>
      <c r="D421" s="25">
        <v>155674983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155674983</v>
      </c>
      <c r="E424" s="16"/>
    </row>
    <row r="426" spans="1:13" ht="29.1" customHeight="1" x14ac:dyDescent="0.25">
      <c r="A426" s="341" t="s">
        <v>538</v>
      </c>
      <c r="B426" s="341"/>
      <c r="C426" s="341"/>
      <c r="D426" s="341"/>
      <c r="E426" s="341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634086</v>
      </c>
      <c r="E612" s="219">
        <f>SUM(C624:D647)+SUM(C668:D713)</f>
        <v>335977276.98917913</v>
      </c>
      <c r="F612" s="219">
        <f>CE64-(AX64+BD64+BE64+BG64+BJ64+BN64+BP64+BQ64+CB64+CC64+CD64)</f>
        <v>98725669.189999998</v>
      </c>
      <c r="G612" s="217">
        <f>CE91-(AX91+AY91+BD91+BE91+BG91+BJ91+BN91+BP91+BQ91+CB91+CC91+CD91)</f>
        <v>184130</v>
      </c>
      <c r="H612" s="222">
        <f>CE60-(AX60+AY60+AZ60+BD60+BE60+BG60+BJ60+BN60+BO60+BP60+BQ60+BR60+CB60+CC60+CD60)</f>
        <v>2025.9699999999998</v>
      </c>
      <c r="I612" s="217">
        <f>CE92-(AX92+AY92+AZ92+BD92+BE92+BF92+BG92+BJ92+BN92+BO92+BP92+BQ92+BR92+CB92+CC92+CD92)</f>
        <v>117104</v>
      </c>
      <c r="J612" s="217">
        <f>CE93-(AX93+AY93+AZ93+BA93+BD93+BE93+BF93+BG93+BJ93+BN93+BO93+BP93+BQ93+BR93+CB93+CC93+CD93)</f>
        <v>1791467.5280000002</v>
      </c>
      <c r="K612" s="217">
        <f>CE89-(AW89+AX89+AY89+AZ89+BA89+BB89+BC89+BD89+BE89+BF89+BG89+BH89+BI89+BJ89+BK89+BL89+BM89+BN89+BO89+BP89+BQ89+BR89+BS89+BT89+BU89+BV89+BW89+BX89+CB89+CC89+CD89)</f>
        <v>1790360927</v>
      </c>
      <c r="L612" s="223">
        <f>CE94-(AW94+AX94+AY94+AZ94+BA94+BB94+BC94+BD94+BE94+BF94+BG94+BH94+BI94+BJ94+BK94+BL94+BM94+BN94+BO94+BP94+BQ94+BR94+BS94+BT94+BU94+BV94+BW94+BX94+BY94+BZ94+CA94+CB94+CC94+CD94)</f>
        <v>18.440000000000001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15815856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-171359897.15000001</v>
      </c>
      <c r="D615" s="217">
        <f>SUM(C614:C615)</f>
        <v>-155544041.15000001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1309671</v>
      </c>
      <c r="D617" s="217">
        <f>(D615/D612)*BJ90</f>
        <v>-811712.02670513152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356549</v>
      </c>
      <c r="D618" s="217">
        <f>(D615/D612)*BG90</f>
        <v>-48079.648605078808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35802782</v>
      </c>
      <c r="D619" s="217">
        <f>(D615/D612)*BN90</f>
        <v>-432471.53311609157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10619484</v>
      </c>
      <c r="D620" s="217">
        <f>(D615/D612)*CC90</f>
        <v>-4499862.6225079885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419575</v>
      </c>
      <c r="D621" s="217">
        <f>(D615/D612)*BP90</f>
        <v>-908116.6282449069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41807818.5408208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3037618</v>
      </c>
      <c r="D624" s="217">
        <f>(D615/D612)*BD90</f>
        <v>-1634217.4439134439</v>
      </c>
      <c r="E624" s="219">
        <f>(E623/E612)*SUM(C624:D624)</f>
        <v>174634.17858120039</v>
      </c>
      <c r="F624" s="219">
        <f>SUM(C624:E624)</f>
        <v>1578034.7346677564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3024346</v>
      </c>
      <c r="D625" s="217">
        <f>(D615/D612)*AY90</f>
        <v>-1626613.0096952938</v>
      </c>
      <c r="E625" s="219">
        <f>(E623/E612)*SUM(C625:D625)</f>
        <v>173928.92683352527</v>
      </c>
      <c r="F625" s="219">
        <f>(F624/F612)*AY64</f>
        <v>9318.9811979488277</v>
      </c>
      <c r="G625" s="217">
        <f>SUM(C625:F625)</f>
        <v>1580980.8983361803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4206584</v>
      </c>
      <c r="D626" s="217">
        <f>(D615/D612)*BR90</f>
        <v>-870830.37014300912</v>
      </c>
      <c r="E626" s="219">
        <f>(E623/E612)*SUM(C626:D626)</f>
        <v>415089.32896803314</v>
      </c>
      <c r="F626" s="219">
        <f>(F624/F612)*BR64</f>
        <v>26.965070170971863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861743</v>
      </c>
      <c r="D627" s="217">
        <f>(D615/D612)*BO90</f>
        <v>-616695.08465902111</v>
      </c>
      <c r="E627" s="219">
        <f>(E623/E612)*SUM(C627:D627)</f>
        <v>30492.891871113123</v>
      </c>
      <c r="F627" s="219">
        <f>(F624/F612)*BO64</f>
        <v>1636.5256131920296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181400</v>
      </c>
      <c r="D628" s="217">
        <f>(D615/D612)*AZ90</f>
        <v>-1342059.987338705</v>
      </c>
      <c r="E628" s="219">
        <f>(E623/E612)*SUM(C628:D628)</f>
        <v>-144428.40472158117</v>
      </c>
      <c r="F628" s="219">
        <f>(F624/F612)*AZ64</f>
        <v>14134.795677345355</v>
      </c>
      <c r="G628" s="217">
        <f>(G625/G612)*AZ91</f>
        <v>0</v>
      </c>
      <c r="H628" s="219">
        <f>SUM(C626:G628)</f>
        <v>2737093.6603375385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4661806</v>
      </c>
      <c r="D629" s="217">
        <f>(D615/D612)*BF90</f>
        <v>-348086.84372758586</v>
      </c>
      <c r="E629" s="219">
        <f>(E623/E612)*SUM(C629:D629)</f>
        <v>536783.88412948581</v>
      </c>
      <c r="F629" s="219">
        <f>(F624/F612)*BF64</f>
        <v>4862.4718829703661</v>
      </c>
      <c r="G629" s="217">
        <f>(G625/G612)*BF91</f>
        <v>0</v>
      </c>
      <c r="H629" s="219">
        <f>(H628/H612)*BF60</f>
        <v>89017.656371831967</v>
      </c>
      <c r="I629" s="217">
        <f>SUM(C629:H629)</f>
        <v>4944383.1686567022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1886501.19</v>
      </c>
      <c r="D630" s="217">
        <f>(D615/D612)*BA90</f>
        <v>-644169.16957620892</v>
      </c>
      <c r="E630" s="219">
        <f>(E623/E612)*SUM(C630:D630)</f>
        <v>154591.38231839988</v>
      </c>
      <c r="F630" s="219">
        <f>(F624/F612)*BA64</f>
        <v>5477.1570411554449</v>
      </c>
      <c r="G630" s="217">
        <f>(G625/G612)*BA91</f>
        <v>0</v>
      </c>
      <c r="H630" s="219">
        <f>(H628/H612)*BA60</f>
        <v>3620.6908343680329</v>
      </c>
      <c r="I630" s="217">
        <f>(I629/I612)*BA92</f>
        <v>0</v>
      </c>
      <c r="J630" s="217">
        <f>SUM(C630:I630)</f>
        <v>1406021.2506177144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2580902</v>
      </c>
      <c r="D634" s="217">
        <f>(D615/D612)*BI90</f>
        <v>-233284.41746647932</v>
      </c>
      <c r="E634" s="219">
        <f>(E623/E612)*SUM(C634:D634)</f>
        <v>292129.19032307924</v>
      </c>
      <c r="F634" s="219">
        <f>(F624/F612)*BI64</f>
        <v>88.072043059902171</v>
      </c>
      <c r="G634" s="217">
        <f>(G625/G612)*BI91</f>
        <v>0</v>
      </c>
      <c r="H634" s="219">
        <f>(H628/H612)*BI60</f>
        <v>486.36145536287006</v>
      </c>
      <c r="I634" s="217">
        <f>(I629/I612)*BI92</f>
        <v>12075.536157909353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6373127</v>
      </c>
      <c r="D635" s="217">
        <f>(D615/D612)*BK90</f>
        <v>-2077482.3675327166</v>
      </c>
      <c r="E635" s="219">
        <f>(E623/E612)*SUM(C635:D635)</f>
        <v>534534.75461028621</v>
      </c>
      <c r="F635" s="219">
        <f>(F624/F612)*BK64</f>
        <v>165.62658987054562</v>
      </c>
      <c r="G635" s="217">
        <f>(G625/G612)*BK91</f>
        <v>0</v>
      </c>
      <c r="H635" s="219">
        <f>(H628/H612)*BK60</f>
        <v>86194.057922641965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14854847</v>
      </c>
      <c r="D636" s="217">
        <f>(D615/D612)*BH90</f>
        <v>-1553267.015139587</v>
      </c>
      <c r="E636" s="219">
        <f>(E623/E612)*SUM(C636:D636)</f>
        <v>1655201.3496173692</v>
      </c>
      <c r="F636" s="219">
        <f>(F624/F612)*BH64</f>
        <v>5.1148917929525766</v>
      </c>
      <c r="G636" s="217">
        <f>(G625/G612)*BH91</f>
        <v>0</v>
      </c>
      <c r="H636" s="219">
        <f>(H628/H612)*BH60</f>
        <v>31113.623102796941</v>
      </c>
      <c r="I636" s="217">
        <f>(I629/I612)*BH92</f>
        <v>8233.3201076654677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4696969</v>
      </c>
      <c r="D637" s="217">
        <f>(D615/D612)*BL90</f>
        <v>-966744.36302354897</v>
      </c>
      <c r="E637" s="219">
        <f>(E623/E612)*SUM(C637:D637)</f>
        <v>464175.89944403706</v>
      </c>
      <c r="F637" s="219">
        <f>(F624/F612)*BL64</f>
        <v>855.05006741314094</v>
      </c>
      <c r="G637" s="217">
        <f>(G625/G612)*BL91</f>
        <v>0</v>
      </c>
      <c r="H637" s="219">
        <f>(H628/H612)*BL60</f>
        <v>72359.776525653666</v>
      </c>
      <c r="I637" s="217">
        <f>(I629/I612)*BL92</f>
        <v>10977.760143553958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4612136</v>
      </c>
      <c r="D638" s="217">
        <f>(D615/D612)*BM90</f>
        <v>-551689.43731031753</v>
      </c>
      <c r="E638" s="219">
        <f>(E623/E612)*SUM(C638:D638)</f>
        <v>505267.54252222012</v>
      </c>
      <c r="F638" s="219">
        <f>(F624/F612)*BM64</f>
        <v>1.7902121275334015</v>
      </c>
      <c r="G638" s="217">
        <f>(G625/G612)*BM91</f>
        <v>0</v>
      </c>
      <c r="H638" s="219">
        <f>(H628/H612)*BM60</f>
        <v>12010.425939377543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115849</v>
      </c>
      <c r="D639" s="217">
        <f>(D615/D612)*BS90</f>
        <v>-124123.99078658101</v>
      </c>
      <c r="E639" s="219">
        <f>(E623/E612)*SUM(C639:D639)</f>
        <v>-1029.710450458485</v>
      </c>
      <c r="F639" s="219">
        <f>(F624/F612)*BS64</f>
        <v>5.9620457461603467</v>
      </c>
      <c r="G639" s="217">
        <f>(G625/G612)*BS91</f>
        <v>0</v>
      </c>
      <c r="H639" s="219">
        <f>(H628/H612)*BS60</f>
        <v>1351.0040426746391</v>
      </c>
      <c r="I639" s="217">
        <f>(I629/I612)*BS92</f>
        <v>2744.4400358884895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195637</v>
      </c>
      <c r="D640" s="217">
        <f>(D615/D612)*BT90</f>
        <v>-73345.994555706959</v>
      </c>
      <c r="E640" s="219">
        <f>(E623/E612)*SUM(C640:D640)</f>
        <v>15217.458188263719</v>
      </c>
      <c r="F640" s="219">
        <f>(F624/F612)*BT64</f>
        <v>0</v>
      </c>
      <c r="G640" s="217">
        <f>(G625/G612)*BT91</f>
        <v>0</v>
      </c>
      <c r="H640" s="219">
        <f>(H628/H612)*BT60</f>
        <v>2945.1888130307134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5206085</v>
      </c>
      <c r="D642" s="217">
        <f>(D615/D612)*BV90</f>
        <v>-908116.6282449069</v>
      </c>
      <c r="E642" s="219">
        <f>(E623/E612)*SUM(C642:D642)</f>
        <v>534823.91247045924</v>
      </c>
      <c r="F642" s="219">
        <f>(F624/F612)*BV64</f>
        <v>83.180927782891274</v>
      </c>
      <c r="G642" s="217">
        <f>(G625/G612)*BV91</f>
        <v>0</v>
      </c>
      <c r="H642" s="219">
        <f>(H628/H612)*BV60</f>
        <v>80438.780700848016</v>
      </c>
      <c r="I642" s="217">
        <f>(I629/I612)*BV92</f>
        <v>0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632424</v>
      </c>
      <c r="D643" s="217">
        <f>(D615/D612)*BW90</f>
        <v>-426093.62054603006</v>
      </c>
      <c r="E643" s="219">
        <f>(E623/E612)*SUM(C643:D643)</f>
        <v>25675.019278009393</v>
      </c>
      <c r="F643" s="219">
        <f>(F624/F612)*BW64</f>
        <v>9.8461667014337095</v>
      </c>
      <c r="G643" s="217">
        <f>(G625/G612)*BW91</f>
        <v>0</v>
      </c>
      <c r="H643" s="219">
        <f>(H628/H612)*BW60</f>
        <v>4674.4739876542508</v>
      </c>
      <c r="I643" s="217">
        <f>(I629/I612)*BW92</f>
        <v>2195.5520287107915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8359134</v>
      </c>
      <c r="D644" s="217">
        <f>(D615/D612)*BX90</f>
        <v>-1043524.6181939044</v>
      </c>
      <c r="E644" s="219">
        <f>(E623/E612)*SUM(C644:D644)</f>
        <v>910328.43736014329</v>
      </c>
      <c r="F644" s="219">
        <f>(F624/F612)*BX64</f>
        <v>131.91625614761753</v>
      </c>
      <c r="G644" s="217">
        <f>(G625/G612)*BX91</f>
        <v>0</v>
      </c>
      <c r="H644" s="219">
        <f>(H628/H612)*BX60</f>
        <v>72427.326727787397</v>
      </c>
      <c r="I644" s="217">
        <f>(I629/I612)*BX92</f>
        <v>14271.088186620145</v>
      </c>
      <c r="J644" s="217">
        <f>(J630/J612)*BX93</f>
        <v>0</v>
      </c>
      <c r="K644" s="219">
        <f>SUM(C631:J644)</f>
        <v>45021606.675642453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1532667</v>
      </c>
      <c r="D645" s="217">
        <f>(D615/D612)*BY90</f>
        <v>-73591.298885324708</v>
      </c>
      <c r="E645" s="219">
        <f>(E623/E612)*SUM(C645:D645)</f>
        <v>181562.19580137823</v>
      </c>
      <c r="F645" s="219">
        <f>(F624/F612)*BY64</f>
        <v>25.638395112174788</v>
      </c>
      <c r="G645" s="217">
        <f>(G625/G612)*BY91</f>
        <v>0</v>
      </c>
      <c r="H645" s="219">
        <f>(H628/H612)*BY60</f>
        <v>15901.317582280502</v>
      </c>
      <c r="I645" s="217">
        <f>(I629/I612)*BY92</f>
        <v>8233.3201076654677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3658944</v>
      </c>
      <c r="D646" s="217">
        <f>(D615/D612)*BZ90</f>
        <v>-103763.73142830784</v>
      </c>
      <c r="E646" s="219">
        <f>(E623/E612)*SUM(C646:D646)</f>
        <v>442394.00021430303</v>
      </c>
      <c r="F646" s="219">
        <f>(F624/F612)*BZ64</f>
        <v>10215.589761179708</v>
      </c>
      <c r="G646" s="217">
        <f>(G625/G612)*BZ91</f>
        <v>0</v>
      </c>
      <c r="H646" s="219">
        <f>(H628/H612)*BZ60</f>
        <v>21548.514480660491</v>
      </c>
      <c r="I646" s="217">
        <f>(I629/I612)*BZ92</f>
        <v>95506.513248919437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367245</v>
      </c>
      <c r="D647" s="217">
        <f>(D615/D612)*CA90</f>
        <v>-388316.75378489675</v>
      </c>
      <c r="E647" s="219">
        <f>(E623/E612)*SUM(C647:D647)</f>
        <v>-2622.0941680058631</v>
      </c>
      <c r="F647" s="219">
        <f>(F624/F612)*CA64</f>
        <v>179.43679771151756</v>
      </c>
      <c r="G647" s="217">
        <f>(G625/G612)*CA91</f>
        <v>0</v>
      </c>
      <c r="H647" s="219">
        <f>(H628/H612)*CA60</f>
        <v>2647.9679236422926</v>
      </c>
      <c r="I647" s="217">
        <f>(I629/I612)*CA92</f>
        <v>5488.8800717769791</v>
      </c>
      <c r="J647" s="217">
        <f>(J630/J612)*CA93</f>
        <v>0</v>
      </c>
      <c r="K647" s="219">
        <v>0</v>
      </c>
      <c r="L647" s="219">
        <f>SUM(C645:K647)</f>
        <v>5774265.4961180948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-35990015.960000008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8925783</v>
      </c>
      <c r="D668" s="217">
        <f>(D615/D612)*C90</f>
        <v>-2785921.2714687758</v>
      </c>
      <c r="E668" s="219">
        <f>(E623/E612)*SUM(C668:D668)</f>
        <v>764022.57709955529</v>
      </c>
      <c r="F668" s="219">
        <f>(F624/F612)*C64</f>
        <v>8440.258771956429</v>
      </c>
      <c r="G668" s="217">
        <f>(G625/G612)*C91</f>
        <v>21044.828011850204</v>
      </c>
      <c r="H668" s="219">
        <f>(H628/H612)*C60</f>
        <v>64145.671946191862</v>
      </c>
      <c r="I668" s="217">
        <f>(I629/I612)*C92</f>
        <v>169057.50621073093</v>
      </c>
      <c r="J668" s="217">
        <f>(J630/J612)*C93</f>
        <v>36099.345416170247</v>
      </c>
      <c r="K668" s="217">
        <f>(K644/K612)*C89</f>
        <v>797493.16495732218</v>
      </c>
      <c r="L668" s="217">
        <f>(L647/L612)*C94</f>
        <v>5774265.4961180948</v>
      </c>
      <c r="M668" s="202">
        <f t="shared" ref="M668:M713" si="0">ROUND(SUM(D668:L668),0)</f>
        <v>4848648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30271929.710000001</v>
      </c>
      <c r="D670" s="217">
        <f>(D615/D612)*E90</f>
        <v>-15612394.058521638</v>
      </c>
      <c r="E670" s="219">
        <f>(E623/E612)*SUM(C670:D670)</f>
        <v>1824180.5276296702</v>
      </c>
      <c r="F670" s="219">
        <f>(F624/F612)*E64</f>
        <v>24312.934840178539</v>
      </c>
      <c r="G670" s="217">
        <f>(G625/G612)*E91</f>
        <v>1171246.4255799619</v>
      </c>
      <c r="H670" s="219">
        <f>(H628/H612)*E60</f>
        <v>328226.43216780358</v>
      </c>
      <c r="I670" s="217">
        <f>(I629/I612)*E92</f>
        <v>878220.8114843166</v>
      </c>
      <c r="J670" s="217">
        <f>(J630/J612)*E93</f>
        <v>399633.85370198212</v>
      </c>
      <c r="K670" s="217">
        <f>(K644/K612)*E89</f>
        <v>4021004.3344041249</v>
      </c>
      <c r="L670" s="217">
        <f>(L647/L612)*E94</f>
        <v>0</v>
      </c>
      <c r="M670" s="202">
        <f t="shared" si="0"/>
        <v>-6965569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5986724</v>
      </c>
      <c r="D671" s="217">
        <f>(D615/D612)*F90</f>
        <v>-4600192.0933216475</v>
      </c>
      <c r="E671" s="219">
        <f>(E623/E612)*SUM(C671:D671)</f>
        <v>172535.10378719398</v>
      </c>
      <c r="F671" s="219">
        <f>(F624/F612)*F64</f>
        <v>2595.9514412551093</v>
      </c>
      <c r="G671" s="217">
        <f>(G625/G612)*F91</f>
        <v>107722.73041071916</v>
      </c>
      <c r="H671" s="219">
        <f>(H628/H612)*F60</f>
        <v>57255.551328551206</v>
      </c>
      <c r="I671" s="217">
        <f>(I629/I612)*F92</f>
        <v>228337.41098592232</v>
      </c>
      <c r="J671" s="217">
        <f>(J630/J612)*F93</f>
        <v>94625.516921308052</v>
      </c>
      <c r="K671" s="217">
        <f>(K644/K612)*F89</f>
        <v>698765.59742867737</v>
      </c>
      <c r="L671" s="217">
        <f>(L647/L612)*F94</f>
        <v>0</v>
      </c>
      <c r="M671" s="202">
        <f t="shared" si="0"/>
        <v>-3238354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5780652</v>
      </c>
      <c r="D673" s="217">
        <f>(D615/D612)*H90</f>
        <v>-3271378.5397823011</v>
      </c>
      <c r="E673" s="219">
        <f>(E623/E612)*SUM(C673:D673)</f>
        <v>312245.07334005757</v>
      </c>
      <c r="F673" s="219">
        <f>(F624/F612)*H64</f>
        <v>980.90837359348029</v>
      </c>
      <c r="G673" s="217">
        <f>(G625/G612)*H91</f>
        <v>177047.8798875362</v>
      </c>
      <c r="H673" s="219">
        <f>(H628/H612)*H60</f>
        <v>49716.948770426716</v>
      </c>
      <c r="I673" s="217">
        <f>(I629/I612)*H92</f>
        <v>105386.49737811799</v>
      </c>
      <c r="J673" s="217">
        <f>(J630/J612)*H93</f>
        <v>33932.189060947341</v>
      </c>
      <c r="K673" s="217">
        <f>(K644/K612)*H89</f>
        <v>649627.60557046963</v>
      </c>
      <c r="L673" s="217">
        <f>(L647/L612)*H94</f>
        <v>0</v>
      </c>
      <c r="M673" s="202">
        <f t="shared" si="0"/>
        <v>-1942441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7279075</v>
      </c>
      <c r="D680" s="217">
        <f>(D615/D612)*O90</f>
        <v>-2599735.2852889043</v>
      </c>
      <c r="E680" s="219">
        <f>(E623/E612)*SUM(C680:D680)</f>
        <v>582280.4072842059</v>
      </c>
      <c r="F680" s="219">
        <f>(F624/F612)*O64</f>
        <v>11119.119412367929</v>
      </c>
      <c r="G680" s="217">
        <f>(G625/G612)*O91</f>
        <v>0</v>
      </c>
      <c r="H680" s="219">
        <f>(H628/H612)*O60</f>
        <v>66023.567565509613</v>
      </c>
      <c r="I680" s="217">
        <f>(I629/I612)*O92</f>
        <v>228337.41098592232</v>
      </c>
      <c r="J680" s="217">
        <f>(J630/J612)*O93</f>
        <v>120201.18134007274</v>
      </c>
      <c r="K680" s="217">
        <f>(K644/K612)*O89</f>
        <v>470309.50273115764</v>
      </c>
      <c r="L680" s="217">
        <f>(L647/L612)*O94</f>
        <v>0</v>
      </c>
      <c r="M680" s="202">
        <f t="shared" si="0"/>
        <v>-1121464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35996440</v>
      </c>
      <c r="D681" s="217">
        <f>(D615/D612)*P90</f>
        <v>-10465909.223141262</v>
      </c>
      <c r="E681" s="219">
        <f>(E623/E612)*SUM(C681:D681)</f>
        <v>3176928.5337833366</v>
      </c>
      <c r="F681" s="219">
        <f>(F624/F612)*P64</f>
        <v>310673.84418114153</v>
      </c>
      <c r="G681" s="217">
        <f>(G625/G612)*P91</f>
        <v>1682.8993432568909</v>
      </c>
      <c r="H681" s="219">
        <f>(H628/H612)*P60</f>
        <v>142652.51686601515</v>
      </c>
      <c r="I681" s="217">
        <f>(I629/I612)*P92</f>
        <v>416605.99744787271</v>
      </c>
      <c r="J681" s="217">
        <f>(J630/J612)*P93</f>
        <v>258615.29456311153</v>
      </c>
      <c r="K681" s="217">
        <f>(K644/K612)*P89</f>
        <v>4012211.4005981889</v>
      </c>
      <c r="L681" s="217">
        <f>(L647/L612)*P94</f>
        <v>0</v>
      </c>
      <c r="M681" s="202">
        <f t="shared" si="0"/>
        <v>-2146539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6503304</v>
      </c>
      <c r="D682" s="217">
        <f>(D615/D612)*Q90</f>
        <v>-767557.2473739367</v>
      </c>
      <c r="E682" s="219">
        <f>(E623/E612)*SUM(C682:D682)</f>
        <v>713735.94541518902</v>
      </c>
      <c r="F682" s="219">
        <f>(F624/F612)*Q64</f>
        <v>33.118924359367931</v>
      </c>
      <c r="G682" s="217">
        <f>(G625/G612)*Q91</f>
        <v>1425.312709084918</v>
      </c>
      <c r="H682" s="219">
        <f>(H628/H612)*Q60</f>
        <v>41732.514878219605</v>
      </c>
      <c r="I682" s="217">
        <f>(I629/I612)*Q92</f>
        <v>37324.384488083459</v>
      </c>
      <c r="J682" s="217">
        <f>(J630/J612)*Q93</f>
        <v>53487.618919583707</v>
      </c>
      <c r="K682" s="217">
        <f>(K644/K612)*Q89</f>
        <v>316294.20065582334</v>
      </c>
      <c r="L682" s="217">
        <f>(L647/L612)*Q94</f>
        <v>0</v>
      </c>
      <c r="M682" s="202">
        <f t="shared" si="0"/>
        <v>396476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478110</v>
      </c>
      <c r="D683" s="217">
        <f>(D615/D612)*R90</f>
        <v>-153560.5103407109</v>
      </c>
      <c r="E683" s="219">
        <f>(E623/E612)*SUM(C683:D683)</f>
        <v>40385.785291153974</v>
      </c>
      <c r="F683" s="219">
        <f>(F624/F612)*R64</f>
        <v>-2.8131904861239168</v>
      </c>
      <c r="G683" s="217">
        <f>(G625/G612)*R91</f>
        <v>0</v>
      </c>
      <c r="H683" s="219">
        <f>(H628/H612)*R60</f>
        <v>3269.4297832726265</v>
      </c>
      <c r="I683" s="217">
        <f>(I629/I612)*R92</f>
        <v>3842.2160502438851</v>
      </c>
      <c r="J683" s="217">
        <f>(J630/J612)*R93</f>
        <v>0</v>
      </c>
      <c r="K683" s="217">
        <f>(K644/K612)*R89</f>
        <v>174344.06733186223</v>
      </c>
      <c r="L683" s="217">
        <f>(L647/L612)*R94</f>
        <v>0</v>
      </c>
      <c r="M683" s="202">
        <f t="shared" si="0"/>
        <v>68278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3144649</v>
      </c>
      <c r="D684" s="217">
        <f>(D615/D612)*S90</f>
        <v>-8424486.592062356</v>
      </c>
      <c r="E684" s="219">
        <f>(E623/E612)*SUM(C684:D684)</f>
        <v>-657004.22942905326</v>
      </c>
      <c r="F684" s="219">
        <f>(F624/F612)*S64</f>
        <v>13123.949202726249</v>
      </c>
      <c r="G684" s="217">
        <f>(G625/G612)*S91</f>
        <v>0</v>
      </c>
      <c r="H684" s="219">
        <f>(H628/H612)*S60</f>
        <v>29397.847968600148</v>
      </c>
      <c r="I684" s="217">
        <f>(I629/I612)*S92</f>
        <v>128439.7936795813</v>
      </c>
      <c r="J684" s="217">
        <f>(J630/J612)*S93</f>
        <v>14153.039625358317</v>
      </c>
      <c r="K684" s="217">
        <f>(K644/K612)*S89</f>
        <v>0</v>
      </c>
      <c r="L684" s="217">
        <f>(L647/L612)*S94</f>
        <v>0</v>
      </c>
      <c r="M684" s="202">
        <f t="shared" si="0"/>
        <v>-8896376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5946808</v>
      </c>
      <c r="D685" s="217">
        <f>(D615/D612)*T90</f>
        <v>-71628.864248382713</v>
      </c>
      <c r="E685" s="219">
        <f>(E623/E612)*SUM(C685:D685)</f>
        <v>731086.41573468957</v>
      </c>
      <c r="F685" s="219">
        <f>(F624/F612)*T64</f>
        <v>72573.057789265804</v>
      </c>
      <c r="G685" s="217">
        <f>(G625/G612)*T91</f>
        <v>0</v>
      </c>
      <c r="H685" s="219">
        <f>(H628/H612)*T60</f>
        <v>12699.438001141609</v>
      </c>
      <c r="I685" s="217">
        <f>(I629/I612)*T92</f>
        <v>1097.7760143553958</v>
      </c>
      <c r="J685" s="217">
        <f>(J630/J612)*T93</f>
        <v>0</v>
      </c>
      <c r="K685" s="217">
        <f>(K644/K612)*T89</f>
        <v>54194.256960600716</v>
      </c>
      <c r="L685" s="217">
        <f>(L647/L612)*T94</f>
        <v>0</v>
      </c>
      <c r="M685" s="202">
        <f t="shared" si="0"/>
        <v>800022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12655374</v>
      </c>
      <c r="D686" s="217">
        <f>(D615/D612)*U90</f>
        <v>-2899742.4804114113</v>
      </c>
      <c r="E686" s="219">
        <f>(E623/E612)*SUM(C686:D686)</f>
        <v>1213956.1222028944</v>
      </c>
      <c r="F686" s="219">
        <f>(F624/F612)*U64</f>
        <v>246.74557689940286</v>
      </c>
      <c r="G686" s="217">
        <f>(G625/G612)*U91</f>
        <v>0</v>
      </c>
      <c r="H686" s="219">
        <f>(H628/H612)*U60</f>
        <v>99433.897540853432</v>
      </c>
      <c r="I686" s="217">
        <f>(I629/I612)*U92</f>
        <v>53242.136696236696</v>
      </c>
      <c r="J686" s="217">
        <f>(J630/J612)*U93</f>
        <v>0</v>
      </c>
      <c r="K686" s="217">
        <f>(K644/K612)*U89</f>
        <v>3331372.1063337815</v>
      </c>
      <c r="L686" s="217">
        <f>(L647/L612)*U94</f>
        <v>0</v>
      </c>
      <c r="M686" s="202">
        <f t="shared" si="0"/>
        <v>1798509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132111</v>
      </c>
      <c r="D687" s="217">
        <f>(D615/D612)*V90</f>
        <v>-55438.77849361128</v>
      </c>
      <c r="E687" s="219">
        <f>(E623/E612)*SUM(C687:D687)</f>
        <v>9540.8188094933485</v>
      </c>
      <c r="F687" s="219">
        <f>(F624/F612)*V64</f>
        <v>27.780256050473678</v>
      </c>
      <c r="G687" s="217">
        <f>(G625/G612)*V91</f>
        <v>0</v>
      </c>
      <c r="H687" s="219">
        <f>(H628/H612)*V60</f>
        <v>2999.228974737699</v>
      </c>
      <c r="I687" s="217">
        <f>(I629/I612)*V92</f>
        <v>26895.512351707195</v>
      </c>
      <c r="J687" s="217">
        <f>(J630/J612)*V93</f>
        <v>0</v>
      </c>
      <c r="K687" s="217">
        <f>(K644/K612)*V89</f>
        <v>234207.58965049218</v>
      </c>
      <c r="L687" s="217">
        <f>(L647/L612)*V94</f>
        <v>0</v>
      </c>
      <c r="M687" s="202">
        <f t="shared" si="0"/>
        <v>218232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1987618</v>
      </c>
      <c r="D688" s="217">
        <f>(D615/D612)*W90</f>
        <v>-558312.65420999681</v>
      </c>
      <c r="E688" s="219">
        <f>(E623/E612)*SUM(C688:D688)</f>
        <v>177857.67856597682</v>
      </c>
      <c r="F688" s="219">
        <f>(F624/F612)*W64</f>
        <v>647.09774795591284</v>
      </c>
      <c r="G688" s="217">
        <f>(G625/G612)*W91</f>
        <v>0</v>
      </c>
      <c r="H688" s="219">
        <f>(H628/H612)*W60</f>
        <v>14874.554509847776</v>
      </c>
      <c r="I688" s="217">
        <f>(I629/I612)*W92</f>
        <v>8233.3201076654677</v>
      </c>
      <c r="J688" s="217">
        <f>(J630/J612)*W93</f>
        <v>9456.1842586004877</v>
      </c>
      <c r="K688" s="217">
        <f>(K644/K612)*W89</f>
        <v>923290.36308795831</v>
      </c>
      <c r="L688" s="217">
        <f>(L647/L612)*W94</f>
        <v>0</v>
      </c>
      <c r="M688" s="202">
        <f t="shared" si="0"/>
        <v>576047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2597874</v>
      </c>
      <c r="D689" s="217">
        <f>(D615/D612)*X90</f>
        <v>-586522.65211603791</v>
      </c>
      <c r="E689" s="219">
        <f>(E623/E612)*SUM(C689:D689)</f>
        <v>250285.41491773661</v>
      </c>
      <c r="F689" s="219">
        <f>(F624/F612)*X64</f>
        <v>6029.1147647954376</v>
      </c>
      <c r="G689" s="217">
        <f>(G625/G612)*X91</f>
        <v>0</v>
      </c>
      <c r="H689" s="219">
        <f>(H628/H612)*X60</f>
        <v>21467.454238100017</v>
      </c>
      <c r="I689" s="217">
        <f>(I629/I612)*X92</f>
        <v>15917.752208153239</v>
      </c>
      <c r="J689" s="217">
        <f>(J630/J612)*X93</f>
        <v>25934.133738453711</v>
      </c>
      <c r="K689" s="217">
        <f>(K644/K612)*X89</f>
        <v>2765744.3957843171</v>
      </c>
      <c r="L689" s="217">
        <f>(L647/L612)*X94</f>
        <v>0</v>
      </c>
      <c r="M689" s="202">
        <f t="shared" si="0"/>
        <v>2498856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19781500</v>
      </c>
      <c r="D690" s="217">
        <f>(D615/D612)*Y90</f>
        <v>-9921578.9157194775</v>
      </c>
      <c r="E690" s="219">
        <f>(E623/E612)*SUM(C690:D690)</f>
        <v>1226933.5450673637</v>
      </c>
      <c r="F690" s="219">
        <f>(F624/F612)*Y64</f>
        <v>152053.40931206645</v>
      </c>
      <c r="G690" s="217">
        <f>(G625/G612)*Y91</f>
        <v>9659.4987814489923</v>
      </c>
      <c r="H690" s="219">
        <f>(H628/H612)*Y60</f>
        <v>99623.03810682788</v>
      </c>
      <c r="I690" s="217">
        <f>(I629/I612)*Y92</f>
        <v>322197.26021330868</v>
      </c>
      <c r="J690" s="217">
        <f>(J630/J612)*Y93</f>
        <v>61595.670027763765</v>
      </c>
      <c r="K690" s="217">
        <f>(K644/K612)*Y89</f>
        <v>3528153.5119391694</v>
      </c>
      <c r="L690" s="217">
        <f>(L647/L612)*Y94</f>
        <v>0</v>
      </c>
      <c r="M690" s="202">
        <f t="shared" si="0"/>
        <v>-4521363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3931815</v>
      </c>
      <c r="D691" s="217">
        <f>(D615/D612)*Z90</f>
        <v>-3114138.4644973241</v>
      </c>
      <c r="E691" s="219">
        <f>(E623/E612)*SUM(C691:D691)</f>
        <v>101748.76267743518</v>
      </c>
      <c r="F691" s="219">
        <f>(F624/F612)*Z64</f>
        <v>979.64563468209508</v>
      </c>
      <c r="G691" s="217">
        <f>(G625/G612)*Z91</f>
        <v>0</v>
      </c>
      <c r="H691" s="219">
        <f>(H628/H612)*Z60</f>
        <v>15995.887865267727</v>
      </c>
      <c r="I691" s="217">
        <f>(I629/I612)*Z92</f>
        <v>90017.633177142459</v>
      </c>
      <c r="J691" s="217">
        <f>(J630/J612)*Z93</f>
        <v>0</v>
      </c>
      <c r="K691" s="217">
        <f>(K644/K612)*Z89</f>
        <v>610853.56027492019</v>
      </c>
      <c r="L691" s="217">
        <f>(L647/L612)*Z94</f>
        <v>0</v>
      </c>
      <c r="M691" s="202">
        <f t="shared" si="0"/>
        <v>-2294543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1323641</v>
      </c>
      <c r="D692" s="217">
        <f>(D615/D612)*AA90</f>
        <v>-561256.30616540974</v>
      </c>
      <c r="E692" s="219">
        <f>(E623/E612)*SUM(C692:D692)</f>
        <v>94868.442365411305</v>
      </c>
      <c r="F692" s="219">
        <f>(F624/F612)*AA64</f>
        <v>9054.2695636266799</v>
      </c>
      <c r="G692" s="217">
        <f>(G625/G612)*AA91</f>
        <v>0</v>
      </c>
      <c r="H692" s="219">
        <f>(H628/H612)*AA60</f>
        <v>7079.2611836151091</v>
      </c>
      <c r="I692" s="217">
        <f>(I629/I612)*AA92</f>
        <v>55986.576732125184</v>
      </c>
      <c r="J692" s="217">
        <f>(J630/J612)*AA93</f>
        <v>3482.1141801994258</v>
      </c>
      <c r="K692" s="217">
        <f>(K644/K612)*AA89</f>
        <v>227846.86644165154</v>
      </c>
      <c r="L692" s="217">
        <f>(L647/L612)*AA94</f>
        <v>0</v>
      </c>
      <c r="M692" s="202">
        <f t="shared" si="0"/>
        <v>-162939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19895283</v>
      </c>
      <c r="D693" s="217">
        <f>(D615/D612)*AB90</f>
        <v>-2527370.5080516683</v>
      </c>
      <c r="E693" s="219">
        <f>(E623/E612)*SUM(C693:D693)</f>
        <v>2161201.3181463364</v>
      </c>
      <c r="F693" s="219">
        <f>(F624/F612)*AB64</f>
        <v>196362.94968064566</v>
      </c>
      <c r="G693" s="217">
        <f>(G625/G612)*AB91</f>
        <v>0</v>
      </c>
      <c r="H693" s="219">
        <f>(H628/H612)*AB60</f>
        <v>84072.981575642785</v>
      </c>
      <c r="I693" s="217">
        <f>(I629/I612)*AB92</f>
        <v>56535.464739302879</v>
      </c>
      <c r="J693" s="217">
        <f>(J630/J612)*AB93</f>
        <v>1020.1549921578691</v>
      </c>
      <c r="K693" s="217">
        <f>(K644/K612)*AB89</f>
        <v>1971612.2335003065</v>
      </c>
      <c r="L693" s="217">
        <f>(L647/L612)*AB94</f>
        <v>0</v>
      </c>
      <c r="M693" s="202">
        <f t="shared" si="0"/>
        <v>1943435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3224297</v>
      </c>
      <c r="D694" s="217">
        <f>(D615/D612)*AC90</f>
        <v>-754556.11790419603</v>
      </c>
      <c r="E694" s="219">
        <f>(E623/E612)*SUM(C694:D694)</f>
        <v>307325.77978728485</v>
      </c>
      <c r="F694" s="219">
        <f>(F624/F612)*AC64</f>
        <v>7846.084170020722</v>
      </c>
      <c r="G694" s="217">
        <f>(G625/G612)*AC91</f>
        <v>0</v>
      </c>
      <c r="H694" s="219">
        <f>(H628/H612)*AC60</f>
        <v>24318.072768143502</v>
      </c>
      <c r="I694" s="217">
        <f>(I629/I612)*AC92</f>
        <v>9879.9841291985613</v>
      </c>
      <c r="J694" s="217">
        <f>(J630/J612)*AC93</f>
        <v>0</v>
      </c>
      <c r="K694" s="217">
        <f>(K644/K612)*AC89</f>
        <v>583436.25188097637</v>
      </c>
      <c r="L694" s="217">
        <f>(L647/L612)*AC94</f>
        <v>0</v>
      </c>
      <c r="M694" s="202">
        <f t="shared" si="0"/>
        <v>178250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1783639</v>
      </c>
      <c r="D695" s="217">
        <f>(D615/D612)*AD90</f>
        <v>-65496.256007938995</v>
      </c>
      <c r="E695" s="219">
        <f>(E623/E612)*SUM(C695:D695)</f>
        <v>213799.57808980488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95826.824267029035</v>
      </c>
      <c r="L695" s="217">
        <f>(L647/L612)*AD94</f>
        <v>0</v>
      </c>
      <c r="M695" s="202">
        <f t="shared" si="0"/>
        <v>244130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3498215</v>
      </c>
      <c r="D696" s="217">
        <f>(D615/D612)*AE90</f>
        <v>-2705952.0600133897</v>
      </c>
      <c r="E696" s="219">
        <f>(E623/E612)*SUM(C696:D696)</f>
        <v>98586.385152005954</v>
      </c>
      <c r="F696" s="219">
        <f>(F624/F612)*AE64</f>
        <v>253.42690430394717</v>
      </c>
      <c r="G696" s="217">
        <f>(G625/G612)*AE91</f>
        <v>0</v>
      </c>
      <c r="H696" s="219">
        <f>(H628/H612)*AE60</f>
        <v>35072.064947833635</v>
      </c>
      <c r="I696" s="217">
        <f>(I629/I612)*AE92</f>
        <v>84528.753105365467</v>
      </c>
      <c r="J696" s="217">
        <f>(J630/J612)*AE93</f>
        <v>0</v>
      </c>
      <c r="K696" s="217">
        <f>(K644/K612)*AE89</f>
        <v>176266.52988030505</v>
      </c>
      <c r="L696" s="217">
        <f>(L647/L612)*AE94</f>
        <v>0</v>
      </c>
      <c r="M696" s="202">
        <f t="shared" si="0"/>
        <v>-2311245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30896184</v>
      </c>
      <c r="D698" s="217">
        <f>(D615/D612)*AG90</f>
        <v>-5064062.5806288114</v>
      </c>
      <c r="E698" s="219">
        <f>(E623/E612)*SUM(C698:D698)</f>
        <v>3214457.4017138188</v>
      </c>
      <c r="F698" s="219">
        <f>(F624/F612)*AG64</f>
        <v>28774.207398139188</v>
      </c>
      <c r="G698" s="217">
        <f>(G625/G612)*AG91</f>
        <v>80427.133409629067</v>
      </c>
      <c r="H698" s="219">
        <f>(H628/H612)*AG60</f>
        <v>140990.78189352533</v>
      </c>
      <c r="I698" s="217">
        <f>(I629/I612)*AG92</f>
        <v>757465.4499052231</v>
      </c>
      <c r="J698" s="217">
        <f>(J630/J612)*AG93</f>
        <v>290586.16026743833</v>
      </c>
      <c r="K698" s="217">
        <f>(K644/K612)*AG89</f>
        <v>5580328.4182451898</v>
      </c>
      <c r="L698" s="217">
        <f>(L647/L612)*AG94</f>
        <v>0</v>
      </c>
      <c r="M698" s="202">
        <f t="shared" si="0"/>
        <v>5028967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39418010</v>
      </c>
      <c r="D701" s="217">
        <f>(D615/D612)*AJ90</f>
        <v>-4165758.1255686139</v>
      </c>
      <c r="E701" s="219">
        <f>(E623/E612)*SUM(C701:D701)</f>
        <v>4386664.9635624159</v>
      </c>
      <c r="F701" s="219">
        <f>(F624/F612)*AJ64</f>
        <v>442801.5211842134</v>
      </c>
      <c r="G701" s="217">
        <f>(G625/G612)*AJ91</f>
        <v>0</v>
      </c>
      <c r="H701" s="219">
        <f>(H628/H612)*AJ60</f>
        <v>89382.427463354121</v>
      </c>
      <c r="I701" s="217">
        <f>(I629/I612)*AJ92</f>
        <v>242608.49917254248</v>
      </c>
      <c r="J701" s="217">
        <f>(J630/J612)*AJ93</f>
        <v>0</v>
      </c>
      <c r="K701" s="217">
        <f>(K644/K612)*AJ89</f>
        <v>4809461.5481837895</v>
      </c>
      <c r="L701" s="217">
        <f>(L647/L612)*AJ94</f>
        <v>0</v>
      </c>
      <c r="M701" s="202">
        <f t="shared" si="0"/>
        <v>5805161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114996969</v>
      </c>
      <c r="D707" s="217">
        <f>(D615/D612)*AP90</f>
        <v>-42425383.807389699</v>
      </c>
      <c r="E707" s="219">
        <f>(E623/E612)*SUM(C707:D707)</f>
        <v>9030550.1971494555</v>
      </c>
      <c r="F707" s="219">
        <f>(F624/F612)*AP64</f>
        <v>53249.396196412294</v>
      </c>
      <c r="G707" s="217">
        <f>(G625/G612)*AP91</f>
        <v>0</v>
      </c>
      <c r="H707" s="219">
        <f>(H628/H612)*AP60</f>
        <v>527540.05858359311</v>
      </c>
      <c r="I707" s="217">
        <f>(I629/I612)*AP92</f>
        <v>349641.66057219356</v>
      </c>
      <c r="J707" s="217">
        <f>(J630/J612)*AP93</f>
        <v>3066.4768759981025</v>
      </c>
      <c r="K707" s="217">
        <f>(K644/K612)*AP89</f>
        <v>7046737.0581201874</v>
      </c>
      <c r="L707" s="217">
        <f>(L647/L612)*AP94</f>
        <v>0</v>
      </c>
      <c r="M707" s="202">
        <f t="shared" si="0"/>
        <v>-25414599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13002919</v>
      </c>
      <c r="D709" s="217">
        <f>(D615/D612)*AR90</f>
        <v>-6408575.6112636933</v>
      </c>
      <c r="E709" s="219">
        <f>(E623/E612)*SUM(C709:D709)</f>
        <v>820576.66001331445</v>
      </c>
      <c r="F709" s="219">
        <f>(F624/F612)*AR64</f>
        <v>21330.265611302511</v>
      </c>
      <c r="G709" s="217">
        <f>(G625/G612)*AR91</f>
        <v>10724.190202693148</v>
      </c>
      <c r="H709" s="219">
        <f>(H628/H612)*AR60</f>
        <v>106229.44787550687</v>
      </c>
      <c r="I709" s="217">
        <f>(I629/I612)*AR92</f>
        <v>284872.8757252252</v>
      </c>
      <c r="J709" s="217">
        <f>(J630/J612)*AR93</f>
        <v>0</v>
      </c>
      <c r="K709" s="217">
        <f>(K644/K612)*AR89</f>
        <v>639358.48708197987</v>
      </c>
      <c r="L709" s="217">
        <f>(L647/L612)*AR94</f>
        <v>0</v>
      </c>
      <c r="M709" s="202">
        <f t="shared" si="0"/>
        <v>-4525484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34336187.780000001</v>
      </c>
      <c r="D713" s="217">
        <f>(D615/D612)*AV90</f>
        <v>-2670873.5408780514</v>
      </c>
      <c r="E713" s="219">
        <f>(E623/E612)*SUM(C713:D713)</f>
        <v>3940319.1894727964</v>
      </c>
      <c r="F713" s="219">
        <f>(F624/F612)*AV64</f>
        <v>167304.37028285518</v>
      </c>
      <c r="G713" s="217">
        <f>(G625/G612)*AV91</f>
        <v>0</v>
      </c>
      <c r="H713" s="219">
        <f>(H628/H612)*AV60</f>
        <v>176157.41712434616</v>
      </c>
      <c r="I713" s="217">
        <f>(I629/I612)*AV92</f>
        <v>229984.07500745542</v>
      </c>
      <c r="J713" s="217">
        <f>(J630/J612)*AV93</f>
        <v>132.31672856849039</v>
      </c>
      <c r="K713" s="217">
        <f>(K644/K612)*AV89</f>
        <v>1302866.8003321742</v>
      </c>
      <c r="L713" s="217">
        <f>(L647/L612)*AV94</f>
        <v>0</v>
      </c>
      <c r="M713" s="202">
        <f t="shared" si="0"/>
        <v>3145891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377785095.52999997</v>
      </c>
      <c r="D715" s="202">
        <f>SUM(D616:D647)+SUM(D668:D713)</f>
        <v>-155544041.15000004</v>
      </c>
      <c r="E715" s="202">
        <f>SUM(E624:E647)+SUM(E668:E713)</f>
        <v>41807818.540820807</v>
      </c>
      <c r="F715" s="202">
        <f>SUM(F625:F648)+SUM(F668:F713)</f>
        <v>1578034.7346677564</v>
      </c>
      <c r="G715" s="202">
        <f>SUM(G626:G647)+SUM(G668:G713)</f>
        <v>1580980.8983361803</v>
      </c>
      <c r="H715" s="202">
        <f>SUM(H629:H647)+SUM(H668:H713)</f>
        <v>2737093.6603375385</v>
      </c>
      <c r="I715" s="202">
        <f>SUM(I630:I647)+SUM(I668:I713)</f>
        <v>4944383.1686567031</v>
      </c>
      <c r="J715" s="202">
        <f>SUM(J631:J647)+SUM(J668:J713)</f>
        <v>1406021.2506177139</v>
      </c>
      <c r="K715" s="202">
        <f>SUM(K668:K713)</f>
        <v>45021606.675642453</v>
      </c>
      <c r="L715" s="202">
        <f>SUM(L668:L713)</f>
        <v>5774265.4961180948</v>
      </c>
      <c r="M715" s="202">
        <f>SUM(M668:M713)</f>
        <v>-35990014</v>
      </c>
      <c r="N715" s="211" t="s">
        <v>693</v>
      </c>
    </row>
    <row r="716" spans="1:14" s="202" customFormat="1" ht="12.6" customHeight="1" x14ac:dyDescent="0.2">
      <c r="C716" s="214">
        <f>CE85</f>
        <v>377785095.53000009</v>
      </c>
      <c r="D716" s="202">
        <f>D615</f>
        <v>-155544041.15000001</v>
      </c>
      <c r="E716" s="202">
        <f>E623</f>
        <v>41807818.5408208</v>
      </c>
      <c r="F716" s="202">
        <f>F624</f>
        <v>1578034.7346677564</v>
      </c>
      <c r="G716" s="202">
        <f>G625</f>
        <v>1580980.8983361803</v>
      </c>
      <c r="H716" s="202">
        <f>H628</f>
        <v>2737093.6603375385</v>
      </c>
      <c r="I716" s="202">
        <f>I629</f>
        <v>4944383.1686567022</v>
      </c>
      <c r="J716" s="202">
        <f>J630</f>
        <v>1406021.2506177144</v>
      </c>
      <c r="K716" s="202">
        <f>K644</f>
        <v>45021606.675642453</v>
      </c>
      <c r="L716" s="202">
        <f>L647</f>
        <v>5774265.4961180948</v>
      </c>
      <c r="M716" s="202">
        <f>C648</f>
        <v>-35990015.960000008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1063</v>
      </c>
      <c r="B1" s="11" t="s">
        <v>1064</v>
      </c>
      <c r="C1" s="11" t="s">
        <v>1065</v>
      </c>
      <c r="D1" s="11" t="s">
        <v>1066</v>
      </c>
      <c r="E1" s="11" t="s">
        <v>1067</v>
      </c>
      <c r="F1" s="11" t="s">
        <v>1068</v>
      </c>
      <c r="G1" s="11" t="s">
        <v>1069</v>
      </c>
      <c r="H1" s="11" t="s">
        <v>1070</v>
      </c>
      <c r="I1" s="11" t="s">
        <v>1071</v>
      </c>
      <c r="J1" s="11" t="s">
        <v>1072</v>
      </c>
      <c r="K1" s="11" t="s">
        <v>1073</v>
      </c>
      <c r="L1" s="11" t="s">
        <v>1074</v>
      </c>
      <c r="M1" s="11" t="s">
        <v>1075</v>
      </c>
      <c r="N1" s="11" t="s">
        <v>1076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058</v>
      </c>
      <c r="C2" s="11" t="str">
        <f>SUBSTITUTE(LEFT(data!C98,49),",","")</f>
        <v xml:space="preserve">YAKIMA VALLEY MEMORIAL </v>
      </c>
      <c r="D2" s="11" t="str">
        <f>LEFT(data!C99, 49)</f>
        <v>2811 TIETON DRIVE</v>
      </c>
      <c r="E2" s="11" t="str">
        <f>LEFT(data!C100, 100)</f>
        <v>YAKIMA</v>
      </c>
      <c r="F2" s="11" t="str">
        <f>LEFT(data!C101, 2)</f>
        <v>WA</v>
      </c>
      <c r="G2" s="11" t="str">
        <f>LEFT(data!C102, 100)</f>
        <v>98902</v>
      </c>
      <c r="H2" s="11" t="str">
        <f>LEFT(data!C103, 100)</f>
        <v>YAKIMA</v>
      </c>
      <c r="I2" s="11" t="str">
        <f>LEFT(data!C104, 49)</f>
        <v>TAMMY BUYOK</v>
      </c>
      <c r="J2" s="11" t="str">
        <f>LEFT(data!C105, 49)</f>
        <v>MAX OWENS</v>
      </c>
      <c r="K2" s="11" t="str">
        <f>LEFT(data!C107, 49)</f>
        <v>(509) 575-8000</v>
      </c>
      <c r="L2" s="11" t="str">
        <f>LEFT(data!C108, 49)</f>
        <v>(509) 575-8863</v>
      </c>
      <c r="M2" s="11" t="str">
        <f>LEFT(data!C109, 49)</f>
        <v>ANNE BEAUVAIS</v>
      </c>
      <c r="N2" s="11" t="str">
        <f>LEFT(data!C110, 49)</f>
        <v>ANNE.BEAUVAIS@MULTICARE.ORG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1077</v>
      </c>
      <c r="B1" s="12" t="s">
        <v>1078</v>
      </c>
      <c r="C1" s="12" t="s">
        <v>1079</v>
      </c>
      <c r="D1" s="12" t="s">
        <v>1080</v>
      </c>
      <c r="E1" s="12" t="s">
        <v>1081</v>
      </c>
      <c r="F1" s="12" t="s">
        <v>1082</v>
      </c>
      <c r="G1" s="12" t="s">
        <v>1083</v>
      </c>
      <c r="H1" s="12" t="s">
        <v>1084</v>
      </c>
      <c r="I1" s="12" t="s">
        <v>1085</v>
      </c>
      <c r="J1" s="12" t="s">
        <v>1086</v>
      </c>
      <c r="K1" s="12" t="s">
        <v>1087</v>
      </c>
      <c r="L1" s="12" t="s">
        <v>1088</v>
      </c>
      <c r="M1" s="12" t="s">
        <v>1089</v>
      </c>
      <c r="N1" s="12" t="s">
        <v>1090</v>
      </c>
      <c r="O1" s="12" t="s">
        <v>1091</v>
      </c>
      <c r="P1" s="12" t="s">
        <v>1092</v>
      </c>
      <c r="Q1" s="12" t="s">
        <v>1093</v>
      </c>
      <c r="R1" s="12" t="s">
        <v>1094</v>
      </c>
      <c r="S1" s="12" t="s">
        <v>1095</v>
      </c>
      <c r="T1" s="12" t="s">
        <v>1096</v>
      </c>
      <c r="U1" s="12" t="s">
        <v>1097</v>
      </c>
      <c r="V1" s="12" t="s">
        <v>1098</v>
      </c>
      <c r="W1" s="12" t="s">
        <v>1099</v>
      </c>
      <c r="X1" s="12" t="s">
        <v>1100</v>
      </c>
      <c r="Y1" s="12" t="s">
        <v>1101</v>
      </c>
      <c r="Z1" s="12" t="s">
        <v>1102</v>
      </c>
      <c r="AA1" s="12" t="s">
        <v>1103</v>
      </c>
      <c r="AB1" s="12" t="s">
        <v>1104</v>
      </c>
      <c r="AC1" s="12" t="s">
        <v>1105</v>
      </c>
      <c r="AD1" s="12" t="s">
        <v>1106</v>
      </c>
      <c r="AE1" s="12" t="s">
        <v>1107</v>
      </c>
      <c r="AF1" s="12" t="s">
        <v>1108</v>
      </c>
      <c r="AG1" s="12" t="s">
        <v>1109</v>
      </c>
      <c r="AH1" s="12" t="s">
        <v>1110</v>
      </c>
      <c r="AI1" s="12" t="s">
        <v>1111</v>
      </c>
      <c r="AJ1" s="12" t="s">
        <v>1112</v>
      </c>
      <c r="AK1" s="12" t="s">
        <v>1113</v>
      </c>
      <c r="AL1" s="12" t="s">
        <v>1114</v>
      </c>
      <c r="AM1" s="12" t="s">
        <v>1115</v>
      </c>
      <c r="AN1" s="12" t="s">
        <v>1116</v>
      </c>
      <c r="AO1" s="12" t="s">
        <v>1117</v>
      </c>
      <c r="AP1" s="12" t="s">
        <v>1118</v>
      </c>
      <c r="AQ1" s="12" t="s">
        <v>1119</v>
      </c>
      <c r="AR1" s="12" t="s">
        <v>1120</v>
      </c>
      <c r="AS1" s="12" t="s">
        <v>1121</v>
      </c>
      <c r="AT1" s="12" t="s">
        <v>1122</v>
      </c>
      <c r="AU1" s="12" t="s">
        <v>1123</v>
      </c>
      <c r="AV1" s="12" t="s">
        <v>1124</v>
      </c>
      <c r="AW1" s="12" t="s">
        <v>1125</v>
      </c>
      <c r="AX1" s="12" t="s">
        <v>1126</v>
      </c>
      <c r="AY1" s="12" t="s">
        <v>1127</v>
      </c>
      <c r="AZ1" s="12" t="s">
        <v>1128</v>
      </c>
      <c r="BA1" s="12" t="s">
        <v>1129</v>
      </c>
      <c r="BB1" s="12" t="s">
        <v>1130</v>
      </c>
      <c r="BC1" s="12" t="s">
        <v>1131</v>
      </c>
      <c r="BD1" s="12" t="s">
        <v>1132</v>
      </c>
      <c r="BE1" s="12" t="s">
        <v>1133</v>
      </c>
      <c r="BF1" s="12" t="s">
        <v>1134</v>
      </c>
      <c r="BG1" s="12" t="s">
        <v>1135</v>
      </c>
      <c r="BH1" s="12" t="s">
        <v>1136</v>
      </c>
      <c r="BI1" s="12" t="s">
        <v>1137</v>
      </c>
      <c r="BJ1" s="12" t="s">
        <v>1138</v>
      </c>
      <c r="BK1" s="12" t="s">
        <v>1139</v>
      </c>
      <c r="BL1" s="12" t="s">
        <v>1140</v>
      </c>
      <c r="BM1" s="12" t="s">
        <v>1141</v>
      </c>
      <c r="BN1" s="12" t="s">
        <v>1142</v>
      </c>
      <c r="BO1" s="12" t="s">
        <v>1143</v>
      </c>
      <c r="BP1" s="12" t="s">
        <v>1144</v>
      </c>
      <c r="BQ1" s="12" t="s">
        <v>1145</v>
      </c>
      <c r="BR1" s="12" t="s">
        <v>1146</v>
      </c>
      <c r="BS1" s="12" t="s">
        <v>1147</v>
      </c>
      <c r="BT1" s="12" t="s">
        <v>1148</v>
      </c>
      <c r="BU1" s="12" t="s">
        <v>1149</v>
      </c>
      <c r="BV1" s="12" t="s">
        <v>1150</v>
      </c>
      <c r="BW1" s="12" t="s">
        <v>1151</v>
      </c>
      <c r="BX1" s="12" t="s">
        <v>1152</v>
      </c>
      <c r="BY1" s="12" t="s">
        <v>1153</v>
      </c>
      <c r="BZ1" s="12" t="s">
        <v>1154</v>
      </c>
      <c r="CA1" s="12" t="s">
        <v>1155</v>
      </c>
      <c r="CB1" s="12" t="s">
        <v>1156</v>
      </c>
      <c r="CC1" s="12" t="s">
        <v>1157</v>
      </c>
      <c r="CD1" s="12" t="s">
        <v>1158</v>
      </c>
      <c r="CE1" s="12" t="s">
        <v>1159</v>
      </c>
      <c r="CF1" s="12" t="s">
        <v>1160</v>
      </c>
    </row>
    <row r="2" spans="1:84" s="169" customFormat="1" ht="12.6" customHeight="1" x14ac:dyDescent="0.25">
      <c r="A2" s="12" t="str">
        <f>RIGHT(data!C97,3)</f>
        <v>058</v>
      </c>
      <c r="B2" s="200" t="str">
        <f>RIGHT(data!C96,4)</f>
        <v>2024</v>
      </c>
      <c r="C2" s="12" t="s">
        <v>1161</v>
      </c>
      <c r="D2" s="199">
        <f>ROUND(N(data!C181),0)</f>
        <v>21018129</v>
      </c>
      <c r="E2" s="199">
        <f>ROUND(N(data!C182),0)</f>
        <v>24622</v>
      </c>
      <c r="F2" s="199">
        <f>ROUND(N(data!C183),0)</f>
        <v>-8927</v>
      </c>
      <c r="G2" s="199">
        <f>ROUND(N(data!C184),0)</f>
        <v>4294973</v>
      </c>
      <c r="H2" s="199">
        <f>ROUND(N(data!C185),0)</f>
        <v>21136792</v>
      </c>
      <c r="I2" s="199">
        <f>ROUND(N(data!C186),0)</f>
        <v>42908</v>
      </c>
      <c r="J2" s="199">
        <f>ROUND(N(data!C187)+N(data!C188),0)</f>
        <v>777478</v>
      </c>
      <c r="K2" s="199">
        <f>ROUND(N(data!C191),0)</f>
        <v>7257549</v>
      </c>
      <c r="L2" s="199">
        <f>ROUND(N(data!C192),0)</f>
        <v>3875456</v>
      </c>
      <c r="M2" s="199">
        <f>ROUND(N(data!C195),0)</f>
        <v>2293990</v>
      </c>
      <c r="N2" s="199">
        <f>ROUND(N(data!C196),0)</f>
        <v>76369</v>
      </c>
      <c r="O2" s="199">
        <f>ROUND(N(data!C199),0)</f>
        <v>340301</v>
      </c>
      <c r="P2" s="199">
        <f>ROUND(N(data!C200),0)</f>
        <v>3952949</v>
      </c>
      <c r="Q2" s="199">
        <f>ROUND(N(data!C201),0)</f>
        <v>11334</v>
      </c>
      <c r="R2" s="199">
        <f>ROUND(N(data!C204),0)</f>
        <v>0</v>
      </c>
      <c r="S2" s="199">
        <f>ROUND(N(data!C205),0)</f>
        <v>3516950</v>
      </c>
      <c r="T2" s="199">
        <f>ROUND(N(data!B211),0)</f>
        <v>17504411</v>
      </c>
      <c r="U2" s="199">
        <f>ROUND(N(data!C211),0)</f>
        <v>0</v>
      </c>
      <c r="V2" s="199">
        <f>ROUND(N(data!D211),0)</f>
        <v>0</v>
      </c>
      <c r="W2" s="199">
        <f>ROUND(N(data!B212),0)</f>
        <v>9336610</v>
      </c>
      <c r="X2" s="199">
        <f>ROUND(N(data!C212),0)</f>
        <v>0</v>
      </c>
      <c r="Y2" s="199">
        <f>ROUND(N(data!D212),0)</f>
        <v>0</v>
      </c>
      <c r="Z2" s="199">
        <f>ROUND(N(data!B213),0)</f>
        <v>137109783</v>
      </c>
      <c r="AA2" s="199">
        <f>ROUND(N(data!C213),0)</f>
        <v>41890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75967931</v>
      </c>
      <c r="AG2" s="199">
        <f>ROUND(N(data!C215),0)</f>
        <v>-31259565</v>
      </c>
      <c r="AH2" s="199">
        <f>ROUND(N(data!D215),0)</f>
        <v>0</v>
      </c>
      <c r="AI2" s="199">
        <f>ROUND(N(data!B216),0)</f>
        <v>108530168</v>
      </c>
      <c r="AJ2" s="199">
        <f>ROUND(N(data!C216),0)</f>
        <v>-57476951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7378092</v>
      </c>
      <c r="AP2" s="199">
        <f>ROUND(N(data!C218),0)</f>
        <v>1897322</v>
      </c>
      <c r="AQ2" s="199">
        <f>ROUND(N(data!D218),0)</f>
        <v>0</v>
      </c>
      <c r="AR2" s="199">
        <f>ROUND(N(data!B219),0)</f>
        <v>13054501</v>
      </c>
      <c r="AS2" s="199">
        <f>ROUND(N(data!C219),0)</f>
        <v>16142186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1187965</v>
      </c>
      <c r="AY2" s="199">
        <f>ROUND(N(data!C225),0)</f>
        <v>1189061</v>
      </c>
      <c r="AZ2" s="199">
        <f>ROUND(N(data!D225),0)</f>
        <v>0</v>
      </c>
      <c r="BA2" s="199">
        <f>ROUND(N(data!B226),0)</f>
        <v>6380112</v>
      </c>
      <c r="BB2" s="199">
        <f>ROUND(N(data!C226),0)</f>
        <v>6503010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36558258</v>
      </c>
      <c r="BH2" s="199">
        <f>ROUND(N(data!C228),0)</f>
        <v>-31755885</v>
      </c>
      <c r="BI2" s="199">
        <f>ROUND(N(data!D228),0)</f>
        <v>0</v>
      </c>
      <c r="BJ2" s="199">
        <f>ROUND(N(data!B229),0)</f>
        <v>79293838</v>
      </c>
      <c r="BK2" s="199">
        <f>ROUND(N(data!C229),0)</f>
        <v>-62560647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4298205</v>
      </c>
      <c r="BQ2" s="199">
        <f>ROUND(N(data!C231),0)</f>
        <v>2161685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703842591</v>
      </c>
      <c r="BW2" s="199">
        <f>ROUND(N(data!C240),0)</f>
        <v>324910974</v>
      </c>
      <c r="BX2" s="199">
        <f>ROUND(N(data!C241),0)</f>
        <v>0</v>
      </c>
      <c r="BY2" s="199">
        <f>ROUND(N(data!C242),0)</f>
        <v>33974531</v>
      </c>
      <c r="BZ2" s="199">
        <f>ROUND(N(data!C243),0)</f>
        <v>298788328</v>
      </c>
      <c r="CA2" s="199">
        <f>ROUND(N(data!C244),0)</f>
        <v>4558422</v>
      </c>
      <c r="CB2" s="199">
        <f>ROUND(N(data!C247),0)</f>
        <v>80251</v>
      </c>
      <c r="CC2" s="199">
        <f>ROUND(N(data!C249),0)</f>
        <v>1173501</v>
      </c>
      <c r="CD2" s="199">
        <f>ROUND(N(data!C250),0)</f>
        <v>49575085</v>
      </c>
      <c r="CE2" s="199">
        <f>ROUND(N(data!C254)+N(data!C255),0)</f>
        <v>884814</v>
      </c>
      <c r="CF2" s="199">
        <f>ROUND(N(data!D237),0)</f>
        <v>2723999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1162</v>
      </c>
      <c r="B1" s="12" t="s">
        <v>1163</v>
      </c>
      <c r="C1" s="12" t="s">
        <v>1164</v>
      </c>
      <c r="D1" s="10" t="s">
        <v>1165</v>
      </c>
      <c r="E1" s="10" t="s">
        <v>1166</v>
      </c>
      <c r="F1" s="10" t="s">
        <v>1167</v>
      </c>
      <c r="G1" s="10" t="s">
        <v>1168</v>
      </c>
      <c r="H1" s="10" t="s">
        <v>1169</v>
      </c>
      <c r="I1" s="10" t="s">
        <v>1170</v>
      </c>
      <c r="J1" s="10" t="s">
        <v>1171</v>
      </c>
      <c r="K1" s="10" t="s">
        <v>1172</v>
      </c>
      <c r="L1" s="10" t="s">
        <v>1173</v>
      </c>
      <c r="M1" s="10" t="s">
        <v>1174</v>
      </c>
      <c r="N1" s="10" t="s">
        <v>1175</v>
      </c>
      <c r="O1" s="10" t="s">
        <v>1176</v>
      </c>
      <c r="P1" s="10" t="s">
        <v>1177</v>
      </c>
      <c r="Q1" s="10" t="s">
        <v>1178</v>
      </c>
      <c r="R1" s="10" t="s">
        <v>1179</v>
      </c>
      <c r="S1" s="10" t="s">
        <v>1180</v>
      </c>
      <c r="T1" s="10" t="s">
        <v>1181</v>
      </c>
      <c r="U1" s="10" t="s">
        <v>1182</v>
      </c>
      <c r="V1" s="10" t="s">
        <v>1183</v>
      </c>
      <c r="W1" s="10" t="s">
        <v>1184</v>
      </c>
      <c r="X1" s="10" t="s">
        <v>1185</v>
      </c>
      <c r="Y1" s="10" t="s">
        <v>1186</v>
      </c>
      <c r="Z1" s="10" t="s">
        <v>1187</v>
      </c>
      <c r="AA1" s="10" t="s">
        <v>1188</v>
      </c>
      <c r="AB1" s="10" t="s">
        <v>1189</v>
      </c>
      <c r="AC1" s="10" t="s">
        <v>1190</v>
      </c>
      <c r="AD1" s="10" t="s">
        <v>1191</v>
      </c>
      <c r="AE1" s="10" t="s">
        <v>1192</v>
      </c>
      <c r="AF1" s="10" t="s">
        <v>1193</v>
      </c>
      <c r="AG1" s="10" t="s">
        <v>1194</v>
      </c>
      <c r="AH1" s="10" t="s">
        <v>1195</v>
      </c>
      <c r="AI1" s="10" t="s">
        <v>1196</v>
      </c>
      <c r="AJ1" s="10" t="s">
        <v>1197</v>
      </c>
      <c r="AK1" s="10" t="s">
        <v>1198</v>
      </c>
      <c r="AL1" s="10" t="s">
        <v>1199</v>
      </c>
      <c r="AM1" s="10" t="s">
        <v>1200</v>
      </c>
      <c r="AN1" s="10" t="s">
        <v>1201</v>
      </c>
      <c r="AO1" s="10" t="s">
        <v>1202</v>
      </c>
      <c r="AP1" s="10" t="s">
        <v>1203</v>
      </c>
      <c r="AQ1" s="10" t="s">
        <v>1204</v>
      </c>
      <c r="AR1" s="10" t="s">
        <v>1205</v>
      </c>
      <c r="AS1" s="10" t="s">
        <v>1206</v>
      </c>
      <c r="AT1" s="10" t="s">
        <v>1207</v>
      </c>
      <c r="AU1" s="10" t="s">
        <v>1208</v>
      </c>
      <c r="AV1" s="10" t="s">
        <v>1209</v>
      </c>
      <c r="AW1" s="10" t="s">
        <v>1210</v>
      </c>
      <c r="AX1" s="10" t="s">
        <v>1211</v>
      </c>
      <c r="AY1" s="10" t="s">
        <v>1212</v>
      </c>
      <c r="AZ1" s="10" t="s">
        <v>1213</v>
      </c>
      <c r="BA1" s="10" t="s">
        <v>1214</v>
      </c>
      <c r="BB1" s="10" t="s">
        <v>1215</v>
      </c>
      <c r="BC1" s="10" t="s">
        <v>1216</v>
      </c>
      <c r="BD1" s="10" t="s">
        <v>1217</v>
      </c>
      <c r="BE1" s="10" t="s">
        <v>1218</v>
      </c>
      <c r="BF1" s="10" t="s">
        <v>1219</v>
      </c>
      <c r="BG1" s="10" t="s">
        <v>1220</v>
      </c>
      <c r="BH1" s="10" t="s">
        <v>1221</v>
      </c>
      <c r="BI1" s="10" t="s">
        <v>1222</v>
      </c>
      <c r="BJ1" s="10" t="s">
        <v>1223</v>
      </c>
      <c r="BK1" s="10" t="s">
        <v>1224</v>
      </c>
      <c r="BL1" s="10" t="s">
        <v>1225</v>
      </c>
      <c r="BM1" s="10" t="s">
        <v>1226</v>
      </c>
      <c r="BN1" s="10" t="s">
        <v>1227</v>
      </c>
      <c r="BO1" s="10" t="s">
        <v>1228</v>
      </c>
      <c r="BP1" s="10" t="s">
        <v>1229</v>
      </c>
      <c r="BQ1" s="10" t="s">
        <v>1230</v>
      </c>
      <c r="BR1" s="10" t="s">
        <v>1231</v>
      </c>
      <c r="BS1" s="10" t="s">
        <v>1232</v>
      </c>
    </row>
    <row r="2" spans="1:87" s="169" customFormat="1" ht="12.6" customHeight="1" x14ac:dyDescent="0.25">
      <c r="A2" s="12" t="str">
        <f>RIGHT(data!C97,3)</f>
        <v>058</v>
      </c>
      <c r="B2" s="12" t="str">
        <f>RIGHT(data!C96,4)</f>
        <v>2024</v>
      </c>
      <c r="C2" s="12" t="s">
        <v>1161</v>
      </c>
      <c r="D2" s="198">
        <f>ROUND(N(data!C127),0)</f>
        <v>13614</v>
      </c>
      <c r="E2" s="198">
        <f>ROUND(N(data!C128),0)</f>
        <v>0</v>
      </c>
      <c r="F2" s="198">
        <f>ROUND(N(data!C129),0)</f>
        <v>0</v>
      </c>
      <c r="G2" s="198">
        <f>ROUND(N(data!C130),0)</f>
        <v>2524</v>
      </c>
      <c r="H2" s="198">
        <f>ROUND(N(data!D127),0)</f>
        <v>57006</v>
      </c>
      <c r="I2" s="198">
        <f>ROUND(N(data!D128),0)</f>
        <v>0</v>
      </c>
      <c r="J2" s="198">
        <f>ROUND(N(data!D129),0)</f>
        <v>0</v>
      </c>
      <c r="K2" s="198">
        <f>ROUND(N(data!D130),0)</f>
        <v>3574</v>
      </c>
      <c r="L2" s="198">
        <f>ROUND(N(data!C132),0)</f>
        <v>25</v>
      </c>
      <c r="M2" s="198">
        <f>ROUND(N(data!C133),0)</f>
        <v>20</v>
      </c>
      <c r="N2" s="198">
        <f>ROUND(N(data!C134),0)</f>
        <v>122</v>
      </c>
      <c r="O2" s="198">
        <f>ROUND(N(data!C135),0)</f>
        <v>14</v>
      </c>
      <c r="P2" s="198">
        <f>ROUND(N(data!C136),0)</f>
        <v>39</v>
      </c>
      <c r="Q2" s="198">
        <f>ROUND(N(data!C137),0)</f>
        <v>0</v>
      </c>
      <c r="R2" s="198">
        <f>ROUND(N(data!C138),0)</f>
        <v>18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238</v>
      </c>
      <c r="X2" s="198">
        <f>ROUND(N(data!C145),0)</f>
        <v>32</v>
      </c>
      <c r="Y2" s="198">
        <f>ROUND(N(data!B154),0)</f>
        <v>7002</v>
      </c>
      <c r="Z2" s="198">
        <f>ROUND(N(data!B155),0)</f>
        <v>34197</v>
      </c>
      <c r="AA2" s="198">
        <f>ROUND(N(data!B156),0)</f>
        <v>153345</v>
      </c>
      <c r="AB2" s="198">
        <f>ROUND(N(data!B157),0)</f>
        <v>328311222</v>
      </c>
      <c r="AC2" s="198">
        <f>ROUND(N(data!B158),0)</f>
        <v>625200492</v>
      </c>
      <c r="AD2" s="198">
        <f>ROUND(N(data!C154),0)</f>
        <v>3771</v>
      </c>
      <c r="AE2" s="198">
        <f>ROUND(N(data!C155),0)</f>
        <v>13792</v>
      </c>
      <c r="AF2" s="198">
        <f>ROUND(N(data!C156),0)</f>
        <v>69428</v>
      </c>
      <c r="AG2" s="198">
        <f>ROUND(N(data!C157),0)</f>
        <v>174302228</v>
      </c>
      <c r="AH2" s="198">
        <f>ROUND(N(data!C158),0)</f>
        <v>289760433</v>
      </c>
      <c r="AI2" s="198">
        <f>ROUND(N(data!D154),0)</f>
        <v>2841</v>
      </c>
      <c r="AJ2" s="198">
        <f>ROUND(N(data!D155),0)</f>
        <v>9017</v>
      </c>
      <c r="AK2" s="198">
        <f>ROUND(N(data!D156),0)</f>
        <v>111809</v>
      </c>
      <c r="AL2" s="198">
        <f>ROUND(N(data!D157),0)</f>
        <v>107047360</v>
      </c>
      <c r="AM2" s="198">
        <f>ROUND(N(data!D158),0)</f>
        <v>523571165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D3" sqref="D3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1233</v>
      </c>
      <c r="B1" s="12" t="s">
        <v>1234</v>
      </c>
      <c r="C1" s="12" t="s">
        <v>1235</v>
      </c>
      <c r="D1" s="10" t="s">
        <v>1236</v>
      </c>
      <c r="E1" s="10" t="s">
        <v>1237</v>
      </c>
      <c r="F1" s="10" t="s">
        <v>1238</v>
      </c>
      <c r="G1" s="10" t="s">
        <v>1239</v>
      </c>
      <c r="H1" s="10" t="s">
        <v>1240</v>
      </c>
      <c r="I1" s="10" t="s">
        <v>1241</v>
      </c>
      <c r="J1" s="10" t="s">
        <v>1242</v>
      </c>
      <c r="K1" s="10" t="s">
        <v>1243</v>
      </c>
      <c r="L1" s="10" t="s">
        <v>1244</v>
      </c>
      <c r="M1" s="10" t="s">
        <v>1245</v>
      </c>
      <c r="N1" s="10" t="s">
        <v>1246</v>
      </c>
      <c r="O1" s="10" t="s">
        <v>1247</v>
      </c>
      <c r="P1" s="10" t="s">
        <v>1248</v>
      </c>
      <c r="Q1" s="10" t="s">
        <v>1249</v>
      </c>
      <c r="R1" s="10" t="s">
        <v>1250</v>
      </c>
      <c r="S1" s="10" t="s">
        <v>1251</v>
      </c>
      <c r="T1" s="10" t="s">
        <v>1252</v>
      </c>
      <c r="U1" s="10" t="s">
        <v>1253</v>
      </c>
      <c r="V1" s="10" t="s">
        <v>1254</v>
      </c>
      <c r="W1" s="10" t="s">
        <v>1255</v>
      </c>
      <c r="X1" s="10" t="s">
        <v>1256</v>
      </c>
      <c r="Y1" s="10" t="s">
        <v>1257</v>
      </c>
      <c r="Z1" s="10" t="s">
        <v>1258</v>
      </c>
      <c r="AA1" s="10" t="s">
        <v>1259</v>
      </c>
      <c r="AB1" s="10" t="s">
        <v>1260</v>
      </c>
      <c r="AC1" s="10" t="s">
        <v>1261</v>
      </c>
      <c r="AD1" s="10" t="s">
        <v>1262</v>
      </c>
      <c r="AE1" s="10" t="s">
        <v>1263</v>
      </c>
      <c r="AF1" s="10" t="s">
        <v>1264</v>
      </c>
      <c r="AG1" s="10" t="s">
        <v>1265</v>
      </c>
      <c r="AH1" s="10" t="s">
        <v>1266</v>
      </c>
      <c r="AI1" s="10" t="s">
        <v>1267</v>
      </c>
      <c r="AJ1" s="10" t="s">
        <v>1268</v>
      </c>
      <c r="AK1" s="10" t="s">
        <v>1269</v>
      </c>
      <c r="AL1" s="10" t="s">
        <v>1270</v>
      </c>
      <c r="AM1" s="10" t="s">
        <v>1271</v>
      </c>
      <c r="AN1" s="10" t="s">
        <v>1272</v>
      </c>
      <c r="AO1" s="10" t="s">
        <v>1273</v>
      </c>
      <c r="AP1" s="10" t="s">
        <v>1274</v>
      </c>
      <c r="AQ1" s="10" t="s">
        <v>1275</v>
      </c>
      <c r="AR1" s="10" t="s">
        <v>1276</v>
      </c>
      <c r="AS1" s="10" t="s">
        <v>1277</v>
      </c>
      <c r="AT1" s="10" t="s">
        <v>1278</v>
      </c>
      <c r="AU1" s="10" t="s">
        <v>1279</v>
      </c>
      <c r="AV1" s="10" t="s">
        <v>1280</v>
      </c>
      <c r="AW1" s="10" t="s">
        <v>1281</v>
      </c>
      <c r="AX1" s="10" t="s">
        <v>1282</v>
      </c>
      <c r="AY1" s="10" t="s">
        <v>1283</v>
      </c>
      <c r="AZ1" s="10" t="s">
        <v>1284</v>
      </c>
      <c r="BA1" s="10" t="s">
        <v>1285</v>
      </c>
      <c r="BB1" s="10" t="s">
        <v>1286</v>
      </c>
      <c r="BC1" s="10" t="s">
        <v>1287</v>
      </c>
      <c r="BD1" s="10" t="s">
        <v>1288</v>
      </c>
      <c r="BE1" s="10" t="s">
        <v>1289</v>
      </c>
      <c r="BF1" s="10" t="s">
        <v>1290</v>
      </c>
      <c r="BG1" s="10" t="s">
        <v>1291</v>
      </c>
      <c r="BH1" s="10" t="s">
        <v>1292</v>
      </c>
      <c r="BI1" s="10" t="s">
        <v>1293</v>
      </c>
      <c r="BJ1" s="10" t="s">
        <v>1294</v>
      </c>
      <c r="BK1" s="10" t="s">
        <v>1295</v>
      </c>
      <c r="BL1" s="10" t="s">
        <v>1296</v>
      </c>
      <c r="BM1" s="10" t="s">
        <v>1297</v>
      </c>
      <c r="BN1" s="10" t="s">
        <v>1298</v>
      </c>
      <c r="BO1" s="10" t="s">
        <v>1299</v>
      </c>
      <c r="BP1" s="10" t="s">
        <v>1300</v>
      </c>
      <c r="BQ1" s="10" t="s">
        <v>1301</v>
      </c>
      <c r="BR1" s="10" t="s">
        <v>1302</v>
      </c>
      <c r="BS1" s="10" t="s">
        <v>1303</v>
      </c>
      <c r="BT1" s="10" t="s">
        <v>1304</v>
      </c>
      <c r="BU1" s="10" t="s">
        <v>1305</v>
      </c>
      <c r="BV1" s="10" t="s">
        <v>1306</v>
      </c>
      <c r="BW1" s="10" t="s">
        <v>1307</v>
      </c>
      <c r="BX1" s="10" t="s">
        <v>1308</v>
      </c>
      <c r="BY1" s="10" t="s">
        <v>1309</v>
      </c>
      <c r="BZ1" s="10" t="s">
        <v>1310</v>
      </c>
      <c r="CA1" s="10" t="s">
        <v>1311</v>
      </c>
      <c r="CB1" s="10" t="s">
        <v>1312</v>
      </c>
      <c r="CC1" s="10" t="s">
        <v>1313</v>
      </c>
      <c r="CD1" s="10" t="s">
        <v>1314</v>
      </c>
      <c r="CE1" s="10" t="s">
        <v>1315</v>
      </c>
      <c r="CF1" s="10" t="s">
        <v>1316</v>
      </c>
      <c r="CG1" s="10" t="s">
        <v>1317</v>
      </c>
      <c r="CH1" s="10" t="s">
        <v>1318</v>
      </c>
      <c r="CI1" s="10" t="s">
        <v>1319</v>
      </c>
      <c r="CJ1" s="10" t="s">
        <v>1320</v>
      </c>
      <c r="CK1" s="10" t="s">
        <v>1321</v>
      </c>
      <c r="CL1" s="10" t="s">
        <v>1322</v>
      </c>
      <c r="CM1" s="10" t="s">
        <v>1323</v>
      </c>
      <c r="CN1" s="10" t="s">
        <v>1324</v>
      </c>
      <c r="CO1" s="10" t="s">
        <v>1325</v>
      </c>
      <c r="CP1" s="10" t="s">
        <v>1326</v>
      </c>
      <c r="CQ1" s="197" t="s">
        <v>1327</v>
      </c>
      <c r="CR1" s="197" t="s">
        <v>1328</v>
      </c>
      <c r="CS1" s="197" t="s">
        <v>1329</v>
      </c>
      <c r="CT1" s="197" t="s">
        <v>1330</v>
      </c>
      <c r="CU1" s="197" t="s">
        <v>1331</v>
      </c>
      <c r="CV1" s="197" t="s">
        <v>1332</v>
      </c>
      <c r="CW1" s="197" t="s">
        <v>1333</v>
      </c>
      <c r="CX1" s="197" t="s">
        <v>1334</v>
      </c>
      <c r="CY1" s="197" t="s">
        <v>1335</v>
      </c>
      <c r="CZ1" s="197" t="s">
        <v>1336</v>
      </c>
      <c r="DA1" s="197" t="s">
        <v>1337</v>
      </c>
      <c r="DB1" s="197" t="s">
        <v>1338</v>
      </c>
      <c r="DC1" s="197" t="s">
        <v>1339</v>
      </c>
      <c r="DD1" s="197" t="s">
        <v>1340</v>
      </c>
      <c r="DE1" s="10" t="s">
        <v>1341</v>
      </c>
      <c r="DF1" s="10" t="s">
        <v>1342</v>
      </c>
      <c r="DG1" s="10" t="s">
        <v>1343</v>
      </c>
      <c r="DH1" s="10" t="s">
        <v>1344</v>
      </c>
    </row>
    <row r="2" spans="1:112" s="169" customFormat="1" ht="12.6" customHeight="1" x14ac:dyDescent="0.25">
      <c r="A2" s="199" t="str">
        <f>RIGHT(data!C97,3)</f>
        <v>058</v>
      </c>
      <c r="B2" s="200" t="str">
        <f>RIGHT(data!C96,4)</f>
        <v>2024</v>
      </c>
      <c r="C2" s="12" t="s">
        <v>1161</v>
      </c>
      <c r="D2" s="198">
        <f>ROUND(N(data!C266),0)</f>
        <v>142453376</v>
      </c>
      <c r="E2" s="198">
        <f>ROUND(N(data!C267),0)</f>
        <v>0</v>
      </c>
      <c r="F2" s="198">
        <f>ROUND(N(data!C268),0)</f>
        <v>84503209</v>
      </c>
      <c r="G2" s="198">
        <f>ROUND(N(data!C269),0)</f>
        <v>0</v>
      </c>
      <c r="H2" s="198">
        <f>ROUND(N(data!C270),0)</f>
        <v>0</v>
      </c>
      <c r="I2" s="198">
        <f>ROUND(N(data!C271),0)</f>
        <v>58271456</v>
      </c>
      <c r="J2" s="198">
        <f>ROUND(N(data!C272),0)</f>
        <v>0</v>
      </c>
      <c r="K2" s="198">
        <f>ROUND(N(data!C273),0)</f>
        <v>9103155</v>
      </c>
      <c r="L2" s="198">
        <f>ROUND(N(data!C274),0)</f>
        <v>3348974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17504411</v>
      </c>
      <c r="R2" s="198">
        <f>ROUND(N(data!C284),0)</f>
        <v>9336610</v>
      </c>
      <c r="S2" s="198">
        <f>ROUND(N(data!C285),0)</f>
        <v>137151673</v>
      </c>
      <c r="T2" s="198">
        <f>ROUND(N(data!C286),0)</f>
        <v>0</v>
      </c>
      <c r="U2" s="198">
        <f>ROUND(N(data!C287),0)</f>
        <v>0</v>
      </c>
      <c r="V2" s="198">
        <f>ROUND(N(data!C288),0)</f>
        <v>95761584</v>
      </c>
      <c r="W2" s="198">
        <f>ROUND(N(data!C289),0)</f>
        <v>9275414</v>
      </c>
      <c r="X2" s="198">
        <f>ROUND(N(data!C290),0)</f>
        <v>29196687</v>
      </c>
      <c r="Y2" s="198">
        <f>ROUND(N(data!C291),0)</f>
        <v>0</v>
      </c>
      <c r="Z2" s="198">
        <f>ROUND(N(data!C292),0)</f>
        <v>43255601</v>
      </c>
      <c r="AA2" s="198">
        <f>ROUND(N(data!C295),0)</f>
        <v>0</v>
      </c>
      <c r="AB2" s="198">
        <f>ROUND(N(data!C296),0)</f>
        <v>0</v>
      </c>
      <c r="AC2" s="198">
        <f>ROUND(N(data!C297),0)</f>
        <v>3203778</v>
      </c>
      <c r="AD2" s="198">
        <f>ROUND(N(data!C298),0)</f>
        <v>4084743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7182933</v>
      </c>
      <c r="AI2" s="198">
        <f>ROUND(N(data!C314),0)</f>
        <v>0</v>
      </c>
      <c r="AJ2" s="198">
        <f>ROUND(N(data!C315),0)</f>
        <v>5291470</v>
      </c>
      <c r="AK2" s="198">
        <f>ROUND(N(data!C316),0)</f>
        <v>58604500</v>
      </c>
      <c r="AL2" s="198">
        <f>ROUND(N(data!C317),0)</f>
        <v>40188312</v>
      </c>
      <c r="AM2" s="198">
        <f>ROUND(N(data!C318),0)</f>
        <v>0</v>
      </c>
      <c r="AN2" s="198">
        <f>ROUND(N(data!C319),0)</f>
        <v>-1960373</v>
      </c>
      <c r="AO2" s="198">
        <f>ROUND(N(data!C320),0)</f>
        <v>0</v>
      </c>
      <c r="AP2" s="198">
        <f>ROUND(N(data!C321),0)</f>
        <v>0</v>
      </c>
      <c r="AQ2" s="198">
        <f>ROUND(N(data!C322),0)</f>
        <v>2815536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8799600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180050972</v>
      </c>
      <c r="BB2" s="198">
        <f>ROUND(N(data!C337),0)</f>
        <v>0</v>
      </c>
      <c r="BC2" s="198">
        <f>ROUND(N(data!C338),0)</f>
        <v>-2497930</v>
      </c>
      <c r="BD2" s="198">
        <f>ROUND(N(data!C339),0)</f>
        <v>0</v>
      </c>
      <c r="BE2" s="198">
        <f>ROUND(N(data!C343),0)</f>
        <v>275830315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2238.14</v>
      </c>
      <c r="BL2" s="198">
        <f>ROUND(N(data!C358),0)</f>
        <v>609660809</v>
      </c>
      <c r="BM2" s="198">
        <f>ROUND(N(data!C359),0)</f>
        <v>1438532089</v>
      </c>
      <c r="BN2" s="198">
        <f>ROUND(N(data!C363),0)</f>
        <v>1366074847</v>
      </c>
      <c r="BO2" s="198">
        <f>ROUND(N(data!C364),0)</f>
        <v>50748586</v>
      </c>
      <c r="BP2" s="198">
        <f>ROUND(N(data!C365),0)</f>
        <v>884814</v>
      </c>
      <c r="BQ2" s="198">
        <f>ROUND(N(data!D381),0)</f>
        <v>19211690</v>
      </c>
      <c r="BR2" s="198">
        <f>ROUND(N(data!C370),0)</f>
        <v>1807083</v>
      </c>
      <c r="BS2" s="198">
        <f>ROUND(N(data!C371),0)</f>
        <v>7798541</v>
      </c>
      <c r="BT2" s="198">
        <f>ROUND(N(data!C372),0)</f>
        <v>-1234993</v>
      </c>
      <c r="BU2" s="198">
        <f>ROUND(N(data!C373),0)</f>
        <v>0</v>
      </c>
      <c r="BV2" s="198">
        <f>ROUND(N(data!C374),0)</f>
        <v>6743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376923</v>
      </c>
      <c r="CA2" s="198">
        <f>ROUND(N(data!C379),0)</f>
        <v>2197698</v>
      </c>
      <c r="CB2" s="198">
        <f>ROUND(N(data!C380),0)</f>
        <v>8259694</v>
      </c>
      <c r="CC2" s="198">
        <f>ROUND(N(data!C382),0)</f>
        <v>0</v>
      </c>
      <c r="CD2" s="198">
        <f>ROUND(N(data!C389),0)</f>
        <v>274380747</v>
      </c>
      <c r="CE2" s="198">
        <f>ROUND(N(data!C390),0)</f>
        <v>47285978</v>
      </c>
      <c r="CF2" s="198">
        <f>ROUND(N(data!C391),0)</f>
        <v>37000544</v>
      </c>
      <c r="CG2" s="198">
        <f>ROUND(N(data!C392),0)</f>
        <v>125379790</v>
      </c>
      <c r="CH2" s="198">
        <f>ROUND(N(data!C393),0)</f>
        <v>3967005</v>
      </c>
      <c r="CI2" s="198">
        <f>ROUND(N(data!C394),0)</f>
        <v>36491295</v>
      </c>
      <c r="CJ2" s="198">
        <f>ROUND(N(data!C395),0)</f>
        <v>17106907</v>
      </c>
      <c r="CK2" s="198">
        <f>ROUND(N(data!C396),0)</f>
        <v>11134988</v>
      </c>
      <c r="CL2" s="198">
        <f>ROUND(N(data!C397),0)</f>
        <v>26126</v>
      </c>
      <c r="CM2" s="198">
        <f>ROUND(N(data!C398),0)</f>
        <v>4304584</v>
      </c>
      <c r="CN2" s="198">
        <f>ROUND(N(data!C399),0)</f>
        <v>3516950</v>
      </c>
      <c r="CO2" s="198">
        <f>ROUND(N(data!C362),0)</f>
        <v>2723999</v>
      </c>
      <c r="CP2" s="198">
        <f>ROUND(N(data!D415),0)</f>
        <v>82276550</v>
      </c>
      <c r="CQ2" s="52">
        <f>ROUND(N(data!C401),0)</f>
        <v>364138</v>
      </c>
      <c r="CR2" s="52">
        <f>ROUND(N(data!C402),0)</f>
        <v>13474633</v>
      </c>
      <c r="CS2" s="52">
        <f>ROUND(N(data!C403),0)</f>
        <v>21153213</v>
      </c>
      <c r="CT2" s="52">
        <f>ROUND(N(data!C404),0)</f>
        <v>2344233</v>
      </c>
      <c r="CU2" s="52">
        <f>ROUND(N(data!C405),0)</f>
        <v>2370656</v>
      </c>
      <c r="CV2" s="52">
        <f>ROUND(N(data!C406),0)</f>
        <v>5969597</v>
      </c>
      <c r="CW2" s="52">
        <f>ROUND(N(data!C407),0)</f>
        <v>0</v>
      </c>
      <c r="CX2" s="52">
        <f>ROUND(N(data!C408),0)</f>
        <v>7077461</v>
      </c>
      <c r="CY2" s="52">
        <f>ROUND(N(data!C409),0)</f>
        <v>79072</v>
      </c>
      <c r="CZ2" s="52">
        <f>ROUND(N(data!C410),0)</f>
        <v>203839</v>
      </c>
      <c r="DA2" s="52">
        <f>ROUND(N(data!C411),0)</f>
        <v>38570</v>
      </c>
      <c r="DB2" s="52">
        <f>ROUND(N(data!C412),0)</f>
        <v>0</v>
      </c>
      <c r="DC2" s="52">
        <f>ROUND(N(data!C413),0)</f>
        <v>0</v>
      </c>
      <c r="DD2" s="52">
        <f>ROUND(N(data!C414),0)</f>
        <v>29201138</v>
      </c>
      <c r="DE2" s="52">
        <f>ROUND(N(data!C419),0)</f>
        <v>0</v>
      </c>
      <c r="DF2" s="198">
        <f>ROUND(N(data!D420),0)</f>
        <v>2850976</v>
      </c>
      <c r="DG2" s="198">
        <f>ROUND(N(data!C422),0)</f>
        <v>0</v>
      </c>
      <c r="DH2" s="198">
        <f>ROUND(N(data!C423),0)</f>
        <v>0</v>
      </c>
    </row>
  </sheetData>
  <sheetProtection algorithmName="SHA-512" hashValue="5vNiMUrVTVZ5LjjMV4tqudrmjpdHM7XwrP7AcmeVRrCmT4RvPbbEC4RHdsF/t7jtjwNqHGo3FVO/mWhMgP5SNw==" saltValue="x31lpdS26Qpj0DbFWuLWr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1345</v>
      </c>
      <c r="B1" s="12" t="s">
        <v>1346</v>
      </c>
      <c r="C1" s="10" t="s">
        <v>1347</v>
      </c>
      <c r="D1" s="12" t="s">
        <v>1348</v>
      </c>
      <c r="E1" s="10" t="s">
        <v>1349</v>
      </c>
      <c r="F1" s="10" t="s">
        <v>1350</v>
      </c>
      <c r="G1" s="10" t="s">
        <v>1351</v>
      </c>
      <c r="H1" s="10" t="s">
        <v>1352</v>
      </c>
      <c r="I1" s="10" t="s">
        <v>1353</v>
      </c>
      <c r="J1" s="10" t="s">
        <v>1354</v>
      </c>
      <c r="K1" s="10" t="s">
        <v>1355</v>
      </c>
      <c r="L1" s="10" t="s">
        <v>1356</v>
      </c>
      <c r="M1" s="10" t="s">
        <v>1357</v>
      </c>
      <c r="N1" s="10" t="s">
        <v>1358</v>
      </c>
      <c r="O1" s="10" t="s">
        <v>1359</v>
      </c>
      <c r="P1" s="10" t="s">
        <v>1327</v>
      </c>
      <c r="Q1" s="10" t="s">
        <v>1328</v>
      </c>
      <c r="R1" s="10" t="s">
        <v>1329</v>
      </c>
      <c r="S1" s="10" t="s">
        <v>1330</v>
      </c>
      <c r="T1" s="10" t="s">
        <v>1331</v>
      </c>
      <c r="U1" s="10" t="s">
        <v>1332</v>
      </c>
      <c r="V1" s="10" t="s">
        <v>1333</v>
      </c>
      <c r="W1" s="10" t="s">
        <v>1334</v>
      </c>
      <c r="X1" s="10" t="s">
        <v>1335</v>
      </c>
      <c r="Y1" s="10" t="s">
        <v>1336</v>
      </c>
      <c r="Z1" s="10" t="s">
        <v>1337</v>
      </c>
      <c r="AA1" s="10" t="s">
        <v>1338</v>
      </c>
      <c r="AB1" s="10" t="s">
        <v>1339</v>
      </c>
      <c r="AC1" s="10" t="s">
        <v>1340</v>
      </c>
      <c r="AD1" s="10" t="s">
        <v>1360</v>
      </c>
      <c r="AE1" s="10" t="s">
        <v>1361</v>
      </c>
      <c r="AF1" s="10" t="s">
        <v>1362</v>
      </c>
      <c r="AG1" s="10" t="s">
        <v>1363</v>
      </c>
      <c r="AH1" s="10" t="s">
        <v>1364</v>
      </c>
      <c r="AI1" s="10" t="s">
        <v>1365</v>
      </c>
      <c r="AJ1" s="10" t="s">
        <v>1366</v>
      </c>
      <c r="AK1" s="10" t="s">
        <v>1367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058</v>
      </c>
      <c r="B2" s="200" t="str">
        <f>RIGHT(data!$C$96,4)</f>
        <v>2024</v>
      </c>
      <c r="C2" s="12" t="str">
        <f>data!C$55</f>
        <v>6010</v>
      </c>
      <c r="D2" s="12" t="s">
        <v>1161</v>
      </c>
      <c r="E2" s="198">
        <f>ROUND(N(data!C59), 0)</f>
        <v>5102</v>
      </c>
      <c r="F2" s="271">
        <f>ROUND(N(data!C60), 2)</f>
        <v>49.65</v>
      </c>
      <c r="G2" s="198">
        <f>ROUND(N(data!C61), 0)</f>
        <v>6956426</v>
      </c>
      <c r="H2" s="198">
        <f>ROUND(N(data!C62), 0)</f>
        <v>1418240</v>
      </c>
      <c r="I2" s="198">
        <f>ROUND(N(data!C63), 0)</f>
        <v>405487</v>
      </c>
      <c r="J2" s="198">
        <f>ROUND(N(data!C64), 0)</f>
        <v>604153</v>
      </c>
      <c r="K2" s="198">
        <f>ROUND(N(data!C65), 0)</f>
        <v>0</v>
      </c>
      <c r="L2" s="198">
        <f>ROUND(N(data!C66), 0)</f>
        <v>20672</v>
      </c>
      <c r="M2" s="198">
        <f>ROUND(N(data!C67), 0)</f>
        <v>155572</v>
      </c>
      <c r="N2" s="198">
        <f>ROUND(N(data!C68), 0)</f>
        <v>722</v>
      </c>
      <c r="O2" s="198">
        <f>ROUND(N(data!C69), 0)</f>
        <v>955936</v>
      </c>
      <c r="P2" s="198">
        <f>ROUND(N(data!C70), 0)</f>
        <v>0</v>
      </c>
      <c r="Q2" s="198">
        <f>ROUND(N(data!C71), 0)</f>
        <v>886157</v>
      </c>
      <c r="R2" s="198">
        <f>ROUND(N(data!C72), 0)</f>
        <v>0</v>
      </c>
      <c r="S2" s="198">
        <f>ROUND(N(data!C73), 0)</f>
        <v>0</v>
      </c>
      <c r="T2" s="198">
        <f>ROUND(N(data!C74), 0)</f>
        <v>288</v>
      </c>
      <c r="U2" s="198">
        <f>ROUND(N(data!C75), 0)</f>
        <v>0</v>
      </c>
      <c r="V2" s="198">
        <f>ROUND(N(data!C76), 0)</f>
        <v>0</v>
      </c>
      <c r="W2" s="198">
        <f>ROUND(N(data!C77), 0)</f>
        <v>11810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57682</v>
      </c>
      <c r="AD2" s="198">
        <f>ROUND(N(data!C84), 0)</f>
        <v>60807</v>
      </c>
      <c r="AE2" s="198">
        <f>ROUND(N(data!C89), 0)</f>
        <v>39287379</v>
      </c>
      <c r="AF2" s="198">
        <f>ROUND(N(data!C87), 0)</f>
        <v>38926589</v>
      </c>
      <c r="AG2" s="198">
        <f>ROUND(N(data!C90), 0)</f>
        <v>11357</v>
      </c>
      <c r="AH2" s="198">
        <f>ROUND(N(data!C91), 0)</f>
        <v>2635</v>
      </c>
      <c r="AI2" s="198">
        <f>ROUND(N(data!C92), 0)</f>
        <v>6656</v>
      </c>
      <c r="AJ2" s="198">
        <f>ROUND(N(data!C93), 0)</f>
        <v>119581</v>
      </c>
      <c r="AK2" s="271">
        <f>ROUND(N(data!C94), 2)</f>
        <v>37.049999999999997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058</v>
      </c>
      <c r="B3" s="200" t="str">
        <f>RIGHT(data!$C$96,4)</f>
        <v>2024</v>
      </c>
      <c r="C3" s="12" t="str">
        <f>data!D$55</f>
        <v>6030</v>
      </c>
      <c r="D3" s="12" t="s">
        <v>1161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058</v>
      </c>
      <c r="B4" s="200" t="str">
        <f>RIGHT(data!$C$96,4)</f>
        <v>2024</v>
      </c>
      <c r="C4" s="12" t="str">
        <f>data!E$55</f>
        <v>6070</v>
      </c>
      <c r="D4" s="12" t="s">
        <v>1161</v>
      </c>
      <c r="E4" s="198">
        <f>ROUND(N(data!E59), 0)</f>
        <v>42534</v>
      </c>
      <c r="F4" s="271">
        <f>ROUND(N(data!E60), 2)</f>
        <v>230.7</v>
      </c>
      <c r="G4" s="198">
        <f>ROUND(N(data!E61), 0)</f>
        <v>28153622</v>
      </c>
      <c r="H4" s="198">
        <f>ROUND(N(data!E62), 0)</f>
        <v>5609526</v>
      </c>
      <c r="I4" s="198">
        <f>ROUND(N(data!E63), 0)</f>
        <v>0</v>
      </c>
      <c r="J4" s="198">
        <f>ROUND(N(data!E64), 0)</f>
        <v>1449861</v>
      </c>
      <c r="K4" s="198">
        <f>ROUND(N(data!E65), 0)</f>
        <v>2783</v>
      </c>
      <c r="L4" s="198">
        <f>ROUND(N(data!E66), 0)</f>
        <v>929</v>
      </c>
      <c r="M4" s="198">
        <f>ROUND(N(data!E67), 0)</f>
        <v>871832</v>
      </c>
      <c r="N4" s="198">
        <f>ROUND(N(data!E68), 0)</f>
        <v>6601</v>
      </c>
      <c r="O4" s="198">
        <f>ROUND(N(data!E69), 0)</f>
        <v>4649075</v>
      </c>
      <c r="P4" s="198">
        <f>ROUND(N(data!E70), 0)</f>
        <v>0</v>
      </c>
      <c r="Q4" s="198">
        <f>ROUND(N(data!E71), 0)</f>
        <v>4623763</v>
      </c>
      <c r="R4" s="198">
        <f>ROUND(N(data!E72), 0)</f>
        <v>3777</v>
      </c>
      <c r="S4" s="198">
        <f>ROUND(N(data!E73), 0)</f>
        <v>0</v>
      </c>
      <c r="T4" s="198">
        <f>ROUND(N(data!E74), 0)</f>
        <v>18</v>
      </c>
      <c r="U4" s="198">
        <f>ROUND(N(data!E75), 0)</f>
        <v>0</v>
      </c>
      <c r="V4" s="198">
        <f>ROUND(N(data!E76), 0)</f>
        <v>0</v>
      </c>
      <c r="W4" s="198">
        <f>ROUND(N(data!E77), 0)</f>
        <v>17966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3550</v>
      </c>
      <c r="AD4" s="198">
        <f>ROUND(N(data!E84), 0)</f>
        <v>12105</v>
      </c>
      <c r="AE4" s="198">
        <f>ROUND(N(data!E89), 0)</f>
        <v>184151353</v>
      </c>
      <c r="AF4" s="198">
        <f>ROUND(N(data!E87), 0)</f>
        <v>175655609</v>
      </c>
      <c r="AG4" s="198">
        <f>ROUND(N(data!E90), 0)</f>
        <v>63645</v>
      </c>
      <c r="AH4" s="198">
        <f>ROUND(N(data!E91), 0)</f>
        <v>116082</v>
      </c>
      <c r="AI4" s="198">
        <f>ROUND(N(data!E92), 0)</f>
        <v>46800</v>
      </c>
      <c r="AJ4" s="198">
        <f>ROUND(N(data!E93), 0)</f>
        <v>334815</v>
      </c>
      <c r="AK4" s="271">
        <f>ROUND(N(data!E94), 2)</f>
        <v>118.75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058</v>
      </c>
      <c r="B5" s="200" t="str">
        <f>RIGHT(data!$C$96,4)</f>
        <v>2024</v>
      </c>
      <c r="C5" s="12" t="str">
        <f>data!F$55</f>
        <v>6100</v>
      </c>
      <c r="D5" s="12" t="s">
        <v>1161</v>
      </c>
      <c r="E5" s="198">
        <f>ROUND(N(data!F59), 0)</f>
        <v>3845</v>
      </c>
      <c r="F5" s="271">
        <f>ROUND(N(data!F60), 2)</f>
        <v>47.2</v>
      </c>
      <c r="G5" s="198">
        <f>ROUND(N(data!F61), 0)</f>
        <v>5766519</v>
      </c>
      <c r="H5" s="198">
        <f>ROUND(N(data!F62), 0)</f>
        <v>1207691</v>
      </c>
      <c r="I5" s="198">
        <f>ROUND(N(data!F63), 0)</f>
        <v>48750</v>
      </c>
      <c r="J5" s="198">
        <f>ROUND(N(data!F64), 0)</f>
        <v>200264</v>
      </c>
      <c r="K5" s="198">
        <f>ROUND(N(data!F65), 0)</f>
        <v>0</v>
      </c>
      <c r="L5" s="198">
        <f>ROUND(N(data!F66), 0)</f>
        <v>3196</v>
      </c>
      <c r="M5" s="198">
        <f>ROUND(N(data!F67), 0)</f>
        <v>256885</v>
      </c>
      <c r="N5" s="198">
        <f>ROUND(N(data!F68), 0)</f>
        <v>10000</v>
      </c>
      <c r="O5" s="198">
        <f>ROUND(N(data!F69), 0)</f>
        <v>68545</v>
      </c>
      <c r="P5" s="198">
        <f>ROUND(N(data!F70), 0)</f>
        <v>0</v>
      </c>
      <c r="Q5" s="198">
        <f>ROUND(N(data!F71), 0)</f>
        <v>9942</v>
      </c>
      <c r="R5" s="198">
        <f>ROUND(N(data!F72), 0)</f>
        <v>19412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39192</v>
      </c>
      <c r="AD5" s="198">
        <f>ROUND(N(data!F84), 0)</f>
        <v>68076</v>
      </c>
      <c r="AE5" s="198">
        <f>ROUND(N(data!F89), 0)</f>
        <v>26813369</v>
      </c>
      <c r="AF5" s="198">
        <f>ROUND(N(data!F87), 0)</f>
        <v>26588621</v>
      </c>
      <c r="AG5" s="198">
        <f>ROUND(N(data!F90), 0)</f>
        <v>18753</v>
      </c>
      <c r="AH5" s="198">
        <f>ROUND(N(data!F91), 0)</f>
        <v>9933</v>
      </c>
      <c r="AI5" s="198">
        <f>ROUND(N(data!F92), 0)</f>
        <v>6240</v>
      </c>
      <c r="AJ5" s="198">
        <f>ROUND(N(data!F93), 0)</f>
        <v>39468</v>
      </c>
      <c r="AK5" s="271">
        <f>ROUND(N(data!F94), 2)</f>
        <v>33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058</v>
      </c>
      <c r="B6" s="200" t="str">
        <f>RIGHT(data!$C$96,4)</f>
        <v>2024</v>
      </c>
      <c r="C6" s="12" t="str">
        <f>data!G$55</f>
        <v>6120</v>
      </c>
      <c r="D6" s="12" t="s">
        <v>1161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058</v>
      </c>
      <c r="B7" s="200" t="str">
        <f>RIGHT(data!$C$96,4)</f>
        <v>2024</v>
      </c>
      <c r="C7" s="12" t="str">
        <f>data!H$55</f>
        <v>6140</v>
      </c>
      <c r="D7" s="12" t="s">
        <v>1161</v>
      </c>
      <c r="E7" s="198">
        <f>ROUND(N(data!H59), 0)</f>
        <v>5525</v>
      </c>
      <c r="F7" s="271">
        <f>ROUND(N(data!H60), 2)</f>
        <v>29.65</v>
      </c>
      <c r="G7" s="198">
        <f>ROUND(N(data!H61), 0)</f>
        <v>4341757</v>
      </c>
      <c r="H7" s="198">
        <f>ROUND(N(data!H62), 0)</f>
        <v>805606</v>
      </c>
      <c r="I7" s="198">
        <f>ROUND(N(data!H63), 0)</f>
        <v>584358</v>
      </c>
      <c r="J7" s="198">
        <f>ROUND(N(data!H64), 0)</f>
        <v>60346</v>
      </c>
      <c r="K7" s="198">
        <f>ROUND(N(data!H65), 0)</f>
        <v>378</v>
      </c>
      <c r="L7" s="198">
        <f>ROUND(N(data!H66), 0)</f>
        <v>2173</v>
      </c>
      <c r="M7" s="198">
        <f>ROUND(N(data!H67), 0)</f>
        <v>182681</v>
      </c>
      <c r="N7" s="198">
        <f>ROUND(N(data!H68), 0)</f>
        <v>1894</v>
      </c>
      <c r="O7" s="198">
        <f>ROUND(N(data!H69), 0)</f>
        <v>206347</v>
      </c>
      <c r="P7" s="198">
        <f>ROUND(N(data!H70), 0)</f>
        <v>0</v>
      </c>
      <c r="Q7" s="198">
        <f>ROUND(N(data!H71), 0)</f>
        <v>173659</v>
      </c>
      <c r="R7" s="198">
        <f>ROUND(N(data!H72), 0)</f>
        <v>6434</v>
      </c>
      <c r="S7" s="198">
        <f>ROUND(N(data!H73), 0)</f>
        <v>0</v>
      </c>
      <c r="T7" s="198">
        <f>ROUND(N(data!H74), 0)</f>
        <v>4</v>
      </c>
      <c r="U7" s="198">
        <f>ROUND(N(data!H75), 0)</f>
        <v>5344</v>
      </c>
      <c r="V7" s="198">
        <f>ROUND(N(data!H76), 0)</f>
        <v>0</v>
      </c>
      <c r="W7" s="198">
        <f>ROUND(N(data!H77), 0)</f>
        <v>8263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12643</v>
      </c>
      <c r="AD7" s="198">
        <f>ROUND(N(data!H84), 0)</f>
        <v>0</v>
      </c>
      <c r="AE7" s="198">
        <f>ROUND(N(data!H89), 0)</f>
        <v>29105568</v>
      </c>
      <c r="AF7" s="198">
        <f>ROUND(N(data!H87), 0)</f>
        <v>28640262</v>
      </c>
      <c r="AG7" s="198">
        <f>ROUND(N(data!H90), 0)</f>
        <v>13336</v>
      </c>
      <c r="AH7" s="198">
        <f>ROUND(N(data!H91), 0)</f>
        <v>17101</v>
      </c>
      <c r="AI7" s="198">
        <f>ROUND(N(data!H92), 0)</f>
        <v>2496</v>
      </c>
      <c r="AJ7" s="198">
        <f>ROUND(N(data!H93), 0)</f>
        <v>39751</v>
      </c>
      <c r="AK7" s="271">
        <f>ROUND(N(data!H94), 2)</f>
        <v>10.199999999999999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058</v>
      </c>
      <c r="B8" s="200" t="str">
        <f>RIGHT(data!$C$96,4)</f>
        <v>2024</v>
      </c>
      <c r="C8" s="12" t="str">
        <f>data!I$55</f>
        <v>6150</v>
      </c>
      <c r="D8" s="12" t="s">
        <v>1161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058</v>
      </c>
      <c r="B9" s="200" t="str">
        <f>RIGHT(data!$C$96,4)</f>
        <v>2024</v>
      </c>
      <c r="C9" s="12" t="str">
        <f>data!J$55</f>
        <v>6170</v>
      </c>
      <c r="D9" s="12" t="s">
        <v>1161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058</v>
      </c>
      <c r="B10" s="200" t="str">
        <f>RIGHT(data!$C$96,4)</f>
        <v>2024</v>
      </c>
      <c r="C10" s="12" t="str">
        <f>data!K$55</f>
        <v>6200</v>
      </c>
      <c r="D10" s="12" t="s">
        <v>1161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058</v>
      </c>
      <c r="B11" s="200" t="str">
        <f>RIGHT(data!$C$96,4)</f>
        <v>2024</v>
      </c>
      <c r="C11" s="12" t="str">
        <f>data!L$55</f>
        <v>6210</v>
      </c>
      <c r="D11" s="12" t="s">
        <v>1161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058</v>
      </c>
      <c r="B12" s="200" t="str">
        <f>RIGHT(data!$C$96,4)</f>
        <v>2024</v>
      </c>
      <c r="C12" s="12" t="str">
        <f>data!M$55</f>
        <v>6330</v>
      </c>
      <c r="D12" s="12" t="s">
        <v>1161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058</v>
      </c>
      <c r="B13" s="200" t="str">
        <f>RIGHT(data!$C$96,4)</f>
        <v>2024</v>
      </c>
      <c r="C13" s="12" t="str">
        <f>data!N$55</f>
        <v>6400</v>
      </c>
      <c r="D13" s="12" t="s">
        <v>1161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058</v>
      </c>
      <c r="B14" s="200" t="str">
        <f>RIGHT(data!$C$96,4)</f>
        <v>2024</v>
      </c>
      <c r="C14" s="12" t="str">
        <f>data!O$55</f>
        <v>7010</v>
      </c>
      <c r="D14" s="12" t="s">
        <v>1161</v>
      </c>
      <c r="E14" s="198">
        <f>ROUND(N(data!O59), 0)</f>
        <v>12901</v>
      </c>
      <c r="F14" s="271">
        <f>ROUND(N(data!O60), 2)</f>
        <v>45.9</v>
      </c>
      <c r="G14" s="198">
        <f>ROUND(N(data!O61), 0)</f>
        <v>6333042</v>
      </c>
      <c r="H14" s="198">
        <f>ROUND(N(data!O62), 0)</f>
        <v>1341268</v>
      </c>
      <c r="I14" s="198">
        <f>ROUND(N(data!O63), 0)</f>
        <v>0</v>
      </c>
      <c r="J14" s="198">
        <f>ROUND(N(data!O64), 0)</f>
        <v>750418</v>
      </c>
      <c r="K14" s="198">
        <f>ROUND(N(data!O65), 0)</f>
        <v>0</v>
      </c>
      <c r="L14" s="198">
        <f>ROUND(N(data!O66), 0)</f>
        <v>1072</v>
      </c>
      <c r="M14" s="198">
        <f>ROUND(N(data!O67), 0)</f>
        <v>145175</v>
      </c>
      <c r="N14" s="198">
        <f>ROUND(N(data!O68), 0)</f>
        <v>259</v>
      </c>
      <c r="O14" s="198">
        <f>ROUND(N(data!O69), 0)</f>
        <v>168793</v>
      </c>
      <c r="P14" s="198">
        <f>ROUND(N(data!O70), 0)</f>
        <v>0</v>
      </c>
      <c r="Q14" s="198">
        <f>ROUND(N(data!O71), 0)</f>
        <v>142584</v>
      </c>
      <c r="R14" s="198">
        <f>ROUND(N(data!O72), 0)</f>
        <v>420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21045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4745</v>
      </c>
      <c r="AD14" s="198">
        <f>ROUND(N(data!O84), 0)</f>
        <v>19490</v>
      </c>
      <c r="AE14" s="198">
        <f>ROUND(N(data!O89), 0)</f>
        <v>28369362</v>
      </c>
      <c r="AF14" s="198">
        <f>ROUND(N(data!O87), 0)</f>
        <v>27349781</v>
      </c>
      <c r="AG14" s="198">
        <f>ROUND(N(data!O90), 0)</f>
        <v>10598</v>
      </c>
      <c r="AH14" s="198">
        <f>ROUND(N(data!O91), 0)</f>
        <v>0</v>
      </c>
      <c r="AI14" s="198">
        <f>ROUND(N(data!O92), 0)</f>
        <v>14560</v>
      </c>
      <c r="AJ14" s="198">
        <f>ROUND(N(data!O93), 0)</f>
        <v>175682</v>
      </c>
      <c r="AK14" s="271">
        <f>ROUND(N(data!O94), 2)</f>
        <v>29.1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058</v>
      </c>
      <c r="B15" s="200" t="str">
        <f>RIGHT(data!$C$96,4)</f>
        <v>2024</v>
      </c>
      <c r="C15" s="12" t="str">
        <f>data!P$55</f>
        <v>7020</v>
      </c>
      <c r="D15" s="12" t="s">
        <v>1161</v>
      </c>
      <c r="E15" s="198">
        <f>ROUND(N(data!P59), 0)</f>
        <v>1801326</v>
      </c>
      <c r="F15" s="271">
        <f>ROUND(N(data!P60), 2)</f>
        <v>108.65</v>
      </c>
      <c r="G15" s="198">
        <f>ROUND(N(data!P61), 0)</f>
        <v>13414053</v>
      </c>
      <c r="H15" s="198">
        <f>ROUND(N(data!P62), 0)</f>
        <v>2911505</v>
      </c>
      <c r="I15" s="198">
        <f>ROUND(N(data!P63), 0)</f>
        <v>14103</v>
      </c>
      <c r="J15" s="198">
        <f>ROUND(N(data!P64), 0)</f>
        <v>31009567</v>
      </c>
      <c r="K15" s="198">
        <f>ROUND(N(data!P65), 0)</f>
        <v>58176</v>
      </c>
      <c r="L15" s="198">
        <f>ROUND(N(data!P66), 0)</f>
        <v>1020588</v>
      </c>
      <c r="M15" s="198">
        <f>ROUND(N(data!P67), 0)</f>
        <v>793664</v>
      </c>
      <c r="N15" s="198">
        <f>ROUND(N(data!P68), 0)</f>
        <v>1293326</v>
      </c>
      <c r="O15" s="198">
        <f>ROUND(N(data!P69), 0)</f>
        <v>3296119</v>
      </c>
      <c r="P15" s="198">
        <f>ROUND(N(data!P70), 0)</f>
        <v>0</v>
      </c>
      <c r="Q15" s="198">
        <f>ROUND(N(data!P71), 0)</f>
        <v>1203266</v>
      </c>
      <c r="R15" s="198">
        <f>ROUND(N(data!P72), 0)</f>
        <v>1031866</v>
      </c>
      <c r="S15" s="198">
        <f>ROUND(N(data!P73), 0)</f>
        <v>0</v>
      </c>
      <c r="T15" s="198">
        <f>ROUND(N(data!P74), 0)</f>
        <v>27405</v>
      </c>
      <c r="U15" s="198">
        <f>ROUND(N(data!P75), 0)</f>
        <v>0</v>
      </c>
      <c r="V15" s="198">
        <f>ROUND(N(data!P76), 0)</f>
        <v>0</v>
      </c>
      <c r="W15" s="198">
        <f>ROUND(N(data!P77), 0)</f>
        <v>933237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19715</v>
      </c>
      <c r="AB15" s="198">
        <f>ROUND(N(data!P82), 0)</f>
        <v>0</v>
      </c>
      <c r="AC15" s="198">
        <f>ROUND(N(data!P83), 0)</f>
        <v>80629</v>
      </c>
      <c r="AD15" s="198">
        <f>ROUND(N(data!P84), 0)</f>
        <v>4500</v>
      </c>
      <c r="AE15" s="198">
        <f>ROUND(N(data!P89), 0)</f>
        <v>251351899</v>
      </c>
      <c r="AF15" s="198">
        <f>ROUND(N(data!P87), 0)</f>
        <v>64343614</v>
      </c>
      <c r="AG15" s="198">
        <f>ROUND(N(data!P90), 0)</f>
        <v>47763</v>
      </c>
      <c r="AH15" s="198">
        <f>ROUND(N(data!P91), 0)</f>
        <v>920</v>
      </c>
      <c r="AI15" s="198">
        <f>ROUND(N(data!P92), 0)</f>
        <v>7280</v>
      </c>
      <c r="AJ15" s="198">
        <f>ROUND(N(data!P93), 0)</f>
        <v>270912</v>
      </c>
      <c r="AK15" s="271">
        <f>ROUND(N(data!P94), 2)</f>
        <v>52.45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058</v>
      </c>
      <c r="B16" s="200" t="str">
        <f>RIGHT(data!$C$96,4)</f>
        <v>2024</v>
      </c>
      <c r="C16" s="12" t="str">
        <f>data!Q$55</f>
        <v>7030</v>
      </c>
      <c r="D16" s="12" t="s">
        <v>1161</v>
      </c>
      <c r="E16" s="198">
        <f>ROUND(N(data!Q59), 0)</f>
        <v>1672890</v>
      </c>
      <c r="F16" s="271">
        <f>ROUND(N(data!Q60), 2)</f>
        <v>35.85</v>
      </c>
      <c r="G16" s="198">
        <f>ROUND(N(data!Q61), 0)</f>
        <v>6157164</v>
      </c>
      <c r="H16" s="198">
        <f>ROUND(N(data!Q62), 0)</f>
        <v>1282287</v>
      </c>
      <c r="I16" s="198">
        <f>ROUND(N(data!Q63), 0)</f>
        <v>0</v>
      </c>
      <c r="J16" s="198">
        <f>ROUND(N(data!Q64), 0)</f>
        <v>98405</v>
      </c>
      <c r="K16" s="198">
        <f>ROUND(N(data!Q65), 0)</f>
        <v>1438</v>
      </c>
      <c r="L16" s="198">
        <f>ROUND(N(data!Q66), 0)</f>
        <v>18</v>
      </c>
      <c r="M16" s="198">
        <f>ROUND(N(data!Q67), 0)</f>
        <v>74697</v>
      </c>
      <c r="N16" s="198">
        <f>ROUND(N(data!Q68), 0)</f>
        <v>94626</v>
      </c>
      <c r="O16" s="198">
        <f>ROUND(N(data!Q69), 0)</f>
        <v>8006</v>
      </c>
      <c r="P16" s="198">
        <f>ROUND(N(data!Q70), 0)</f>
        <v>0</v>
      </c>
      <c r="Q16" s="198">
        <f>ROUND(N(data!Q71), 0)</f>
        <v>0</v>
      </c>
      <c r="R16" s="198">
        <f>ROUND(N(data!Q72), 0)</f>
        <v>210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2311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5362</v>
      </c>
      <c r="AB16" s="198">
        <f>ROUND(N(data!Q82), 0)</f>
        <v>0</v>
      </c>
      <c r="AC16" s="198">
        <f>ROUND(N(data!Q83), 0)</f>
        <v>124</v>
      </c>
      <c r="AD16" s="198">
        <f>ROUND(N(data!Q84), 0)</f>
        <v>0</v>
      </c>
      <c r="AE16" s="198">
        <f>ROUND(N(data!Q89), 0)</f>
        <v>14443432</v>
      </c>
      <c r="AF16" s="198">
        <f>ROUND(N(data!Q87), 0)</f>
        <v>2589774</v>
      </c>
      <c r="AG16" s="198">
        <f>ROUND(N(data!Q90), 0)</f>
        <v>5453</v>
      </c>
      <c r="AH16" s="198">
        <f>ROUND(N(data!Q91), 0)</f>
        <v>0</v>
      </c>
      <c r="AI16" s="198">
        <f>ROUND(N(data!Q92), 0)</f>
        <v>1040</v>
      </c>
      <c r="AJ16" s="198">
        <f>ROUND(N(data!Q93), 0)</f>
        <v>46116</v>
      </c>
      <c r="AK16" s="271">
        <f>ROUND(N(data!Q94), 2)</f>
        <v>27.95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058</v>
      </c>
      <c r="B17" s="200" t="str">
        <f>RIGHT(data!$C$96,4)</f>
        <v>2024</v>
      </c>
      <c r="C17" s="12" t="str">
        <f>data!R$55</f>
        <v>7040</v>
      </c>
      <c r="D17" s="12" t="s">
        <v>1161</v>
      </c>
      <c r="E17" s="198">
        <f>ROUND(N(data!R59), 0)</f>
        <v>1131833</v>
      </c>
      <c r="F17" s="271">
        <f>ROUND(N(data!R60), 2)</f>
        <v>1.75</v>
      </c>
      <c r="G17" s="198">
        <f>ROUND(N(data!R61), 0)</f>
        <v>16041794</v>
      </c>
      <c r="H17" s="198">
        <f>ROUND(N(data!R62), 0)</f>
        <v>1303564</v>
      </c>
      <c r="I17" s="198">
        <f>ROUND(N(data!R63), 0)</f>
        <v>3416053</v>
      </c>
      <c r="J17" s="198">
        <f>ROUND(N(data!R64), 0)</f>
        <v>507782</v>
      </c>
      <c r="K17" s="198">
        <f>ROUND(N(data!R65), 0)</f>
        <v>592</v>
      </c>
      <c r="L17" s="198">
        <f>ROUND(N(data!R66), 0)</f>
        <v>38232</v>
      </c>
      <c r="M17" s="198">
        <f>ROUND(N(data!R67), 0)</f>
        <v>8575</v>
      </c>
      <c r="N17" s="198">
        <f>ROUND(N(data!R68), 0)</f>
        <v>147</v>
      </c>
      <c r="O17" s="198">
        <f>ROUND(N(data!R69), 0)</f>
        <v>-385762</v>
      </c>
      <c r="P17" s="198">
        <f>ROUND(N(data!R70), 0)</f>
        <v>0</v>
      </c>
      <c r="Q17" s="198">
        <f>ROUND(N(data!R71), 0)</f>
        <v>-527705</v>
      </c>
      <c r="R17" s="198">
        <f>ROUND(N(data!R72), 0)</f>
        <v>9478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546</v>
      </c>
      <c r="X17" s="198">
        <f>ROUND(N(data!R78), 0)</f>
        <v>0</v>
      </c>
      <c r="Y17" s="198">
        <f>ROUND(N(data!R79), 0)</f>
        <v>2127</v>
      </c>
      <c r="Z17" s="198">
        <f>ROUND(N(data!R80), 0)</f>
        <v>78</v>
      </c>
      <c r="AA17" s="198">
        <f>ROUND(N(data!R81), 0)</f>
        <v>0</v>
      </c>
      <c r="AB17" s="198">
        <f>ROUND(N(data!R82), 0)</f>
        <v>0</v>
      </c>
      <c r="AC17" s="198">
        <f>ROUND(N(data!R83), 0)</f>
        <v>129715</v>
      </c>
      <c r="AD17" s="198">
        <f>ROUND(N(data!R84), 0)</f>
        <v>0</v>
      </c>
      <c r="AE17" s="198">
        <f>ROUND(N(data!R89), 0)</f>
        <v>51179341</v>
      </c>
      <c r="AF17" s="198">
        <f>ROUND(N(data!R87), 0)</f>
        <v>8110442</v>
      </c>
      <c r="AG17" s="198">
        <f>ROUND(N(data!R90), 0)</f>
        <v>626</v>
      </c>
      <c r="AH17" s="198">
        <f>ROUND(N(data!R91), 0)</f>
        <v>0</v>
      </c>
      <c r="AI17" s="198">
        <f>ROUND(N(data!R92), 0)</f>
        <v>2080</v>
      </c>
      <c r="AJ17" s="198">
        <f>ROUND(N(data!R93), 0)</f>
        <v>66805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058</v>
      </c>
      <c r="B18" s="200" t="str">
        <f>RIGHT(data!$C$96,4)</f>
        <v>2024</v>
      </c>
      <c r="C18" s="12" t="str">
        <f>data!S$55</f>
        <v>7050</v>
      </c>
      <c r="D18" s="12" t="s">
        <v>1161</v>
      </c>
      <c r="E18" s="198">
        <f>ROUND(N(data!S59), 0)</f>
        <v>0</v>
      </c>
      <c r="F18" s="271">
        <f>ROUND(N(data!S60), 2)</f>
        <v>22.9</v>
      </c>
      <c r="G18" s="198">
        <f>ROUND(N(data!S61), 0)</f>
        <v>1414229</v>
      </c>
      <c r="H18" s="198">
        <f>ROUND(N(data!S62), 0)</f>
        <v>396395</v>
      </c>
      <c r="I18" s="198">
        <f>ROUND(N(data!S63), 0)</f>
        <v>0</v>
      </c>
      <c r="J18" s="198">
        <f>ROUND(N(data!S64), 0)</f>
        <v>491613</v>
      </c>
      <c r="K18" s="198">
        <f>ROUND(N(data!S65), 0)</f>
        <v>0</v>
      </c>
      <c r="L18" s="198">
        <f>ROUND(N(data!S66), 0)</f>
        <v>127776</v>
      </c>
      <c r="M18" s="198">
        <f>ROUND(N(data!S67), 0)</f>
        <v>470443</v>
      </c>
      <c r="N18" s="198">
        <f>ROUND(N(data!S68), 0)</f>
        <v>44337</v>
      </c>
      <c r="O18" s="198">
        <f>ROUND(N(data!S69), 0)</f>
        <v>395687</v>
      </c>
      <c r="P18" s="198">
        <f>ROUND(N(data!S70), 0)</f>
        <v>0</v>
      </c>
      <c r="Q18" s="198">
        <f>ROUND(N(data!S71), 0)</f>
        <v>277489</v>
      </c>
      <c r="R18" s="198">
        <f>ROUND(N(data!S72), 0)</f>
        <v>3173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114834</v>
      </c>
      <c r="X18" s="198">
        <f>ROUND(N(data!S78), 0)</f>
        <v>0</v>
      </c>
      <c r="Y18" s="198">
        <f>ROUND(N(data!S79), 0)</f>
        <v>0</v>
      </c>
      <c r="Z18" s="198">
        <f>ROUND(N(data!S80), 0)</f>
        <v>15</v>
      </c>
      <c r="AA18" s="198">
        <f>ROUND(N(data!S81), 0)</f>
        <v>0</v>
      </c>
      <c r="AB18" s="198">
        <f>ROUND(N(data!S82), 0)</f>
        <v>0</v>
      </c>
      <c r="AC18" s="198">
        <f>ROUND(N(data!S83), 0)</f>
        <v>176</v>
      </c>
      <c r="AD18" s="198">
        <f>ROUND(N(data!S84), 0)</f>
        <v>0</v>
      </c>
      <c r="AE18" s="198">
        <f>ROUND(N(data!S89), 0)</f>
        <v>1620</v>
      </c>
      <c r="AF18" s="198">
        <f>ROUND(N(data!S87), 0)</f>
        <v>26859</v>
      </c>
      <c r="AG18" s="198">
        <f>ROUND(N(data!S90), 0)</f>
        <v>34343</v>
      </c>
      <c r="AH18" s="198">
        <f>ROUND(N(data!S91), 0)</f>
        <v>0</v>
      </c>
      <c r="AI18" s="198">
        <f>ROUND(N(data!S92), 0)</f>
        <v>0</v>
      </c>
      <c r="AJ18" s="198">
        <f>ROUND(N(data!S93), 0)</f>
        <v>10488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058</v>
      </c>
      <c r="B19" s="200" t="str">
        <f>RIGHT(data!$C$96,4)</f>
        <v>2024</v>
      </c>
      <c r="C19" s="12" t="str">
        <f>data!T$55</f>
        <v>7060</v>
      </c>
      <c r="D19" s="12" t="s">
        <v>1161</v>
      </c>
      <c r="E19" s="198">
        <f>ROUND(N(data!T59), 0)</f>
        <v>0</v>
      </c>
      <c r="F19" s="271">
        <f>ROUND(N(data!T60), 2)</f>
        <v>9.65</v>
      </c>
      <c r="G19" s="198">
        <f>ROUND(N(data!T61), 0)</f>
        <v>1467490</v>
      </c>
      <c r="H19" s="198">
        <f>ROUND(N(data!T62), 0)</f>
        <v>285213</v>
      </c>
      <c r="I19" s="198">
        <f>ROUND(N(data!T63), 0)</f>
        <v>0</v>
      </c>
      <c r="J19" s="198">
        <f>ROUND(N(data!T64), 0)</f>
        <v>355419</v>
      </c>
      <c r="K19" s="198">
        <f>ROUND(N(data!T65), 0)</f>
        <v>0</v>
      </c>
      <c r="L19" s="198">
        <f>ROUND(N(data!T66), 0)</f>
        <v>0</v>
      </c>
      <c r="M19" s="198">
        <f>ROUND(N(data!T67), 0)</f>
        <v>4000</v>
      </c>
      <c r="N19" s="198">
        <f>ROUND(N(data!T68), 0)</f>
        <v>168</v>
      </c>
      <c r="O19" s="198">
        <f>ROUND(N(data!T69), 0)</f>
        <v>9881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9881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2142335</v>
      </c>
      <c r="AF19" s="198">
        <f>ROUND(N(data!T87), 0)</f>
        <v>1809824</v>
      </c>
      <c r="AG19" s="198">
        <f>ROUND(N(data!T90), 0)</f>
        <v>292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9.65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058</v>
      </c>
      <c r="B20" s="200" t="str">
        <f>RIGHT(data!$C$96,4)</f>
        <v>2024</v>
      </c>
      <c r="C20" s="12" t="str">
        <f>data!U$55</f>
        <v>7070</v>
      </c>
      <c r="D20" s="12" t="s">
        <v>1161</v>
      </c>
      <c r="E20" s="198">
        <f>ROUND(N(data!U59), 0)</f>
        <v>1783868</v>
      </c>
      <c r="F20" s="271">
        <f>ROUND(N(data!U60), 2)</f>
        <v>87.2</v>
      </c>
      <c r="G20" s="198">
        <f>ROUND(N(data!U61), 0)</f>
        <v>5175448</v>
      </c>
      <c r="H20" s="198">
        <f>ROUND(N(data!U62), 0)</f>
        <v>1512791</v>
      </c>
      <c r="I20" s="198">
        <f>ROUND(N(data!U63), 0)</f>
        <v>130500</v>
      </c>
      <c r="J20" s="198">
        <f>ROUND(N(data!U64), 0)</f>
        <v>6091030</v>
      </c>
      <c r="K20" s="198">
        <f>ROUND(N(data!U65), 0)</f>
        <v>10566</v>
      </c>
      <c r="L20" s="198">
        <f>ROUND(N(data!U66), 0)</f>
        <v>4057457</v>
      </c>
      <c r="M20" s="198">
        <f>ROUND(N(data!U67), 0)</f>
        <v>144103</v>
      </c>
      <c r="N20" s="198">
        <f>ROUND(N(data!U68), 0)</f>
        <v>472530</v>
      </c>
      <c r="O20" s="198">
        <f>ROUND(N(data!U69), 0)</f>
        <v>2119513</v>
      </c>
      <c r="P20" s="198">
        <f>ROUND(N(data!U70), 0)</f>
        <v>364138</v>
      </c>
      <c r="Q20" s="198">
        <f>ROUND(N(data!U71), 0)</f>
        <v>674794</v>
      </c>
      <c r="R20" s="198">
        <f>ROUND(N(data!U72), 0)</f>
        <v>740426</v>
      </c>
      <c r="S20" s="198">
        <f>ROUND(N(data!U73), 0)</f>
        <v>0</v>
      </c>
      <c r="T20" s="198">
        <f>ROUND(N(data!U74), 0)</f>
        <v>-2063</v>
      </c>
      <c r="U20" s="198">
        <f>ROUND(N(data!U75), 0)</f>
        <v>0</v>
      </c>
      <c r="V20" s="198">
        <f>ROUND(N(data!U76), 0)</f>
        <v>0</v>
      </c>
      <c r="W20" s="198">
        <f>ROUND(N(data!U77), 0)</f>
        <v>266116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6563</v>
      </c>
      <c r="AB20" s="198">
        <f>ROUND(N(data!U82), 0)</f>
        <v>0</v>
      </c>
      <c r="AC20" s="198">
        <f>ROUND(N(data!U83), 0)</f>
        <v>69540</v>
      </c>
      <c r="AD20" s="198">
        <f>ROUND(N(data!U84), 0)</f>
        <v>24231</v>
      </c>
      <c r="AE20" s="198">
        <f>ROUND(N(data!U89), 0)</f>
        <v>142448457</v>
      </c>
      <c r="AF20" s="198">
        <f>ROUND(N(data!U87), 0)</f>
        <v>52749919</v>
      </c>
      <c r="AG20" s="198">
        <f>ROUND(N(data!U90), 0)</f>
        <v>9497</v>
      </c>
      <c r="AH20" s="198">
        <f>ROUND(N(data!U91), 0)</f>
        <v>0</v>
      </c>
      <c r="AI20" s="198">
        <f>ROUND(N(data!U92), 0)</f>
        <v>1040</v>
      </c>
      <c r="AJ20" s="198">
        <f>ROUND(N(data!U93), 0)</f>
        <v>0</v>
      </c>
      <c r="AK20" s="271">
        <f>ROUND(N(data!U94), 2)</f>
        <v>5.7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058</v>
      </c>
      <c r="B21" s="200" t="str">
        <f>RIGHT(data!$C$96,4)</f>
        <v>2024</v>
      </c>
      <c r="C21" s="12" t="str">
        <f>data!V$55</f>
        <v>7110</v>
      </c>
      <c r="D21" s="12" t="s">
        <v>1161</v>
      </c>
      <c r="E21" s="198">
        <f>ROUND(N(data!V59), 0)</f>
        <v>0</v>
      </c>
      <c r="F21" s="271">
        <f>ROUND(N(data!V60), 2)</f>
        <v>1</v>
      </c>
      <c r="G21" s="198">
        <f>ROUND(N(data!V61), 0)</f>
        <v>85036</v>
      </c>
      <c r="H21" s="198">
        <f>ROUND(N(data!V62), 0)</f>
        <v>22177</v>
      </c>
      <c r="I21" s="198">
        <f>ROUND(N(data!V63), 0)</f>
        <v>0</v>
      </c>
      <c r="J21" s="198">
        <f>ROUND(N(data!V64), 0)</f>
        <v>2394</v>
      </c>
      <c r="K21" s="198">
        <f>ROUND(N(data!V65), 0)</f>
        <v>0</v>
      </c>
      <c r="L21" s="198">
        <f>ROUND(N(data!V66), 0)</f>
        <v>2</v>
      </c>
      <c r="M21" s="198">
        <f>ROUND(N(data!V67), 0)</f>
        <v>3096</v>
      </c>
      <c r="N21" s="198">
        <f>ROUND(N(data!V68), 0)</f>
        <v>285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8247478</v>
      </c>
      <c r="AF21" s="198">
        <f>ROUND(N(data!V87), 0)</f>
        <v>3060862</v>
      </c>
      <c r="AG21" s="198">
        <f>ROUND(N(data!V90), 0)</f>
        <v>226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058</v>
      </c>
      <c r="B22" s="200" t="str">
        <f>RIGHT(data!$C$96,4)</f>
        <v>2024</v>
      </c>
      <c r="C22" s="12" t="str">
        <f>data!W$55</f>
        <v>7120</v>
      </c>
      <c r="D22" s="12" t="s">
        <v>1161</v>
      </c>
      <c r="E22" s="198">
        <f>ROUND(N(data!W59), 0)</f>
        <v>83754</v>
      </c>
      <c r="F22" s="271">
        <f>ROUND(N(data!W60), 2)</f>
        <v>10.9</v>
      </c>
      <c r="G22" s="198">
        <f>ROUND(N(data!W61), 0)</f>
        <v>1231610</v>
      </c>
      <c r="H22" s="198">
        <f>ROUND(N(data!W62), 0)</f>
        <v>278997</v>
      </c>
      <c r="I22" s="198">
        <f>ROUND(N(data!W63), 0)</f>
        <v>0</v>
      </c>
      <c r="J22" s="198">
        <f>ROUND(N(data!W64), 0)</f>
        <v>52832</v>
      </c>
      <c r="K22" s="198">
        <f>ROUND(N(data!W65), 0)</f>
        <v>0</v>
      </c>
      <c r="L22" s="198">
        <f>ROUND(N(data!W66), 0)</f>
        <v>112384</v>
      </c>
      <c r="M22" s="198">
        <f>ROUND(N(data!W67), 0)</f>
        <v>31177</v>
      </c>
      <c r="N22" s="198">
        <f>ROUND(N(data!W68), 0)</f>
        <v>218</v>
      </c>
      <c r="O22" s="198">
        <f>ROUND(N(data!W69), 0)</f>
        <v>308940</v>
      </c>
      <c r="P22" s="198">
        <f>ROUND(N(data!W70), 0)</f>
        <v>0</v>
      </c>
      <c r="Q22" s="198">
        <f>ROUND(N(data!W71), 0)</f>
        <v>0</v>
      </c>
      <c r="R22" s="198">
        <f>ROUND(N(data!W72), 0)</f>
        <v>245385</v>
      </c>
      <c r="S22" s="198">
        <f>ROUND(N(data!W73), 0)</f>
        <v>0</v>
      </c>
      <c r="T22" s="198">
        <f>ROUND(N(data!W74), 0)</f>
        <v>31</v>
      </c>
      <c r="U22" s="198">
        <f>ROUND(N(data!W75), 0)</f>
        <v>0</v>
      </c>
      <c r="V22" s="198">
        <f>ROUND(N(data!W76), 0)</f>
        <v>0</v>
      </c>
      <c r="W22" s="198">
        <f>ROUND(N(data!W77), 0)</f>
        <v>63524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39342564</v>
      </c>
      <c r="AF22" s="198">
        <f>ROUND(N(data!W87), 0)</f>
        <v>3659319</v>
      </c>
      <c r="AG22" s="198">
        <f>ROUND(N(data!W90), 0)</f>
        <v>2276</v>
      </c>
      <c r="AH22" s="198">
        <f>ROUND(N(data!W91), 0)</f>
        <v>0</v>
      </c>
      <c r="AI22" s="198">
        <f>ROUND(N(data!W92), 0)</f>
        <v>0</v>
      </c>
      <c r="AJ22" s="198">
        <f>ROUND(N(data!W93), 0)</f>
        <v>12170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058</v>
      </c>
      <c r="B23" s="200" t="str">
        <f>RIGHT(data!$C$96,4)</f>
        <v>2024</v>
      </c>
      <c r="C23" s="12" t="str">
        <f>data!X$55</f>
        <v>7130</v>
      </c>
      <c r="D23" s="12" t="s">
        <v>1161</v>
      </c>
      <c r="E23" s="198">
        <f>ROUND(N(data!X59), 0)</f>
        <v>0</v>
      </c>
      <c r="F23" s="271">
        <f>ROUND(N(data!X60), 2)</f>
        <v>16</v>
      </c>
      <c r="G23" s="198">
        <f>ROUND(N(data!X61), 0)</f>
        <v>1721576</v>
      </c>
      <c r="H23" s="198">
        <f>ROUND(N(data!X62), 0)</f>
        <v>400016</v>
      </c>
      <c r="I23" s="198">
        <f>ROUND(N(data!X63), 0)</f>
        <v>580</v>
      </c>
      <c r="J23" s="198">
        <f>ROUND(N(data!X64), 0)</f>
        <v>1615157</v>
      </c>
      <c r="K23" s="198">
        <f>ROUND(N(data!X65), 0)</f>
        <v>0</v>
      </c>
      <c r="L23" s="198">
        <f>ROUND(N(data!X66), 0)</f>
        <v>55490</v>
      </c>
      <c r="M23" s="198">
        <f>ROUND(N(data!X67), 0)</f>
        <v>299269</v>
      </c>
      <c r="N23" s="198">
        <f>ROUND(N(data!X68), 0)</f>
        <v>893</v>
      </c>
      <c r="O23" s="198">
        <f>ROUND(N(data!X69), 0)</f>
        <v>485124</v>
      </c>
      <c r="P23" s="198">
        <f>ROUND(N(data!X70), 0)</f>
        <v>0</v>
      </c>
      <c r="Q23" s="198">
        <f>ROUND(N(data!X71), 0)</f>
        <v>0</v>
      </c>
      <c r="R23" s="198">
        <f>ROUND(N(data!X72), 0)</f>
        <v>306778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178047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298</v>
      </c>
      <c r="AD23" s="198">
        <f>ROUND(N(data!X84), 0)</f>
        <v>0</v>
      </c>
      <c r="AE23" s="198">
        <f>ROUND(N(data!X89), 0)</f>
        <v>125245822</v>
      </c>
      <c r="AF23" s="198">
        <f>ROUND(N(data!X87), 0)</f>
        <v>30184923</v>
      </c>
      <c r="AG23" s="198">
        <f>ROUND(N(data!X90), 0)</f>
        <v>2391</v>
      </c>
      <c r="AH23" s="198">
        <f>ROUND(N(data!X91), 0)</f>
        <v>0</v>
      </c>
      <c r="AI23" s="198">
        <f>ROUND(N(data!X92), 0)</f>
        <v>0</v>
      </c>
      <c r="AJ23" s="198">
        <f>ROUND(N(data!X93), 0)</f>
        <v>35219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058</v>
      </c>
      <c r="B24" s="200" t="str">
        <f>RIGHT(data!$C$96,4)</f>
        <v>2024</v>
      </c>
      <c r="C24" s="12" t="str">
        <f>data!Y$55</f>
        <v>7140</v>
      </c>
      <c r="D24" s="12" t="s">
        <v>1161</v>
      </c>
      <c r="E24" s="198">
        <f>ROUND(N(data!Y59), 0)</f>
        <v>239529</v>
      </c>
      <c r="F24" s="271">
        <f>ROUND(N(data!Y60), 2)</f>
        <v>60.9</v>
      </c>
      <c r="G24" s="198">
        <f>ROUND(N(data!Y61), 0)</f>
        <v>4631091</v>
      </c>
      <c r="H24" s="198">
        <f>ROUND(N(data!Y62), 0)</f>
        <v>1173089</v>
      </c>
      <c r="I24" s="198">
        <f>ROUND(N(data!Y63), 0)</f>
        <v>244228</v>
      </c>
      <c r="J24" s="198">
        <f>ROUND(N(data!Y64), 0)</f>
        <v>442148</v>
      </c>
      <c r="K24" s="198">
        <f>ROUND(N(data!Y65), 0)</f>
        <v>201822</v>
      </c>
      <c r="L24" s="198">
        <f>ROUND(N(data!Y66), 0)</f>
        <v>469500</v>
      </c>
      <c r="M24" s="198">
        <f>ROUND(N(data!Y67), 0)</f>
        <v>843117</v>
      </c>
      <c r="N24" s="198">
        <f>ROUND(N(data!Y68), 0)</f>
        <v>401418</v>
      </c>
      <c r="O24" s="198">
        <f>ROUND(N(data!Y69), 0)</f>
        <v>1790875</v>
      </c>
      <c r="P24" s="198">
        <f>ROUND(N(data!Y70), 0)</f>
        <v>0</v>
      </c>
      <c r="Q24" s="198">
        <f>ROUND(N(data!Y71), 0)</f>
        <v>836044</v>
      </c>
      <c r="R24" s="198">
        <f>ROUND(N(data!Y72), 0)</f>
        <v>583419</v>
      </c>
      <c r="S24" s="198">
        <f>ROUND(N(data!Y73), 0)</f>
        <v>0</v>
      </c>
      <c r="T24" s="198">
        <f>ROUND(N(data!Y74), 0)</f>
        <v>605</v>
      </c>
      <c r="U24" s="198">
        <f>ROUND(N(data!Y75), 0)</f>
        <v>0</v>
      </c>
      <c r="V24" s="198">
        <f>ROUND(N(data!Y76), 0)</f>
        <v>0</v>
      </c>
      <c r="W24" s="198">
        <f>ROUND(N(data!Y77), 0)</f>
        <v>222536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48262</v>
      </c>
      <c r="AB24" s="198">
        <f>ROUND(N(data!Y82), 0)</f>
        <v>0</v>
      </c>
      <c r="AC24" s="198">
        <f>ROUND(N(data!Y83), 0)</f>
        <v>100010</v>
      </c>
      <c r="AD24" s="198">
        <f>ROUND(N(data!Y84), 0)</f>
        <v>2714</v>
      </c>
      <c r="AE24" s="198">
        <f>ROUND(N(data!Y89), 0)</f>
        <v>83714107</v>
      </c>
      <c r="AF24" s="198">
        <f>ROUND(N(data!Y87), 0)</f>
        <v>12214271</v>
      </c>
      <c r="AG24" s="198">
        <f>ROUND(N(data!Y90), 0)</f>
        <v>36626</v>
      </c>
      <c r="AH24" s="198">
        <f>ROUND(N(data!Y91), 0)</f>
        <v>0</v>
      </c>
      <c r="AI24" s="198">
        <f>ROUND(N(data!Y92), 0)</f>
        <v>1040</v>
      </c>
      <c r="AJ24" s="198">
        <f>ROUND(N(data!Y93), 0)</f>
        <v>82172</v>
      </c>
      <c r="AK24" s="271">
        <f>ROUND(N(data!Y94), 2)</f>
        <v>5.6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058</v>
      </c>
      <c r="B25" s="200" t="str">
        <f>RIGHT(data!$C$96,4)</f>
        <v>2024</v>
      </c>
      <c r="C25" s="12" t="str">
        <f>data!Z$55</f>
        <v>7150</v>
      </c>
      <c r="D25" s="12" t="s">
        <v>1161</v>
      </c>
      <c r="E25" s="198">
        <f>ROUND(N(data!Z59), 0)</f>
        <v>44407</v>
      </c>
      <c r="F25" s="271">
        <f>ROUND(N(data!Z60), 2)</f>
        <v>13.05</v>
      </c>
      <c r="G25" s="198">
        <f>ROUND(N(data!Z61), 0)</f>
        <v>1514180</v>
      </c>
      <c r="H25" s="198">
        <f>ROUND(N(data!Z62), 0)</f>
        <v>338649</v>
      </c>
      <c r="I25" s="198">
        <f>ROUND(N(data!Z63), 0)</f>
        <v>381711</v>
      </c>
      <c r="J25" s="198">
        <f>ROUND(N(data!Z64), 0)</f>
        <v>62488</v>
      </c>
      <c r="K25" s="198">
        <f>ROUND(N(data!Z65), 0)</f>
        <v>0</v>
      </c>
      <c r="L25" s="198">
        <f>ROUND(N(data!Z66), 0)</f>
        <v>706091</v>
      </c>
      <c r="M25" s="198">
        <f>ROUND(N(data!Z67), 0)</f>
        <v>168410</v>
      </c>
      <c r="N25" s="198">
        <f>ROUND(N(data!Z68), 0)</f>
        <v>2186</v>
      </c>
      <c r="O25" s="198">
        <f>ROUND(N(data!Z69), 0)</f>
        <v>1239135</v>
      </c>
      <c r="P25" s="198">
        <f>ROUND(N(data!Z70), 0)</f>
        <v>0</v>
      </c>
      <c r="Q25" s="198">
        <f>ROUND(N(data!Z71), 0)</f>
        <v>60851</v>
      </c>
      <c r="R25" s="198">
        <f>ROUND(N(data!Z72), 0)</f>
        <v>988340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164082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25861</v>
      </c>
      <c r="AD25" s="198">
        <f>ROUND(N(data!Z84), 0)</f>
        <v>0</v>
      </c>
      <c r="AE25" s="198">
        <f>ROUND(N(data!Z89), 0)</f>
        <v>24582460</v>
      </c>
      <c r="AF25" s="198">
        <f>ROUND(N(data!Z87), 0)</f>
        <v>187387</v>
      </c>
      <c r="AG25" s="198">
        <f>ROUND(N(data!Z90), 0)</f>
        <v>12695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2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058</v>
      </c>
      <c r="B26" s="200" t="str">
        <f>RIGHT(data!$C$96,4)</f>
        <v>2024</v>
      </c>
      <c r="C26" s="12" t="str">
        <f>data!AA$55</f>
        <v>7160</v>
      </c>
      <c r="D26" s="12" t="s">
        <v>1161</v>
      </c>
      <c r="E26" s="198">
        <f>ROUND(N(data!AA59), 0)</f>
        <v>17621</v>
      </c>
      <c r="F26" s="271">
        <f>ROUND(N(data!AA60), 2)</f>
        <v>6</v>
      </c>
      <c r="G26" s="198">
        <f>ROUND(N(data!AA61), 0)</f>
        <v>561521</v>
      </c>
      <c r="H26" s="198">
        <f>ROUND(N(data!AA62), 0)</f>
        <v>122425</v>
      </c>
      <c r="I26" s="198">
        <f>ROUND(N(data!AA63), 0)</f>
        <v>0</v>
      </c>
      <c r="J26" s="198">
        <f>ROUND(N(data!AA64), 0)</f>
        <v>551440</v>
      </c>
      <c r="K26" s="198">
        <f>ROUND(N(data!AA65), 0)</f>
        <v>0</v>
      </c>
      <c r="L26" s="198">
        <f>ROUND(N(data!AA66), 0)</f>
        <v>17766</v>
      </c>
      <c r="M26" s="198">
        <f>ROUND(N(data!AA67), 0)</f>
        <v>32684</v>
      </c>
      <c r="N26" s="198">
        <f>ROUND(N(data!AA68), 0)</f>
        <v>535</v>
      </c>
      <c r="O26" s="198">
        <f>ROUND(N(data!AA69), 0)</f>
        <v>62660</v>
      </c>
      <c r="P26" s="198">
        <f>ROUND(N(data!AA70), 0)</f>
        <v>0</v>
      </c>
      <c r="Q26" s="198">
        <f>ROUND(N(data!AA71), 0)</f>
        <v>0</v>
      </c>
      <c r="R26" s="198">
        <f>ROUND(N(data!AA72), 0)</f>
        <v>21278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31296</v>
      </c>
      <c r="X26" s="198">
        <f>ROUND(N(data!AA78), 0)</f>
        <v>0</v>
      </c>
      <c r="Y26" s="198">
        <f>ROUND(N(data!AA79), 0)</f>
        <v>960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9126</v>
      </c>
      <c r="AD26" s="198">
        <f>ROUND(N(data!AA84), 0)</f>
        <v>0</v>
      </c>
      <c r="AE26" s="198">
        <f>ROUND(N(data!AA89), 0)</f>
        <v>11311970</v>
      </c>
      <c r="AF26" s="198">
        <f>ROUND(N(data!AA87), 0)</f>
        <v>203909</v>
      </c>
      <c r="AG26" s="198">
        <f>ROUND(N(data!AA90), 0)</f>
        <v>2288</v>
      </c>
      <c r="AH26" s="198">
        <f>ROUND(N(data!AA91), 0)</f>
        <v>0</v>
      </c>
      <c r="AI26" s="198">
        <f>ROUND(N(data!AA92), 0)</f>
        <v>0</v>
      </c>
      <c r="AJ26" s="198">
        <f>ROUND(N(data!AA93), 0)</f>
        <v>2206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058</v>
      </c>
      <c r="B27" s="200" t="str">
        <f>RIGHT(data!$C$96,4)</f>
        <v>2024</v>
      </c>
      <c r="C27" s="12" t="str">
        <f>data!AB$55</f>
        <v>7170</v>
      </c>
      <c r="D27" s="12" t="s">
        <v>1161</v>
      </c>
      <c r="E27" s="198">
        <f>ROUND(N(data!AB59), 0)</f>
        <v>0</v>
      </c>
      <c r="F27" s="271">
        <f>ROUND(N(data!AB60), 2)</f>
        <v>65</v>
      </c>
      <c r="G27" s="198">
        <f>ROUND(N(data!AB61), 0)</f>
        <v>10039147</v>
      </c>
      <c r="H27" s="198">
        <f>ROUND(N(data!AB62), 0)</f>
        <v>2292674</v>
      </c>
      <c r="I27" s="198">
        <f>ROUND(N(data!AB63), 0)</f>
        <v>13277</v>
      </c>
      <c r="J27" s="198">
        <f>ROUND(N(data!AB64), 0)</f>
        <v>35481611</v>
      </c>
      <c r="K27" s="198">
        <f>ROUND(N(data!AB65), 0)</f>
        <v>12503</v>
      </c>
      <c r="L27" s="198">
        <f>ROUND(N(data!AB66), 0)</f>
        <v>407610</v>
      </c>
      <c r="M27" s="198">
        <f>ROUND(N(data!AB67), 0)</f>
        <v>217129</v>
      </c>
      <c r="N27" s="198">
        <f>ROUND(N(data!AB68), 0)</f>
        <v>61934</v>
      </c>
      <c r="O27" s="198">
        <f>ROUND(N(data!AB69), 0)</f>
        <v>969790</v>
      </c>
      <c r="P27" s="198">
        <f>ROUND(N(data!AB70), 0)</f>
        <v>0</v>
      </c>
      <c r="Q27" s="198">
        <f>ROUND(N(data!AB71), 0)</f>
        <v>0</v>
      </c>
      <c r="R27" s="198">
        <f>ROUND(N(data!AB72), 0)</f>
        <v>666097</v>
      </c>
      <c r="S27" s="198">
        <f>ROUND(N(data!AB73), 0)</f>
        <v>300</v>
      </c>
      <c r="T27" s="198">
        <f>ROUND(N(data!AB74), 0)</f>
        <v>1664</v>
      </c>
      <c r="U27" s="198">
        <f>ROUND(N(data!AB75), 0)</f>
        <v>0</v>
      </c>
      <c r="V27" s="198">
        <f>ROUND(N(data!AB76), 0)</f>
        <v>0</v>
      </c>
      <c r="W27" s="198">
        <f>ROUND(N(data!AB77), 0)</f>
        <v>73249</v>
      </c>
      <c r="X27" s="198">
        <f>ROUND(N(data!AB78), 0)</f>
        <v>0</v>
      </c>
      <c r="Y27" s="198">
        <f>ROUND(N(data!AB79), 0)</f>
        <v>0</v>
      </c>
      <c r="Z27" s="198">
        <f>ROUND(N(data!AB80), 0)</f>
        <v>10</v>
      </c>
      <c r="AA27" s="198">
        <f>ROUND(N(data!AB81), 0)</f>
        <v>0</v>
      </c>
      <c r="AB27" s="198">
        <f>ROUND(N(data!AB82), 0)</f>
        <v>0</v>
      </c>
      <c r="AC27" s="198">
        <f>ROUND(N(data!AB83), 0)</f>
        <v>228470</v>
      </c>
      <c r="AD27" s="198">
        <f>ROUND(N(data!AB84), 0)</f>
        <v>161290</v>
      </c>
      <c r="AE27" s="198">
        <f>ROUND(N(data!AB89), 0)</f>
        <v>146252772</v>
      </c>
      <c r="AF27" s="198">
        <f>ROUND(N(data!AB87), 0)</f>
        <v>43847532</v>
      </c>
      <c r="AG27" s="198">
        <f>ROUND(N(data!AB90), 0)</f>
        <v>15689</v>
      </c>
      <c r="AH27" s="198">
        <f>ROUND(N(data!AB91), 0)</f>
        <v>0</v>
      </c>
      <c r="AI27" s="198">
        <f>ROUND(N(data!AB92), 0)</f>
        <v>0</v>
      </c>
      <c r="AJ27" s="198">
        <f>ROUND(N(data!AB93), 0)</f>
        <v>1254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058</v>
      </c>
      <c r="B28" s="200" t="str">
        <f>RIGHT(data!$C$96,4)</f>
        <v>2024</v>
      </c>
      <c r="C28" s="12" t="str">
        <f>data!AC$55</f>
        <v>7180</v>
      </c>
      <c r="D28" s="12" t="s">
        <v>1161</v>
      </c>
      <c r="E28" s="198">
        <f>ROUND(N(data!AC59), 0)</f>
        <v>248189</v>
      </c>
      <c r="F28" s="271">
        <f>ROUND(N(data!AC60), 2)</f>
        <v>12.75</v>
      </c>
      <c r="G28" s="198">
        <f>ROUND(N(data!AC61), 0)</f>
        <v>1807895</v>
      </c>
      <c r="H28" s="198">
        <f>ROUND(N(data!AC62), 0)</f>
        <v>377908</v>
      </c>
      <c r="I28" s="198">
        <f>ROUND(N(data!AC63), 0)</f>
        <v>227217</v>
      </c>
      <c r="J28" s="198">
        <f>ROUND(N(data!AC64), 0)</f>
        <v>425412</v>
      </c>
      <c r="K28" s="198">
        <f>ROUND(N(data!AC65), 0)</f>
        <v>0</v>
      </c>
      <c r="L28" s="198">
        <f>ROUND(N(data!AC66), 0)</f>
        <v>14618</v>
      </c>
      <c r="M28" s="198">
        <f>ROUND(N(data!AC67), 0)</f>
        <v>44613</v>
      </c>
      <c r="N28" s="198">
        <f>ROUND(N(data!AC68), 0)</f>
        <v>28765</v>
      </c>
      <c r="O28" s="198">
        <f>ROUND(N(data!AC69), 0)</f>
        <v>356826</v>
      </c>
      <c r="P28" s="198">
        <f>ROUND(N(data!AC70), 0)</f>
        <v>0</v>
      </c>
      <c r="Q28" s="198">
        <f>ROUND(N(data!AC71), 0)</f>
        <v>316693</v>
      </c>
      <c r="R28" s="198">
        <f>ROUND(N(data!AC72), 0)</f>
        <v>420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16973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22740</v>
      </c>
      <c r="AD28" s="198">
        <f>ROUND(N(data!AC84), 0)</f>
        <v>0</v>
      </c>
      <c r="AE28" s="198">
        <f>ROUND(N(data!AC89), 0)</f>
        <v>16297539</v>
      </c>
      <c r="AF28" s="198">
        <f>ROUND(N(data!AC87), 0)</f>
        <v>14035065</v>
      </c>
      <c r="AG28" s="198">
        <f>ROUND(N(data!AC90), 0)</f>
        <v>3076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058</v>
      </c>
      <c r="B29" s="200" t="str">
        <f>RIGHT(data!$C$96,4)</f>
        <v>2024</v>
      </c>
      <c r="C29" s="12" t="str">
        <f>data!AD$55</f>
        <v>7190</v>
      </c>
      <c r="D29" s="12" t="s">
        <v>1161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1570807</v>
      </c>
      <c r="M29" s="198">
        <f>ROUND(N(data!AD67), 0)</f>
        <v>3657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3253217</v>
      </c>
      <c r="AF29" s="198">
        <f>ROUND(N(data!AD87), 0)</f>
        <v>3134726</v>
      </c>
      <c r="AG29" s="198">
        <f>ROUND(N(data!AD90), 0)</f>
        <v>267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058</v>
      </c>
      <c r="B30" s="200" t="str">
        <f>RIGHT(data!$C$96,4)</f>
        <v>2024</v>
      </c>
      <c r="C30" s="12" t="str">
        <f>data!AE$55</f>
        <v>7200</v>
      </c>
      <c r="D30" s="12" t="s">
        <v>1161</v>
      </c>
      <c r="E30" s="198">
        <f>ROUND(N(data!AE59), 0)</f>
        <v>56272</v>
      </c>
      <c r="F30" s="271">
        <f>ROUND(N(data!AE60), 2)</f>
        <v>23.4</v>
      </c>
      <c r="G30" s="198">
        <f>ROUND(N(data!AE61), 0)</f>
        <v>3319346</v>
      </c>
      <c r="H30" s="198">
        <f>ROUND(N(data!AE62), 0)</f>
        <v>759696</v>
      </c>
      <c r="I30" s="198">
        <f>ROUND(N(data!AE63), 0)</f>
        <v>0</v>
      </c>
      <c r="J30" s="198">
        <f>ROUND(N(data!AE64), 0)</f>
        <v>56449</v>
      </c>
      <c r="K30" s="198">
        <f>ROUND(N(data!AE65), 0)</f>
        <v>28763</v>
      </c>
      <c r="L30" s="198">
        <f>ROUND(N(data!AE66), 0)</f>
        <v>16783</v>
      </c>
      <c r="M30" s="198">
        <f>ROUND(N(data!AE67), 0)</f>
        <v>40595</v>
      </c>
      <c r="N30" s="198">
        <f>ROUND(N(data!AE68), 0)</f>
        <v>296477</v>
      </c>
      <c r="O30" s="198">
        <f>ROUND(N(data!AE69), 0)</f>
        <v>36377</v>
      </c>
      <c r="P30" s="198">
        <f>ROUND(N(data!AE70), 0)</f>
        <v>0</v>
      </c>
      <c r="Q30" s="198">
        <f>ROUND(N(data!AE71), 0)</f>
        <v>0</v>
      </c>
      <c r="R30" s="198">
        <f>ROUND(N(data!AE72), 0)</f>
        <v>471</v>
      </c>
      <c r="S30" s="198">
        <f>ROUND(N(data!AE73), 0)</f>
        <v>0</v>
      </c>
      <c r="T30" s="198">
        <f>ROUND(N(data!AE74), 0)</f>
        <v>10373</v>
      </c>
      <c r="U30" s="198">
        <f>ROUND(N(data!AE75), 0)</f>
        <v>0</v>
      </c>
      <c r="V30" s="198">
        <f>ROUND(N(data!AE76), 0)</f>
        <v>0</v>
      </c>
      <c r="W30" s="198">
        <f>ROUND(N(data!AE77), 0)</f>
        <v>1093</v>
      </c>
      <c r="X30" s="198">
        <f>ROUND(N(data!AE78), 0)</f>
        <v>0</v>
      </c>
      <c r="Y30" s="198">
        <f>ROUND(N(data!AE79), 0)</f>
        <v>0</v>
      </c>
      <c r="Z30" s="198">
        <f>ROUND(N(data!AE80), 0)</f>
        <v>1764</v>
      </c>
      <c r="AA30" s="198">
        <f>ROUND(N(data!AE81), 0)</f>
        <v>3361</v>
      </c>
      <c r="AB30" s="198">
        <f>ROUND(N(data!AE82), 0)</f>
        <v>0</v>
      </c>
      <c r="AC30" s="198">
        <f>ROUND(N(data!AE83), 0)</f>
        <v>19315</v>
      </c>
      <c r="AD30" s="198">
        <f>ROUND(N(data!AE84), 0)</f>
        <v>43787</v>
      </c>
      <c r="AE30" s="198">
        <f>ROUND(N(data!AE89), 0)</f>
        <v>12866086</v>
      </c>
      <c r="AF30" s="198">
        <f>ROUND(N(data!AE87), 0)</f>
        <v>5231920</v>
      </c>
      <c r="AG30" s="198">
        <f>ROUND(N(data!AE90), 0)</f>
        <v>841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058</v>
      </c>
      <c r="B31" s="200" t="str">
        <f>RIGHT(data!$C$96,4)</f>
        <v>2024</v>
      </c>
      <c r="C31" s="12" t="str">
        <f>data!AF$55</f>
        <v>7220</v>
      </c>
      <c r="D31" s="12" t="s">
        <v>1161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058</v>
      </c>
      <c r="B32" s="200" t="str">
        <f>RIGHT(data!$C$96,4)</f>
        <v>2024</v>
      </c>
      <c r="C32" s="12" t="str">
        <f>data!AG$55</f>
        <v>7230</v>
      </c>
      <c r="D32" s="12" t="s">
        <v>1161</v>
      </c>
      <c r="E32" s="198">
        <f>ROUND(N(data!AG59), 0)</f>
        <v>87348</v>
      </c>
      <c r="F32" s="271">
        <f>ROUND(N(data!AG60), 2)</f>
        <v>90.45</v>
      </c>
      <c r="G32" s="198">
        <f>ROUND(N(data!AG61), 0)</f>
        <v>14410369</v>
      </c>
      <c r="H32" s="198">
        <f>ROUND(N(data!AG62), 0)</f>
        <v>2229090</v>
      </c>
      <c r="I32" s="198">
        <f>ROUND(N(data!AG63), 0)</f>
        <v>13224663</v>
      </c>
      <c r="J32" s="198">
        <f>ROUND(N(data!AG64), 0)</f>
        <v>1803145</v>
      </c>
      <c r="K32" s="198">
        <f>ROUND(N(data!AG65), 0)</f>
        <v>9294</v>
      </c>
      <c r="L32" s="198">
        <f>ROUND(N(data!AG66), 0)</f>
        <v>1080747</v>
      </c>
      <c r="M32" s="198">
        <f>ROUND(N(data!AG67), 0)</f>
        <v>297816</v>
      </c>
      <c r="N32" s="198">
        <f>ROUND(N(data!AG68), 0)</f>
        <v>5071</v>
      </c>
      <c r="O32" s="198">
        <f>ROUND(N(data!AG69), 0)</f>
        <v>2183180</v>
      </c>
      <c r="P32" s="198">
        <f>ROUND(N(data!AG70), 0)</f>
        <v>0</v>
      </c>
      <c r="Q32" s="198">
        <f>ROUND(N(data!AG71), 0)</f>
        <v>2118047</v>
      </c>
      <c r="R32" s="198">
        <f>ROUND(N(data!AG72), 0)</f>
        <v>34017</v>
      </c>
      <c r="S32" s="198">
        <f>ROUND(N(data!AG73), 0)</f>
        <v>0</v>
      </c>
      <c r="T32" s="198">
        <f>ROUND(N(data!AG74), 0)</f>
        <v>135</v>
      </c>
      <c r="U32" s="198">
        <f>ROUND(N(data!AG75), 0)</f>
        <v>0</v>
      </c>
      <c r="V32" s="198">
        <f>ROUND(N(data!AG76), 0)</f>
        <v>0</v>
      </c>
      <c r="W32" s="198">
        <f>ROUND(N(data!AG77), 0)</f>
        <v>24565</v>
      </c>
      <c r="X32" s="198">
        <f>ROUND(N(data!AG78), 0)</f>
        <v>0</v>
      </c>
      <c r="Y32" s="198">
        <f>ROUND(N(data!AG79), 0)</f>
        <v>0</v>
      </c>
      <c r="Z32" s="198">
        <f>ROUND(N(data!AG80), 0)</f>
        <v>30</v>
      </c>
      <c r="AA32" s="198">
        <f>ROUND(N(data!AG81), 0)</f>
        <v>0</v>
      </c>
      <c r="AB32" s="198">
        <f>ROUND(N(data!AG82), 0)</f>
        <v>0</v>
      </c>
      <c r="AC32" s="198">
        <f>ROUND(N(data!AG83), 0)</f>
        <v>6388</v>
      </c>
      <c r="AD32" s="198">
        <f>ROUND(N(data!AG84), 0)</f>
        <v>29035</v>
      </c>
      <c r="AE32" s="198">
        <f>ROUND(N(data!AG89), 0)</f>
        <v>247631399</v>
      </c>
      <c r="AF32" s="198">
        <f>ROUND(N(data!AG87), 0)</f>
        <v>52647147</v>
      </c>
      <c r="AG32" s="198">
        <f>ROUND(N(data!AG90), 0)</f>
        <v>21741</v>
      </c>
      <c r="AH32" s="198">
        <f>ROUND(N(data!AG91), 0)</f>
        <v>5015</v>
      </c>
      <c r="AI32" s="198">
        <f>ROUND(N(data!AG92), 0)</f>
        <v>10400</v>
      </c>
      <c r="AJ32" s="198">
        <f>ROUND(N(data!AG93), 0)</f>
        <v>346833</v>
      </c>
      <c r="AK32" s="271">
        <f>ROUND(N(data!AG94), 2)</f>
        <v>57.1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058</v>
      </c>
      <c r="B33" s="200" t="str">
        <f>RIGHT(data!$C$96,4)</f>
        <v>2024</v>
      </c>
      <c r="C33" s="12" t="str">
        <f>data!AH$55</f>
        <v>7240</v>
      </c>
      <c r="D33" s="12" t="s">
        <v>1161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058</v>
      </c>
      <c r="B34" s="200" t="str">
        <f>RIGHT(data!$C$96,4)</f>
        <v>2024</v>
      </c>
      <c r="C34" s="12" t="str">
        <f>data!AI$55</f>
        <v>7250</v>
      </c>
      <c r="D34" s="12" t="s">
        <v>1161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058</v>
      </c>
      <c r="B35" s="200" t="str">
        <f>RIGHT(data!$C$96,4)</f>
        <v>2024</v>
      </c>
      <c r="C35" s="12" t="str">
        <f>data!AJ$55</f>
        <v>7260</v>
      </c>
      <c r="D35" s="12" t="s">
        <v>1161</v>
      </c>
      <c r="E35" s="198">
        <f>ROUND(N(data!AJ59), 0)</f>
        <v>261701</v>
      </c>
      <c r="F35" s="271">
        <f>ROUND(N(data!AJ60), 2)</f>
        <v>453.96</v>
      </c>
      <c r="G35" s="198">
        <f>ROUND(N(data!AJ61), 0)</f>
        <v>54865448</v>
      </c>
      <c r="H35" s="198">
        <f>ROUND(N(data!AJ62), 0)</f>
        <v>9324927</v>
      </c>
      <c r="I35" s="198">
        <f>ROUND(N(data!AJ63), 0)</f>
        <v>14227232</v>
      </c>
      <c r="J35" s="198">
        <f>ROUND(N(data!AJ64), 0)</f>
        <v>38884220</v>
      </c>
      <c r="K35" s="198">
        <f>ROUND(N(data!AJ65), 0)</f>
        <v>624946</v>
      </c>
      <c r="L35" s="198">
        <f>ROUND(N(data!AJ66), 0)</f>
        <v>4320374</v>
      </c>
      <c r="M35" s="198">
        <f>ROUND(N(data!AJ67), 0)</f>
        <v>2954271</v>
      </c>
      <c r="N35" s="198">
        <f>ROUND(N(data!AJ68), 0)</f>
        <v>5466033</v>
      </c>
      <c r="O35" s="198">
        <f>ROUND(N(data!AJ69), 0)</f>
        <v>5119767</v>
      </c>
      <c r="P35" s="198">
        <f>ROUND(N(data!AJ70), 0)</f>
        <v>0</v>
      </c>
      <c r="Q35" s="198">
        <f>ROUND(N(data!AJ71), 0)</f>
        <v>892616</v>
      </c>
      <c r="R35" s="198">
        <f>ROUND(N(data!AJ72), 0)</f>
        <v>1252485</v>
      </c>
      <c r="S35" s="198">
        <f>ROUND(N(data!AJ73), 0)</f>
        <v>18321</v>
      </c>
      <c r="T35" s="198">
        <f>ROUND(N(data!AJ74), 0)</f>
        <v>82140</v>
      </c>
      <c r="U35" s="198">
        <f>ROUND(N(data!AJ75), 0)</f>
        <v>977127</v>
      </c>
      <c r="V35" s="198">
        <f>ROUND(N(data!AJ76), 0)</f>
        <v>0</v>
      </c>
      <c r="W35" s="198">
        <f>ROUND(N(data!AJ77), 0)</f>
        <v>662257</v>
      </c>
      <c r="X35" s="198">
        <f>ROUND(N(data!AJ78), 0)</f>
        <v>0</v>
      </c>
      <c r="Y35" s="198">
        <f>ROUND(N(data!AJ79), 0)</f>
        <v>16447</v>
      </c>
      <c r="Z35" s="198">
        <f>ROUND(N(data!AJ80), 0)</f>
        <v>1963</v>
      </c>
      <c r="AA35" s="198">
        <f>ROUND(N(data!AJ81), 0)</f>
        <v>213056</v>
      </c>
      <c r="AB35" s="198">
        <f>ROUND(N(data!AJ82), 0)</f>
        <v>0</v>
      </c>
      <c r="AC35" s="198">
        <f>ROUND(N(data!AJ83), 0)</f>
        <v>1003357</v>
      </c>
      <c r="AD35" s="198">
        <f>ROUND(N(data!AJ84), 0)</f>
        <v>623589</v>
      </c>
      <c r="AE35" s="198">
        <f>ROUND(N(data!AJ89), 0)</f>
        <v>493712538</v>
      </c>
      <c r="AF35" s="198">
        <f>ROUND(N(data!AJ87), 0)</f>
        <v>7574314</v>
      </c>
      <c r="AG35" s="198">
        <f>ROUND(N(data!AJ90), 0)</f>
        <v>146019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41.7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058</v>
      </c>
      <c r="B36" s="200" t="str">
        <f>RIGHT(data!$C$96,4)</f>
        <v>2024</v>
      </c>
      <c r="C36" s="12" t="str">
        <f>data!AK$55</f>
        <v>7310</v>
      </c>
      <c r="D36" s="12" t="s">
        <v>1161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058</v>
      </c>
      <c r="B37" s="200" t="str">
        <f>RIGHT(data!$C$96,4)</f>
        <v>2024</v>
      </c>
      <c r="C37" s="12" t="str">
        <f>data!AL$55</f>
        <v>7320</v>
      </c>
      <c r="D37" s="12" t="s">
        <v>1161</v>
      </c>
      <c r="E37" s="198">
        <f>ROUND(N(data!AL59), 0)</f>
        <v>9414</v>
      </c>
      <c r="F37" s="271">
        <f>ROUND(N(data!AL60), 2)</f>
        <v>0</v>
      </c>
      <c r="G37" s="198">
        <f>ROUND(N(data!AL61), 0)</f>
        <v>1315590</v>
      </c>
      <c r="H37" s="198">
        <f>ROUND(N(data!AL62), 0)</f>
        <v>290497</v>
      </c>
      <c r="I37" s="198">
        <f>ROUND(N(data!AL63), 0)</f>
        <v>0</v>
      </c>
      <c r="J37" s="198">
        <f>ROUND(N(data!AL64), 0)</f>
        <v>12964</v>
      </c>
      <c r="K37" s="198">
        <f>ROUND(N(data!AL65), 0)</f>
        <v>3974</v>
      </c>
      <c r="L37" s="198">
        <f>ROUND(N(data!AL66), 0)</f>
        <v>2959</v>
      </c>
      <c r="M37" s="198">
        <f>ROUND(N(data!AL67), 0)</f>
        <v>139586</v>
      </c>
      <c r="N37" s="198">
        <f>ROUND(N(data!AL68), 0)</f>
        <v>18694</v>
      </c>
      <c r="O37" s="198">
        <f>ROUND(N(data!AL69), 0)</f>
        <v>7063</v>
      </c>
      <c r="P37" s="198">
        <f>ROUND(N(data!AL70), 0)</f>
        <v>0</v>
      </c>
      <c r="Q37" s="198">
        <f>ROUND(N(data!AL71), 0)</f>
        <v>0</v>
      </c>
      <c r="R37" s="198">
        <f>ROUND(N(data!AL72), 0)</f>
        <v>210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8</v>
      </c>
      <c r="X37" s="198">
        <f>ROUND(N(data!AL78), 0)</f>
        <v>0</v>
      </c>
      <c r="Y37" s="198">
        <f>ROUND(N(data!AL79), 0)</f>
        <v>0</v>
      </c>
      <c r="Z37" s="198">
        <f>ROUND(N(data!AL80), 0)</f>
        <v>1138</v>
      </c>
      <c r="AA37" s="198">
        <f>ROUND(N(data!AL81), 0)</f>
        <v>0</v>
      </c>
      <c r="AB37" s="198">
        <f>ROUND(N(data!AL82), 0)</f>
        <v>0</v>
      </c>
      <c r="AC37" s="198">
        <f>ROUND(N(data!AL83), 0)</f>
        <v>5708</v>
      </c>
      <c r="AD37" s="198">
        <f>ROUND(N(data!AL84), 0)</f>
        <v>62652</v>
      </c>
      <c r="AE37" s="198">
        <f>ROUND(N(data!AL89), 0)</f>
        <v>3131674</v>
      </c>
      <c r="AF37" s="198">
        <f>ROUND(N(data!AL87), 0)</f>
        <v>1453235</v>
      </c>
      <c r="AG37" s="198">
        <f>ROUND(N(data!AL90), 0)</f>
        <v>10190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058</v>
      </c>
      <c r="B38" s="200" t="str">
        <f>RIGHT(data!$C$96,4)</f>
        <v>2024</v>
      </c>
      <c r="C38" s="12" t="str">
        <f>data!AM$55</f>
        <v>7330</v>
      </c>
      <c r="D38" s="12" t="s">
        <v>1161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058</v>
      </c>
      <c r="B39" s="200" t="str">
        <f>RIGHT(data!$C$96,4)</f>
        <v>2024</v>
      </c>
      <c r="C39" s="12" t="str">
        <f>data!AN$55</f>
        <v>7340</v>
      </c>
      <c r="D39" s="12" t="s">
        <v>1161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058</v>
      </c>
      <c r="B40" s="200" t="str">
        <f>RIGHT(data!$C$96,4)</f>
        <v>2024</v>
      </c>
      <c r="C40" s="12" t="str">
        <f>data!AO$55</f>
        <v>7350</v>
      </c>
      <c r="D40" s="12" t="s">
        <v>1161</v>
      </c>
      <c r="E40" s="198">
        <f>ROUND(N(data!AO59), 0)</f>
        <v>0</v>
      </c>
      <c r="F40" s="271">
        <f>ROUND(N(data!AO60), 2)</f>
        <v>0</v>
      </c>
      <c r="G40" s="198">
        <f>ROUND(N(data!AO61), 0)</f>
        <v>-219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4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-926</v>
      </c>
      <c r="AF40" s="198">
        <f>ROUND(N(data!AO87), 0)</f>
        <v>0</v>
      </c>
      <c r="AG40" s="198">
        <f>ROUND(N(data!AO90), 0)</f>
        <v>0</v>
      </c>
      <c r="AH40" s="198">
        <f>ROUND(N(data!AO91), 0)</f>
        <v>69</v>
      </c>
      <c r="AI40" s="198">
        <f>ROUND(N(data!AO92), 0)</f>
        <v>0</v>
      </c>
      <c r="AJ40" s="198">
        <f>ROUND(N(data!AO93), 0)</f>
        <v>7744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058</v>
      </c>
      <c r="B41" s="200" t="str">
        <f>RIGHT(data!$C$96,4)</f>
        <v>2024</v>
      </c>
      <c r="C41" s="12" t="str">
        <f>data!AP$55</f>
        <v>7380</v>
      </c>
      <c r="D41" s="12" t="s">
        <v>1161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058</v>
      </c>
      <c r="B42" s="200" t="str">
        <f>RIGHT(data!$C$96,4)</f>
        <v>2024</v>
      </c>
      <c r="C42" s="12" t="str">
        <f>data!AQ$55</f>
        <v>7390</v>
      </c>
      <c r="D42" s="12" t="s">
        <v>1161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058</v>
      </c>
      <c r="B43" s="200" t="str">
        <f>RIGHT(data!$C$96,4)</f>
        <v>2024</v>
      </c>
      <c r="C43" s="12" t="str">
        <f>data!AR$55</f>
        <v>7400</v>
      </c>
      <c r="D43" s="12" t="s">
        <v>1161</v>
      </c>
      <c r="E43" s="198">
        <f>ROUND(N(data!AR59), 0)</f>
        <v>17176</v>
      </c>
      <c r="F43" s="271">
        <f>ROUND(N(data!AR60), 2)</f>
        <v>71.849999999999994</v>
      </c>
      <c r="G43" s="198">
        <f>ROUND(N(data!AR61), 0)</f>
        <v>8512590</v>
      </c>
      <c r="H43" s="198">
        <f>ROUND(N(data!AR62), 0)</f>
        <v>1790304</v>
      </c>
      <c r="I43" s="198">
        <f>ROUND(N(data!AR63), 0)</f>
        <v>106647</v>
      </c>
      <c r="J43" s="198">
        <f>ROUND(N(data!AR64), 0)</f>
        <v>240301</v>
      </c>
      <c r="K43" s="198">
        <f>ROUND(N(data!AR65), 0)</f>
        <v>147755</v>
      </c>
      <c r="L43" s="198">
        <f>ROUND(N(data!AR66), 0)</f>
        <v>1372906</v>
      </c>
      <c r="M43" s="198">
        <f>ROUND(N(data!AR67), 0)</f>
        <v>355831</v>
      </c>
      <c r="N43" s="198">
        <f>ROUND(N(data!AR68), 0)</f>
        <v>233621</v>
      </c>
      <c r="O43" s="198">
        <f>ROUND(N(data!AR69), 0)</f>
        <v>369133</v>
      </c>
      <c r="P43" s="198">
        <f>ROUND(N(data!AR70), 0)</f>
        <v>0</v>
      </c>
      <c r="Q43" s="198">
        <f>ROUND(N(data!AR71), 0)</f>
        <v>1406</v>
      </c>
      <c r="R43" s="198">
        <f>ROUND(N(data!AR72), 0)</f>
        <v>1520</v>
      </c>
      <c r="S43" s="198">
        <f>ROUND(N(data!AR73), 0)</f>
        <v>300</v>
      </c>
      <c r="T43" s="198">
        <f>ROUND(N(data!AR74), 0)</f>
        <v>12331</v>
      </c>
      <c r="U43" s="198">
        <f>ROUND(N(data!AR75), 0)</f>
        <v>0</v>
      </c>
      <c r="V43" s="198">
        <f>ROUND(N(data!AR76), 0)</f>
        <v>0</v>
      </c>
      <c r="W43" s="198">
        <f>ROUND(N(data!AR77), 0)</f>
        <v>73997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43238</v>
      </c>
      <c r="AB43" s="198">
        <f>ROUND(N(data!AR82), 0)</f>
        <v>0</v>
      </c>
      <c r="AC43" s="198">
        <f>ROUND(N(data!AR83), 0)</f>
        <v>236341</v>
      </c>
      <c r="AD43" s="198">
        <f>ROUND(N(data!AR84), 0)</f>
        <v>28036</v>
      </c>
      <c r="AE43" s="198">
        <f>ROUND(N(data!AR89), 0)</f>
        <v>18288136</v>
      </c>
      <c r="AF43" s="198">
        <f>ROUND(N(data!AR87), 0)</f>
        <v>2153</v>
      </c>
      <c r="AG43" s="198">
        <f>ROUND(N(data!AR90), 0)</f>
        <v>25481</v>
      </c>
      <c r="AH43" s="198">
        <f>ROUND(N(data!AR91), 0)</f>
        <v>2168</v>
      </c>
      <c r="AI43" s="198">
        <f>ROUND(N(data!AR92), 0)</f>
        <v>0</v>
      </c>
      <c r="AJ43" s="198">
        <f>ROUND(N(data!AR93), 0)</f>
        <v>0</v>
      </c>
      <c r="AK43" s="271">
        <f>ROUND(N(data!AR94), 2)</f>
        <v>28.35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058</v>
      </c>
      <c r="B44" s="200" t="str">
        <f>RIGHT(data!$C$96,4)</f>
        <v>2024</v>
      </c>
      <c r="C44" s="12" t="str">
        <f>data!AS$55</f>
        <v>7410</v>
      </c>
      <c r="D44" s="12" t="s">
        <v>1161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058</v>
      </c>
      <c r="B45" s="200" t="str">
        <f>RIGHT(data!$C$96,4)</f>
        <v>2024</v>
      </c>
      <c r="C45" s="12" t="str">
        <f>data!AT$55</f>
        <v>7420</v>
      </c>
      <c r="D45" s="12" t="s">
        <v>1161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058</v>
      </c>
      <c r="B46" s="200" t="str">
        <f>RIGHT(data!$C$96,4)</f>
        <v>2024</v>
      </c>
      <c r="C46" s="12" t="str">
        <f>data!AU$55</f>
        <v>7430</v>
      </c>
      <c r="D46" s="12" t="s">
        <v>1161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058</v>
      </c>
      <c r="B47" s="200" t="str">
        <f>RIGHT(data!$C$96,4)</f>
        <v>2024</v>
      </c>
      <c r="C47" s="12" t="str">
        <f>data!AV$55</f>
        <v>7490</v>
      </c>
      <c r="D47" s="12" t="s">
        <v>1161</v>
      </c>
      <c r="E47" s="198">
        <f>ROUND(N(data!AV59), 0)</f>
        <v>0</v>
      </c>
      <c r="F47" s="271">
        <f>ROUND(N(data!AV60), 2)</f>
        <v>193</v>
      </c>
      <c r="G47" s="198">
        <f>ROUND(N(data!AV61), 0)</f>
        <v>30792235</v>
      </c>
      <c r="H47" s="198">
        <f>ROUND(N(data!AV62), 0)</f>
        <v>4226702</v>
      </c>
      <c r="I47" s="198">
        <f>ROUND(N(data!AV63), 0)</f>
        <v>145853</v>
      </c>
      <c r="J47" s="198">
        <f>ROUND(N(data!AV64), 0)</f>
        <v>448523</v>
      </c>
      <c r="K47" s="198">
        <f>ROUND(N(data!AV65), 0)</f>
        <v>76123</v>
      </c>
      <c r="L47" s="198">
        <f>ROUND(N(data!AV66), 0)</f>
        <v>628371</v>
      </c>
      <c r="M47" s="198">
        <f>ROUND(N(data!AV67), 0)</f>
        <v>329065</v>
      </c>
      <c r="N47" s="198">
        <f>ROUND(N(data!AV68), 0)</f>
        <v>346511</v>
      </c>
      <c r="O47" s="198">
        <f>ROUND(N(data!AV69), 0)</f>
        <v>1557252</v>
      </c>
      <c r="P47" s="198">
        <f>ROUND(N(data!AV70), 0)</f>
        <v>0</v>
      </c>
      <c r="Q47" s="198">
        <f>ROUND(N(data!AV71), 0)</f>
        <v>1079357</v>
      </c>
      <c r="R47" s="198">
        <f>ROUND(N(data!AV72), 0)</f>
        <v>91901</v>
      </c>
      <c r="S47" s="198">
        <f>ROUND(N(data!AV73), 0)</f>
        <v>0</v>
      </c>
      <c r="T47" s="198">
        <f>ROUND(N(data!AV74), 0)</f>
        <v>17623</v>
      </c>
      <c r="U47" s="198">
        <f>ROUND(N(data!AV75), 0)</f>
        <v>0</v>
      </c>
      <c r="V47" s="198">
        <f>ROUND(N(data!AV76), 0)</f>
        <v>0</v>
      </c>
      <c r="W47" s="198">
        <f>ROUND(N(data!AV77), 0)</f>
        <v>35704</v>
      </c>
      <c r="X47" s="198">
        <f>ROUND(N(data!AV78), 0)</f>
        <v>0</v>
      </c>
      <c r="Y47" s="198">
        <f>ROUND(N(data!AV79), 0)</f>
        <v>14096</v>
      </c>
      <c r="Z47" s="198">
        <f>ROUND(N(data!AV80), 0)</f>
        <v>4160</v>
      </c>
      <c r="AA47" s="198">
        <f>ROUND(N(data!AV81), 0)</f>
        <v>16795</v>
      </c>
      <c r="AB47" s="198">
        <f>ROUND(N(data!AV82), 0)</f>
        <v>0</v>
      </c>
      <c r="AC47" s="198">
        <f>ROUND(N(data!AV83), 0)</f>
        <v>297617</v>
      </c>
      <c r="AD47" s="198">
        <f>ROUND(N(data!AV84), 0)</f>
        <v>7545442</v>
      </c>
      <c r="AE47" s="198">
        <f>ROUND(N(data!AV89), 0)</f>
        <v>45021948</v>
      </c>
      <c r="AF47" s="198">
        <f>ROUND(N(data!AV87), 0)</f>
        <v>5432751</v>
      </c>
      <c r="AG47" s="198">
        <f>ROUND(N(data!AV90), 0)</f>
        <v>21626</v>
      </c>
      <c r="AH47" s="198">
        <f>ROUND(N(data!AV91), 0)</f>
        <v>0</v>
      </c>
      <c r="AI47" s="198">
        <f>ROUND(N(data!AV92), 0)</f>
        <v>0</v>
      </c>
      <c r="AJ47" s="198">
        <f>ROUND(N(data!AV93), 0)</f>
        <v>3627</v>
      </c>
      <c r="AK47" s="271">
        <f>ROUND(N(data!AV94), 2)</f>
        <v>21.8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058</v>
      </c>
      <c r="B48" s="200" t="str">
        <f>RIGHT(data!$C$96,4)</f>
        <v>2024</v>
      </c>
      <c r="C48" s="12" t="str">
        <f>data!AW$55</f>
        <v>8200</v>
      </c>
      <c r="D48" s="12" t="s">
        <v>1161</v>
      </c>
      <c r="E48" s="198">
        <f>ROUND(N(data!AW59), 0)</f>
        <v>0</v>
      </c>
      <c r="F48" s="271">
        <f>ROUND(N(data!AW60), 2)</f>
        <v>0</v>
      </c>
      <c r="G48" s="198">
        <f>ROUND(N(data!AW61), 0)</f>
        <v>2573</v>
      </c>
      <c r="H48" s="198">
        <f>ROUND(N(data!AW62), 0)</f>
        <v>19271</v>
      </c>
      <c r="I48" s="198">
        <f>ROUND(N(data!AW63), 0)</f>
        <v>1757574</v>
      </c>
      <c r="J48" s="198">
        <f>ROUND(N(data!AW64), 0)</f>
        <v>14303</v>
      </c>
      <c r="K48" s="198">
        <f>ROUND(N(data!AW65), 0)</f>
        <v>983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116718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116718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058</v>
      </c>
      <c r="B49" s="200" t="str">
        <f>RIGHT(data!$C$96,4)</f>
        <v>2024</v>
      </c>
      <c r="C49" s="12" t="str">
        <f>data!AX$55</f>
        <v>8310</v>
      </c>
      <c r="D49" s="12" t="s">
        <v>1161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6068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058</v>
      </c>
      <c r="B50" s="200" t="str">
        <f>RIGHT(data!$C$96,4)</f>
        <v>2024</v>
      </c>
      <c r="C50" s="12" t="str">
        <f>data!AY$55</f>
        <v>8320</v>
      </c>
      <c r="D50" s="12" t="s">
        <v>1161</v>
      </c>
      <c r="E50" s="198">
        <f>ROUND(N(data!AY59), 0)</f>
        <v>153923</v>
      </c>
      <c r="F50" s="271">
        <f>ROUND(N(data!AY60), 2)</f>
        <v>36.950000000000003</v>
      </c>
      <c r="G50" s="198">
        <f>ROUND(N(data!AY61), 0)</f>
        <v>2100086</v>
      </c>
      <c r="H50" s="198">
        <f>ROUND(N(data!AY62), 0)</f>
        <v>697601</v>
      </c>
      <c r="I50" s="198">
        <f>ROUND(N(data!AY63), 0)</f>
        <v>0</v>
      </c>
      <c r="J50" s="198">
        <f>ROUND(N(data!AY64), 0)</f>
        <v>399594</v>
      </c>
      <c r="K50" s="198">
        <f>ROUND(N(data!AY65), 0)</f>
        <v>0</v>
      </c>
      <c r="L50" s="198">
        <f>ROUND(N(data!AY66), 0)</f>
        <v>3171</v>
      </c>
      <c r="M50" s="198">
        <f>ROUND(N(data!AY67), 0)</f>
        <v>90834</v>
      </c>
      <c r="N50" s="198">
        <f>ROUND(N(data!AY68), 0)</f>
        <v>2474</v>
      </c>
      <c r="O50" s="198">
        <f>ROUND(N(data!AY69), 0)</f>
        <v>141613</v>
      </c>
      <c r="P50" s="198">
        <f>ROUND(N(data!AY70), 0)</f>
        <v>0</v>
      </c>
      <c r="Q50" s="198">
        <f>ROUND(N(data!AY71), 0)</f>
        <v>0</v>
      </c>
      <c r="R50" s="198">
        <f>ROUND(N(data!AY72), 0)</f>
        <v>119084</v>
      </c>
      <c r="S50" s="198">
        <f>ROUND(N(data!AY73), 0)</f>
        <v>0</v>
      </c>
      <c r="T50" s="198">
        <f>ROUND(N(data!AY74), 0)</f>
        <v>11760</v>
      </c>
      <c r="U50" s="198">
        <f>ROUND(N(data!AY75), 0)</f>
        <v>0</v>
      </c>
      <c r="V50" s="198">
        <f>ROUND(N(data!AY76), 0)</f>
        <v>0</v>
      </c>
      <c r="W50" s="198">
        <f>ROUND(N(data!AY77), 0)</f>
        <v>9347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1423</v>
      </c>
      <c r="AD50" s="198">
        <f>ROUND(N(data!AY84), 0)</f>
        <v>102</v>
      </c>
      <c r="AE50" s="198">
        <f>ROUND(N(data!AY89), 0)</f>
        <v>0</v>
      </c>
      <c r="AF50" s="198">
        <f>ROUND(N(data!AY87), 0)</f>
        <v>0</v>
      </c>
      <c r="AG50" s="198">
        <f>ROUND(N(data!AY90), 0)</f>
        <v>6631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058</v>
      </c>
      <c r="B51" s="200" t="str">
        <f>RIGHT(data!$C$96,4)</f>
        <v>2024</v>
      </c>
      <c r="C51" s="12" t="str">
        <f>data!AZ$55</f>
        <v>8330</v>
      </c>
      <c r="D51" s="12" t="s">
        <v>1161</v>
      </c>
      <c r="E51" s="198">
        <f>ROUND(N(data!AZ59), 0)</f>
        <v>0</v>
      </c>
      <c r="F51" s="271">
        <f>ROUND(N(data!AZ60), 2)</f>
        <v>14.4</v>
      </c>
      <c r="G51" s="198">
        <f>ROUND(N(data!AZ61), 0)</f>
        <v>1134916</v>
      </c>
      <c r="H51" s="198">
        <f>ROUND(N(data!AZ62), 0)</f>
        <v>277089</v>
      </c>
      <c r="I51" s="198">
        <f>ROUND(N(data!AZ63), 0)</f>
        <v>0</v>
      </c>
      <c r="J51" s="198">
        <f>ROUND(N(data!AZ64), 0)</f>
        <v>1469001</v>
      </c>
      <c r="K51" s="198">
        <f>ROUND(N(data!AZ65), 0)</f>
        <v>0</v>
      </c>
      <c r="L51" s="198">
        <f>ROUND(N(data!AZ66), 0)</f>
        <v>75777</v>
      </c>
      <c r="M51" s="198">
        <f>ROUND(N(data!AZ67), 0)</f>
        <v>74944</v>
      </c>
      <c r="N51" s="198">
        <f>ROUND(N(data!AZ68), 0)</f>
        <v>13</v>
      </c>
      <c r="O51" s="198">
        <f>ROUND(N(data!AZ69), 0)</f>
        <v>40579</v>
      </c>
      <c r="P51" s="198">
        <f>ROUND(N(data!AZ70), 0)</f>
        <v>0</v>
      </c>
      <c r="Q51" s="198">
        <f>ROUND(N(data!AZ71), 0)</f>
        <v>0</v>
      </c>
      <c r="R51" s="198">
        <f>ROUND(N(data!AZ72), 0)</f>
        <v>19949</v>
      </c>
      <c r="S51" s="198">
        <f>ROUND(N(data!AZ73), 0)</f>
        <v>0</v>
      </c>
      <c r="T51" s="198">
        <f>ROUND(N(data!AZ74), 0)</f>
        <v>10346</v>
      </c>
      <c r="U51" s="198">
        <f>ROUND(N(data!AZ75), 0)</f>
        <v>0</v>
      </c>
      <c r="V51" s="198">
        <f>ROUND(N(data!AZ76), 0)</f>
        <v>0</v>
      </c>
      <c r="W51" s="198">
        <f>ROUND(N(data!AZ77), 0)</f>
        <v>9393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891</v>
      </c>
      <c r="AD51" s="198">
        <f>ROUND(N(data!AZ84), 0)</f>
        <v>2198875</v>
      </c>
      <c r="AE51" s="198">
        <f>ROUND(N(data!AZ89), 0)</f>
        <v>0</v>
      </c>
      <c r="AF51" s="198">
        <f>ROUND(N(data!AZ87), 0)</f>
        <v>0</v>
      </c>
      <c r="AG51" s="198">
        <f>ROUND(N(data!AZ90), 0)</f>
        <v>5471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058</v>
      </c>
      <c r="B52" s="200" t="str">
        <f>RIGHT(data!$C$96,4)</f>
        <v>2024</v>
      </c>
      <c r="C52" s="12" t="str">
        <f>data!BA$55</f>
        <v>8350</v>
      </c>
      <c r="D52" s="12" t="s">
        <v>1161</v>
      </c>
      <c r="E52" s="198">
        <f>ROUND(N(data!BA59), 0)</f>
        <v>0</v>
      </c>
      <c r="F52" s="271">
        <f>ROUND(N(data!BA60), 2)</f>
        <v>3</v>
      </c>
      <c r="G52" s="198">
        <f>ROUND(N(data!BA61), 0)</f>
        <v>124510</v>
      </c>
      <c r="H52" s="198">
        <f>ROUND(N(data!BA62), 0)</f>
        <v>37905</v>
      </c>
      <c r="I52" s="198">
        <f>ROUND(N(data!BA63), 0)</f>
        <v>0</v>
      </c>
      <c r="J52" s="198">
        <f>ROUND(N(data!BA64), 0)</f>
        <v>74378</v>
      </c>
      <c r="K52" s="198">
        <f>ROUND(N(data!BA65), 0)</f>
        <v>0</v>
      </c>
      <c r="L52" s="198">
        <f>ROUND(N(data!BA66), 0)</f>
        <v>36261</v>
      </c>
      <c r="M52" s="198">
        <f>ROUND(N(data!BA67), 0)</f>
        <v>35972</v>
      </c>
      <c r="N52" s="198">
        <f>ROUND(N(data!BA68), 0)</f>
        <v>96405</v>
      </c>
      <c r="O52" s="198">
        <f>ROUND(N(data!BA69), 0)</f>
        <v>2150741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2150697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44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2626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058</v>
      </c>
      <c r="B53" s="200" t="str">
        <f>RIGHT(data!$C$96,4)</f>
        <v>2024</v>
      </c>
      <c r="C53" s="12" t="str">
        <f>data!BB$55</f>
        <v>8360</v>
      </c>
      <c r="D53" s="12" t="s">
        <v>1161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058</v>
      </c>
      <c r="B54" s="200" t="str">
        <f>RIGHT(data!$C$96,4)</f>
        <v>2024</v>
      </c>
      <c r="C54" s="12" t="str">
        <f>data!BC$55</f>
        <v>8370</v>
      </c>
      <c r="D54" s="12" t="s">
        <v>1161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058</v>
      </c>
      <c r="B55" s="200" t="str">
        <f>RIGHT(data!$C$96,4)</f>
        <v>2024</v>
      </c>
      <c r="C55" s="12" t="str">
        <f>data!BD$55</f>
        <v>8420</v>
      </c>
      <c r="D55" s="12" t="s">
        <v>1161</v>
      </c>
      <c r="E55" s="198">
        <f>ROUND(N(data!BD59), 0)</f>
        <v>0</v>
      </c>
      <c r="F55" s="271">
        <f>ROUND(N(data!BD60), 2)</f>
        <v>23</v>
      </c>
      <c r="G55" s="198">
        <f>ROUND(N(data!BD61), 0)</f>
        <v>1438145</v>
      </c>
      <c r="H55" s="198">
        <f>ROUND(N(data!BD62), 0)</f>
        <v>420854</v>
      </c>
      <c r="I55" s="198">
        <f>ROUND(N(data!BD63), 0)</f>
        <v>0</v>
      </c>
      <c r="J55" s="198">
        <f>ROUND(N(data!BD64), 0)</f>
        <v>-111805</v>
      </c>
      <c r="K55" s="198">
        <f>ROUND(N(data!BD65), 0)</f>
        <v>0</v>
      </c>
      <c r="L55" s="198">
        <f>ROUND(N(data!BD66), 0)</f>
        <v>33</v>
      </c>
      <c r="M55" s="198">
        <f>ROUND(N(data!BD67), 0)</f>
        <v>91258</v>
      </c>
      <c r="N55" s="198">
        <f>ROUND(N(data!BD68), 0)</f>
        <v>3028</v>
      </c>
      <c r="O55" s="198">
        <f>ROUND(N(data!BD69), 0)</f>
        <v>707259</v>
      </c>
      <c r="P55" s="198">
        <f>ROUND(N(data!BD70), 0)</f>
        <v>0</v>
      </c>
      <c r="Q55" s="198">
        <f>ROUND(N(data!BD71), 0)</f>
        <v>80459</v>
      </c>
      <c r="R55" s="198">
        <f>ROUND(N(data!BD72), 0)</f>
        <v>40840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5398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679</v>
      </c>
      <c r="AB55" s="198">
        <f>ROUND(N(data!BD82), 0)</f>
        <v>0</v>
      </c>
      <c r="AC55" s="198">
        <f>ROUND(N(data!BD83), 0)</f>
        <v>579883</v>
      </c>
      <c r="AD55" s="198">
        <f>ROUND(N(data!BD84), 0)</f>
        <v>110648</v>
      </c>
      <c r="AE55" s="198">
        <f>ROUND(N(data!BD89), 0)</f>
        <v>0</v>
      </c>
      <c r="AF55" s="198">
        <f>ROUND(N(data!BD87), 0)</f>
        <v>0</v>
      </c>
      <c r="AG55" s="198">
        <f>ROUND(N(data!BD90), 0)</f>
        <v>6662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058</v>
      </c>
      <c r="B56" s="200" t="str">
        <f>RIGHT(data!$C$96,4)</f>
        <v>2024</v>
      </c>
      <c r="C56" s="12" t="str">
        <f>data!BE$55</f>
        <v>8430</v>
      </c>
      <c r="D56" s="12" t="s">
        <v>1161</v>
      </c>
      <c r="E56" s="198">
        <f>ROUND(N(data!BE59), 0)</f>
        <v>1060925</v>
      </c>
      <c r="F56" s="271">
        <f>ROUND(N(data!BE60), 2)</f>
        <v>20.5</v>
      </c>
      <c r="G56" s="198">
        <f>ROUND(N(data!BE61), 0)</f>
        <v>1509536</v>
      </c>
      <c r="H56" s="198">
        <f>ROUND(N(data!BE62), 0)</f>
        <v>384201</v>
      </c>
      <c r="I56" s="198">
        <f>ROUND(N(data!BE63), 0)</f>
        <v>171696</v>
      </c>
      <c r="J56" s="198">
        <f>ROUND(N(data!BE64), 0)</f>
        <v>432083</v>
      </c>
      <c r="K56" s="198">
        <f>ROUND(N(data!BE65), 0)</f>
        <v>1813404</v>
      </c>
      <c r="L56" s="198">
        <f>ROUND(N(data!BE66), 0)</f>
        <v>485251</v>
      </c>
      <c r="M56" s="198">
        <f>ROUND(N(data!BE67), 0)</f>
        <v>6379419</v>
      </c>
      <c r="N56" s="198">
        <f>ROUND(N(data!BE68), 0)</f>
        <v>68056</v>
      </c>
      <c r="O56" s="198">
        <f>ROUND(N(data!BE69), 0)</f>
        <v>4975805</v>
      </c>
      <c r="P56" s="198">
        <f>ROUND(N(data!BE70), 0)</f>
        <v>0</v>
      </c>
      <c r="Q56" s="198">
        <f>ROUND(N(data!BE71), 0)</f>
        <v>0</v>
      </c>
      <c r="R56" s="198">
        <f>ROUND(N(data!BE72), 0)</f>
        <v>1892099</v>
      </c>
      <c r="S56" s="198">
        <f>ROUND(N(data!BE73), 0)</f>
        <v>0</v>
      </c>
      <c r="T56" s="198">
        <f>ROUND(N(data!BE74), 0)</f>
        <v>-4513</v>
      </c>
      <c r="U56" s="198">
        <f>ROUND(N(data!BE75), 0)</f>
        <v>614</v>
      </c>
      <c r="V56" s="198">
        <f>ROUND(N(data!BE76), 0)</f>
        <v>0</v>
      </c>
      <c r="W56" s="198">
        <f>ROUND(N(data!BE77), 0)</f>
        <v>3065440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22165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426711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058</v>
      </c>
      <c r="B57" s="200" t="str">
        <f>RIGHT(data!$C$96,4)</f>
        <v>2024</v>
      </c>
      <c r="C57" s="12" t="str">
        <f>data!BF$55</f>
        <v>8460</v>
      </c>
      <c r="D57" s="12" t="s">
        <v>1161</v>
      </c>
      <c r="E57" s="198">
        <f>ROUND(N(data!BF59), 0)</f>
        <v>0</v>
      </c>
      <c r="F57" s="271">
        <f>ROUND(N(data!BF60), 2)</f>
        <v>55.3</v>
      </c>
      <c r="G57" s="198">
        <f>ROUND(N(data!BF61), 0)</f>
        <v>3207967</v>
      </c>
      <c r="H57" s="198">
        <f>ROUND(N(data!BF62), 0)</f>
        <v>990969</v>
      </c>
      <c r="I57" s="198">
        <f>ROUND(N(data!BF63), 0)</f>
        <v>0</v>
      </c>
      <c r="J57" s="198">
        <f>ROUND(N(data!BF64), 0)</f>
        <v>752211</v>
      </c>
      <c r="K57" s="198">
        <f>ROUND(N(data!BF65), 0)</f>
        <v>50864</v>
      </c>
      <c r="L57" s="198">
        <f>ROUND(N(data!BF66), 0)</f>
        <v>1030567</v>
      </c>
      <c r="M57" s="198">
        <f>ROUND(N(data!BF67), 0)</f>
        <v>19438</v>
      </c>
      <c r="N57" s="198">
        <f>ROUND(N(data!BF68), 0)</f>
        <v>130457</v>
      </c>
      <c r="O57" s="198">
        <f>ROUND(N(data!BF69), 0)</f>
        <v>1289890</v>
      </c>
      <c r="P57" s="198">
        <f>ROUND(N(data!BF70), 0)</f>
        <v>0</v>
      </c>
      <c r="Q57" s="198">
        <f>ROUND(N(data!BF71), 0)</f>
        <v>464021</v>
      </c>
      <c r="R57" s="198">
        <f>ROUND(N(data!BF72), 0)</f>
        <v>210</v>
      </c>
      <c r="S57" s="198">
        <f>ROUND(N(data!BF73), 0)</f>
        <v>0</v>
      </c>
      <c r="T57" s="198">
        <f>ROUND(N(data!BF74), 0)</f>
        <v>48120</v>
      </c>
      <c r="U57" s="198">
        <f>ROUND(N(data!BF75), 0)</f>
        <v>0</v>
      </c>
      <c r="V57" s="198">
        <f>ROUND(N(data!BF76), 0)</f>
        <v>0</v>
      </c>
      <c r="W57" s="198">
        <f>ROUND(N(data!BF77), 0)</f>
        <v>334771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442769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1419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058</v>
      </c>
      <c r="B58" s="200" t="str">
        <f>RIGHT(data!$C$96,4)</f>
        <v>2024</v>
      </c>
      <c r="C58" s="12" t="str">
        <f>data!BG$55</f>
        <v>8470</v>
      </c>
      <c r="D58" s="12" t="s">
        <v>1161</v>
      </c>
      <c r="E58" s="198">
        <f>ROUND(N(data!BG59), 0)</f>
        <v>0</v>
      </c>
      <c r="F58" s="271">
        <f>ROUND(N(data!BG60), 2)</f>
        <v>3.8</v>
      </c>
      <c r="G58" s="198">
        <f>ROUND(N(data!BG61), 0)</f>
        <v>212435</v>
      </c>
      <c r="H58" s="198">
        <f>ROUND(N(data!BG62), 0)</f>
        <v>61619</v>
      </c>
      <c r="I58" s="198">
        <f>ROUND(N(data!BG63), 0)</f>
        <v>0</v>
      </c>
      <c r="J58" s="198">
        <f>ROUND(N(data!BG64), 0)</f>
        <v>288</v>
      </c>
      <c r="K58" s="198">
        <f>ROUND(N(data!BG65), 0)</f>
        <v>127057</v>
      </c>
      <c r="L58" s="198">
        <f>ROUND(N(data!BG66), 0)</f>
        <v>1669</v>
      </c>
      <c r="M58" s="198">
        <f>ROUND(N(data!BG67), 0)</f>
        <v>2685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196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058</v>
      </c>
      <c r="B59" s="200" t="str">
        <f>RIGHT(data!$C$96,4)</f>
        <v>2024</v>
      </c>
      <c r="C59" s="12" t="str">
        <f>data!BH$55</f>
        <v>8480</v>
      </c>
      <c r="D59" s="12" t="s">
        <v>1161</v>
      </c>
      <c r="E59" s="198">
        <f>ROUND(N(data!BH59), 0)</f>
        <v>0</v>
      </c>
      <c r="F59" s="271">
        <f>ROUND(N(data!BH60), 2)</f>
        <v>20</v>
      </c>
      <c r="G59" s="198">
        <f>ROUND(N(data!BH61), 0)</f>
        <v>1892495</v>
      </c>
      <c r="H59" s="198">
        <f>ROUND(N(data!BH62), 0)</f>
        <v>503477</v>
      </c>
      <c r="I59" s="198">
        <f>ROUND(N(data!BH63), 0)</f>
        <v>33891</v>
      </c>
      <c r="J59" s="198">
        <f>ROUND(N(data!BH64), 0)</f>
        <v>497929</v>
      </c>
      <c r="K59" s="198">
        <f>ROUND(N(data!BH65), 0)</f>
        <v>381794</v>
      </c>
      <c r="L59" s="198">
        <f>ROUND(N(data!BH66), 0)</f>
        <v>367614</v>
      </c>
      <c r="M59" s="198">
        <f>ROUND(N(data!BH67), 0)</f>
        <v>160337</v>
      </c>
      <c r="N59" s="198">
        <f>ROUND(N(data!BH68), 0)</f>
        <v>1138420</v>
      </c>
      <c r="O59" s="198">
        <f>ROUND(N(data!BH69), 0)</f>
        <v>8061530</v>
      </c>
      <c r="P59" s="198">
        <f>ROUND(N(data!BH70), 0)</f>
        <v>0</v>
      </c>
      <c r="Q59" s="198">
        <f>ROUND(N(data!BH71), 0)</f>
        <v>16458</v>
      </c>
      <c r="R59" s="198">
        <f>ROUND(N(data!BH72), 0)</f>
        <v>7969151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67129</v>
      </c>
      <c r="X59" s="198">
        <f>ROUND(N(data!BH78), 0)</f>
        <v>0</v>
      </c>
      <c r="Y59" s="198">
        <f>ROUND(N(data!BH79), 0)</f>
        <v>0</v>
      </c>
      <c r="Z59" s="198">
        <f>ROUND(N(data!BH80), 0)</f>
        <v>4260</v>
      </c>
      <c r="AA59" s="198">
        <f>ROUND(N(data!BH81), 0)</f>
        <v>0</v>
      </c>
      <c r="AB59" s="198">
        <f>ROUND(N(data!BH82), 0)</f>
        <v>0</v>
      </c>
      <c r="AC59" s="198">
        <f>ROUND(N(data!BH83), 0)</f>
        <v>4532</v>
      </c>
      <c r="AD59" s="198">
        <f>ROUND(N(data!BH84), 0)</f>
        <v>267617</v>
      </c>
      <c r="AE59" s="198">
        <f>ROUND(N(data!BH89), 0)</f>
        <v>0</v>
      </c>
      <c r="AF59" s="198">
        <f>ROUND(N(data!BH87), 0)</f>
        <v>0</v>
      </c>
      <c r="AG59" s="198">
        <f>ROUND(N(data!BH90), 0)</f>
        <v>6332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058</v>
      </c>
      <c r="B60" s="200" t="str">
        <f>RIGHT(data!$C$96,4)</f>
        <v>2024</v>
      </c>
      <c r="C60" s="12" t="str">
        <f>data!BI$55</f>
        <v>8490</v>
      </c>
      <c r="D60" s="12" t="s">
        <v>1161</v>
      </c>
      <c r="E60" s="198">
        <f>ROUND(N(data!BI59), 0)</f>
        <v>0</v>
      </c>
      <c r="F60" s="271">
        <f>ROUND(N(data!BI60), 2)</f>
        <v>1</v>
      </c>
      <c r="G60" s="198">
        <f>ROUND(N(data!BI61), 0)</f>
        <v>30171</v>
      </c>
      <c r="H60" s="198">
        <f>ROUND(N(data!BI62), 0)</f>
        <v>6878</v>
      </c>
      <c r="I60" s="198">
        <f>ROUND(N(data!BI63), 0)</f>
        <v>0</v>
      </c>
      <c r="J60" s="198">
        <f>ROUND(N(data!BI64), 0)</f>
        <v>17596</v>
      </c>
      <c r="K60" s="198">
        <f>ROUND(N(data!BI65), 0)</f>
        <v>4638</v>
      </c>
      <c r="L60" s="198">
        <f>ROUND(N(data!BI66), 0)</f>
        <v>1903554</v>
      </c>
      <c r="M60" s="198">
        <f>ROUND(N(data!BI67), 0)</f>
        <v>22113</v>
      </c>
      <c r="N60" s="198">
        <f>ROUND(N(data!BI68), 0)</f>
        <v>36623</v>
      </c>
      <c r="O60" s="198">
        <f>ROUND(N(data!BI69), 0)</f>
        <v>659714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629448</v>
      </c>
      <c r="X60" s="198">
        <f>ROUND(N(data!BI78), 0)</f>
        <v>0</v>
      </c>
      <c r="Y60" s="198">
        <f>ROUND(N(data!BI79), 0)</f>
        <v>0</v>
      </c>
      <c r="Z60" s="198">
        <f>ROUND(N(data!BI80), 0)</f>
        <v>13427</v>
      </c>
      <c r="AA60" s="198">
        <f>ROUND(N(data!BI81), 0)</f>
        <v>359</v>
      </c>
      <c r="AB60" s="198">
        <f>ROUND(N(data!BI82), 0)</f>
        <v>0</v>
      </c>
      <c r="AC60" s="198">
        <f>ROUND(N(data!BI83), 0)</f>
        <v>16480</v>
      </c>
      <c r="AD60" s="198">
        <f>ROUND(N(data!BI84), 0)</f>
        <v>21632</v>
      </c>
      <c r="AE60" s="198">
        <f>ROUND(N(data!BI89), 0)</f>
        <v>0</v>
      </c>
      <c r="AF60" s="198">
        <f>ROUND(N(data!BI87), 0)</f>
        <v>0</v>
      </c>
      <c r="AG60" s="198">
        <f>ROUND(N(data!BI90), 0)</f>
        <v>951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058</v>
      </c>
      <c r="B61" s="200" t="str">
        <f>RIGHT(data!$C$96,4)</f>
        <v>2024</v>
      </c>
      <c r="C61" s="12" t="str">
        <f>data!BJ$55</f>
        <v>8510</v>
      </c>
      <c r="D61" s="12" t="s">
        <v>1161</v>
      </c>
      <c r="E61" s="198">
        <f>ROUND(N(data!BJ59), 0)</f>
        <v>0</v>
      </c>
      <c r="F61" s="271">
        <f>ROUND(N(data!BJ60), 2)</f>
        <v>7</v>
      </c>
      <c r="G61" s="198">
        <f>ROUND(N(data!BJ61), 0)</f>
        <v>701370</v>
      </c>
      <c r="H61" s="198">
        <f>ROUND(N(data!BJ62), 0)</f>
        <v>178531</v>
      </c>
      <c r="I61" s="198">
        <f>ROUND(N(data!BJ63), 0)</f>
        <v>0</v>
      </c>
      <c r="J61" s="198">
        <f>ROUND(N(data!BJ64), 0)</f>
        <v>4282</v>
      </c>
      <c r="K61" s="198">
        <f>ROUND(N(data!BJ65), 0)</f>
        <v>0</v>
      </c>
      <c r="L61" s="198">
        <f>ROUND(N(data!BJ66), 0)</f>
        <v>1014509</v>
      </c>
      <c r="M61" s="198">
        <f>ROUND(N(data!BJ67), 0)</f>
        <v>45328</v>
      </c>
      <c r="N61" s="198">
        <f>ROUND(N(data!BJ68), 0)</f>
        <v>570</v>
      </c>
      <c r="O61" s="198">
        <f>ROUND(N(data!BJ69), 0)</f>
        <v>630730</v>
      </c>
      <c r="P61" s="198">
        <f>ROUND(N(data!BJ70), 0)</f>
        <v>0</v>
      </c>
      <c r="Q61" s="198">
        <f>ROUND(N(data!BJ71), 0)</f>
        <v>0</v>
      </c>
      <c r="R61" s="198">
        <f>ROUND(N(data!BJ72), 0)</f>
        <v>564577</v>
      </c>
      <c r="S61" s="198">
        <f>ROUND(N(data!BJ73), 0)</f>
        <v>0</v>
      </c>
      <c r="T61" s="198">
        <f>ROUND(N(data!BJ74), 0)</f>
        <v>0</v>
      </c>
      <c r="U61" s="198">
        <f>ROUND(N(data!BJ75), 0)</f>
        <v>53175</v>
      </c>
      <c r="V61" s="198">
        <f>ROUND(N(data!BJ76), 0)</f>
        <v>0</v>
      </c>
      <c r="W61" s="198">
        <f>ROUND(N(data!BJ77), 0)</f>
        <v>36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-4078</v>
      </c>
      <c r="AB61" s="198">
        <f>ROUND(N(data!BJ82), 0)</f>
        <v>0</v>
      </c>
      <c r="AC61" s="198">
        <f>ROUND(N(data!BJ83), 0)</f>
        <v>17021</v>
      </c>
      <c r="AD61" s="198">
        <f>ROUND(N(data!BJ84), 0)</f>
        <v>83099</v>
      </c>
      <c r="AE61" s="198">
        <f>ROUND(N(data!BJ89), 0)</f>
        <v>0</v>
      </c>
      <c r="AF61" s="198">
        <f>ROUND(N(data!BJ87), 0)</f>
        <v>0</v>
      </c>
      <c r="AG61" s="198">
        <f>ROUND(N(data!BJ90), 0)</f>
        <v>3309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058</v>
      </c>
      <c r="B62" s="200" t="str">
        <f>RIGHT(data!$C$96,4)</f>
        <v>2024</v>
      </c>
      <c r="C62" s="12" t="str">
        <f>data!BK$55</f>
        <v>8530</v>
      </c>
      <c r="D62" s="12" t="s">
        <v>1161</v>
      </c>
      <c r="E62" s="198">
        <f>ROUND(N(data!BK59), 0)</f>
        <v>0</v>
      </c>
      <c r="F62" s="271">
        <f>ROUND(N(data!BK60), 2)</f>
        <v>54</v>
      </c>
      <c r="G62" s="198">
        <f>ROUND(N(data!BK61), 0)</f>
        <v>3392510</v>
      </c>
      <c r="H62" s="198">
        <f>ROUND(N(data!BK62), 0)</f>
        <v>1011242</v>
      </c>
      <c r="I62" s="198">
        <f>ROUND(N(data!BK63), 0)</f>
        <v>0</v>
      </c>
      <c r="J62" s="198">
        <f>ROUND(N(data!BK64), 0)</f>
        <v>23492</v>
      </c>
      <c r="K62" s="198">
        <f>ROUND(N(data!BK65), 0)</f>
        <v>460</v>
      </c>
      <c r="L62" s="198">
        <f>ROUND(N(data!BK66), 0)</f>
        <v>1351288</v>
      </c>
      <c r="M62" s="198">
        <f>ROUND(N(data!BK67), 0)</f>
        <v>117765</v>
      </c>
      <c r="N62" s="198">
        <f>ROUND(N(data!BK68), 0)</f>
        <v>2212</v>
      </c>
      <c r="O62" s="198">
        <f>ROUND(N(data!BK69), 0)</f>
        <v>228350</v>
      </c>
      <c r="P62" s="198">
        <f>ROUND(N(data!BK70), 0)</f>
        <v>0</v>
      </c>
      <c r="Q62" s="198">
        <f>ROUND(N(data!BK71), 0)</f>
        <v>0</v>
      </c>
      <c r="R62" s="198">
        <f>ROUND(N(data!BK72), 0)</f>
        <v>157817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36209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34324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8597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058</v>
      </c>
      <c r="B63" s="200" t="str">
        <f>RIGHT(data!$C$96,4)</f>
        <v>2024</v>
      </c>
      <c r="C63" s="12" t="str">
        <f>data!BL$55</f>
        <v>8560</v>
      </c>
      <c r="D63" s="12" t="s">
        <v>1161</v>
      </c>
      <c r="E63" s="198">
        <f>ROUND(N(data!BL59), 0)</f>
        <v>0</v>
      </c>
      <c r="F63" s="271">
        <f>ROUND(N(data!BL60), 2)</f>
        <v>49.9</v>
      </c>
      <c r="G63" s="198">
        <f>ROUND(N(data!BL61), 0)</f>
        <v>4212655</v>
      </c>
      <c r="H63" s="198">
        <f>ROUND(N(data!BL62), 0)</f>
        <v>1256956</v>
      </c>
      <c r="I63" s="198">
        <f>ROUND(N(data!BL63), 0)</f>
        <v>0</v>
      </c>
      <c r="J63" s="198">
        <f>ROUND(N(data!BL64), 0)</f>
        <v>57009</v>
      </c>
      <c r="K63" s="198">
        <f>ROUND(N(data!BL65), 0)</f>
        <v>8</v>
      </c>
      <c r="L63" s="198">
        <f>ROUND(N(data!BL66), 0)</f>
        <v>1513085</v>
      </c>
      <c r="M63" s="198">
        <f>ROUND(N(data!BL67), 0)</f>
        <v>53985</v>
      </c>
      <c r="N63" s="198">
        <f>ROUND(N(data!BL68), 0)</f>
        <v>7017</v>
      </c>
      <c r="O63" s="198">
        <f>ROUND(N(data!BL69), 0)</f>
        <v>32386</v>
      </c>
      <c r="P63" s="198">
        <f>ROUND(N(data!BL70), 0)</f>
        <v>0</v>
      </c>
      <c r="Q63" s="198">
        <f>ROUND(N(data!BL71), 0)</f>
        <v>0</v>
      </c>
      <c r="R63" s="198">
        <f>ROUND(N(data!BL72), 0)</f>
        <v>32211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175</v>
      </c>
      <c r="AD63" s="198">
        <f>ROUND(N(data!BL84), 0)</f>
        <v>220</v>
      </c>
      <c r="AE63" s="198">
        <f>ROUND(N(data!BL89), 0)</f>
        <v>0</v>
      </c>
      <c r="AF63" s="198">
        <f>ROUND(N(data!BL87), 0)</f>
        <v>0</v>
      </c>
      <c r="AG63" s="198">
        <f>ROUND(N(data!BL90), 0)</f>
        <v>3941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058</v>
      </c>
      <c r="B64" s="200" t="str">
        <f>RIGHT(data!$C$96,4)</f>
        <v>2024</v>
      </c>
      <c r="C64" s="12" t="str">
        <f>data!BM$55</f>
        <v>8590</v>
      </c>
      <c r="D64" s="12" t="s">
        <v>1161</v>
      </c>
      <c r="E64" s="198">
        <f>ROUND(N(data!BM59), 0)</f>
        <v>0</v>
      </c>
      <c r="F64" s="271">
        <f>ROUND(N(data!BM60), 2)</f>
        <v>5</v>
      </c>
      <c r="G64" s="198">
        <f>ROUND(N(data!BM61), 0)</f>
        <v>1174332</v>
      </c>
      <c r="H64" s="198">
        <f>ROUND(N(data!BM62), 0)</f>
        <v>252284</v>
      </c>
      <c r="I64" s="198">
        <f>ROUND(N(data!BM63), 0)</f>
        <v>14108</v>
      </c>
      <c r="J64" s="198">
        <f>ROUND(N(data!BM64), 0)</f>
        <v>5573</v>
      </c>
      <c r="K64" s="198">
        <f>ROUND(N(data!BM65), 0)</f>
        <v>0</v>
      </c>
      <c r="L64" s="198">
        <f>ROUND(N(data!BM66), 0)</f>
        <v>305479</v>
      </c>
      <c r="M64" s="198">
        <f>ROUND(N(data!BM67), 0)</f>
        <v>30808</v>
      </c>
      <c r="N64" s="198">
        <f>ROUND(N(data!BM68), 0)</f>
        <v>500</v>
      </c>
      <c r="O64" s="198">
        <f>ROUND(N(data!BM69), 0)</f>
        <v>1095076</v>
      </c>
      <c r="P64" s="198">
        <f>ROUND(N(data!BM70), 0)</f>
        <v>0</v>
      </c>
      <c r="Q64" s="198">
        <f>ROUND(N(data!BM71), 0)</f>
        <v>0</v>
      </c>
      <c r="R64" s="198">
        <f>ROUND(N(data!BM72), 0)</f>
        <v>1063853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16080</v>
      </c>
      <c r="X64" s="198">
        <f>ROUND(N(data!BM78), 0)</f>
        <v>0</v>
      </c>
      <c r="Y64" s="198">
        <f>ROUND(N(data!BM79), 0)</f>
        <v>460</v>
      </c>
      <c r="Z64" s="198">
        <f>ROUND(N(data!BM80), 0)</f>
        <v>0</v>
      </c>
      <c r="AA64" s="198">
        <f>ROUND(N(data!BM81), 0)</f>
        <v>11334</v>
      </c>
      <c r="AB64" s="198">
        <f>ROUND(N(data!BM82), 0)</f>
        <v>0</v>
      </c>
      <c r="AC64" s="198">
        <f>ROUND(N(data!BM83), 0)</f>
        <v>3349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2249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058</v>
      </c>
      <c r="B65" s="200" t="str">
        <f>RIGHT(data!$C$96,4)</f>
        <v>2024</v>
      </c>
      <c r="C65" s="12" t="str">
        <f>data!BN$55</f>
        <v>8610</v>
      </c>
      <c r="D65" s="12" t="s">
        <v>1161</v>
      </c>
      <c r="E65" s="198">
        <f>ROUND(N(data!BN59), 0)</f>
        <v>0</v>
      </c>
      <c r="F65" s="271">
        <f>ROUND(N(data!BN60), 2)</f>
        <v>6</v>
      </c>
      <c r="G65" s="198">
        <f>ROUND(N(data!BN61), 0)</f>
        <v>989544</v>
      </c>
      <c r="H65" s="198">
        <f>ROUND(N(data!BN62), 0)</f>
        <v>248594</v>
      </c>
      <c r="I65" s="198">
        <f>ROUND(N(data!BN63), 0)</f>
        <v>1184211</v>
      </c>
      <c r="J65" s="198">
        <f>ROUND(N(data!BN64), 0)</f>
        <v>36941</v>
      </c>
      <c r="K65" s="198">
        <f>ROUND(N(data!BN65), 0)</f>
        <v>12845</v>
      </c>
      <c r="L65" s="198">
        <f>ROUND(N(data!BN66), 0)</f>
        <v>2748022</v>
      </c>
      <c r="M65" s="198">
        <f>ROUND(N(data!BN67), 0)</f>
        <v>146095</v>
      </c>
      <c r="N65" s="198">
        <f>ROUND(N(data!BN68), 0)</f>
        <v>18050</v>
      </c>
      <c r="O65" s="198">
        <f>ROUND(N(data!BN69), 0)</f>
        <v>390931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15174</v>
      </c>
      <c r="X65" s="198">
        <f>ROUND(N(data!BN78), 0)</f>
        <v>0</v>
      </c>
      <c r="Y65" s="198">
        <f>ROUND(N(data!BN79), 0)</f>
        <v>1122</v>
      </c>
      <c r="Z65" s="198">
        <f>ROUND(N(data!BN80), 0)</f>
        <v>0</v>
      </c>
      <c r="AA65" s="198">
        <f>ROUND(N(data!BN81), 0)</f>
        <v>2667</v>
      </c>
      <c r="AB65" s="198">
        <f>ROUND(N(data!BN82), 0)</f>
        <v>0</v>
      </c>
      <c r="AC65" s="198">
        <f>ROUND(N(data!BN83), 0)</f>
        <v>371967</v>
      </c>
      <c r="AD65" s="198">
        <f>ROUND(N(data!BN84), 0)</f>
        <v>1303085</v>
      </c>
      <c r="AE65" s="198">
        <f>ROUND(N(data!BN89), 0)</f>
        <v>0</v>
      </c>
      <c r="AF65" s="198">
        <f>ROUND(N(data!BN87), 0)</f>
        <v>0</v>
      </c>
      <c r="AG65" s="198">
        <f>ROUND(N(data!BN90), 0)</f>
        <v>1905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058</v>
      </c>
      <c r="B66" s="200" t="str">
        <f>RIGHT(data!$C$96,4)</f>
        <v>2024</v>
      </c>
      <c r="C66" s="12" t="str">
        <f>data!BO$55</f>
        <v>8620</v>
      </c>
      <c r="D66" s="12" t="s">
        <v>1161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37</v>
      </c>
      <c r="I66" s="198">
        <f>ROUND(N(data!BO63), 0)</f>
        <v>0</v>
      </c>
      <c r="J66" s="198">
        <f>ROUND(N(data!BO64), 0)</f>
        <v>4421</v>
      </c>
      <c r="K66" s="198">
        <f>ROUND(N(data!BO65), 0)</f>
        <v>4223</v>
      </c>
      <c r="L66" s="198">
        <f>ROUND(N(data!BO66), 0)</f>
        <v>289601</v>
      </c>
      <c r="M66" s="198">
        <f>ROUND(N(data!BO67), 0)</f>
        <v>34438</v>
      </c>
      <c r="N66" s="198">
        <f>ROUND(N(data!BO68), 0)</f>
        <v>49567</v>
      </c>
      <c r="O66" s="198">
        <f>ROUND(N(data!BO69), 0)</f>
        <v>74152</v>
      </c>
      <c r="P66" s="198">
        <f>ROUND(N(data!BO70), 0)</f>
        <v>0</v>
      </c>
      <c r="Q66" s="198">
        <f>ROUND(N(data!BO71), 0)</f>
        <v>0</v>
      </c>
      <c r="R66" s="198">
        <f>ROUND(N(data!BO72), 0)</f>
        <v>18419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44519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11214</v>
      </c>
      <c r="AD66" s="198">
        <f>ROUND(N(data!BO84), 0)</f>
        <v>5791</v>
      </c>
      <c r="AE66" s="198">
        <f>ROUND(N(data!BO89), 0)</f>
        <v>0</v>
      </c>
      <c r="AF66" s="198">
        <f>ROUND(N(data!BO87), 0)</f>
        <v>0</v>
      </c>
      <c r="AG66" s="198">
        <f>ROUND(N(data!BO90), 0)</f>
        <v>2514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058</v>
      </c>
      <c r="B67" s="200" t="str">
        <f>RIGHT(data!$C$96,4)</f>
        <v>2024</v>
      </c>
      <c r="C67" s="12" t="str">
        <f>data!BP$55</f>
        <v>8630</v>
      </c>
      <c r="D67" s="12" t="s">
        <v>1161</v>
      </c>
      <c r="E67" s="198">
        <f>ROUND(N(data!BP59), 0)</f>
        <v>0</v>
      </c>
      <c r="F67" s="271">
        <f>ROUND(N(data!BP60), 2)</f>
        <v>1</v>
      </c>
      <c r="G67" s="198">
        <f>ROUND(N(data!BP61), 0)</f>
        <v>74846</v>
      </c>
      <c r="H67" s="198">
        <f>ROUND(N(data!BP62), 0)</f>
        <v>14977</v>
      </c>
      <c r="I67" s="198">
        <f>ROUND(N(data!BP63), 0)</f>
        <v>0</v>
      </c>
      <c r="J67" s="198">
        <f>ROUND(N(data!BP64), 0)</f>
        <v>1155</v>
      </c>
      <c r="K67" s="198">
        <f>ROUND(N(data!BP65), 0)</f>
        <v>5512</v>
      </c>
      <c r="L67" s="198">
        <f>ROUND(N(data!BP66), 0)</f>
        <v>100137</v>
      </c>
      <c r="M67" s="198">
        <f>ROUND(N(data!BP67), 0)</f>
        <v>50711</v>
      </c>
      <c r="N67" s="198">
        <f>ROUND(N(data!BP68), 0)</f>
        <v>150</v>
      </c>
      <c r="O67" s="198">
        <f>ROUND(N(data!BP69), 0)</f>
        <v>267574</v>
      </c>
      <c r="P67" s="198">
        <f>ROUND(N(data!BP70), 0)</f>
        <v>0</v>
      </c>
      <c r="Q67" s="198">
        <f>ROUND(N(data!BP71), 0)</f>
        <v>0</v>
      </c>
      <c r="R67" s="198">
        <f>ROUND(N(data!BP72), 0)</f>
        <v>2203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5227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260144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3702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058</v>
      </c>
      <c r="B68" s="200" t="str">
        <f>RIGHT(data!$C$96,4)</f>
        <v>2024</v>
      </c>
      <c r="C68" s="12" t="str">
        <f>data!BQ$55</f>
        <v>8640</v>
      </c>
      <c r="D68" s="12" t="s">
        <v>1161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058</v>
      </c>
      <c r="B69" s="200" t="str">
        <f>RIGHT(data!$C$96,4)</f>
        <v>2024</v>
      </c>
      <c r="C69" s="12" t="str">
        <f>data!BR$55</f>
        <v>8650</v>
      </c>
      <c r="D69" s="12" t="s">
        <v>1161</v>
      </c>
      <c r="E69" s="198">
        <f>ROUND(N(data!BR59), 0)</f>
        <v>0</v>
      </c>
      <c r="F69" s="271">
        <f>ROUND(N(data!BR60), 2)</f>
        <v>21.5</v>
      </c>
      <c r="G69" s="198">
        <f>ROUND(N(data!BR61), 0)</f>
        <v>2074165</v>
      </c>
      <c r="H69" s="198">
        <f>ROUND(N(data!BR62), 0)</f>
        <v>474490</v>
      </c>
      <c r="I69" s="198">
        <f>ROUND(N(data!BR63), 0)</f>
        <v>21800</v>
      </c>
      <c r="J69" s="198">
        <f>ROUND(N(data!BR64), 0)</f>
        <v>6017</v>
      </c>
      <c r="K69" s="198">
        <f>ROUND(N(data!BR65), 0)</f>
        <v>781</v>
      </c>
      <c r="L69" s="198">
        <f>ROUND(N(data!BR66), 0)</f>
        <v>837295</v>
      </c>
      <c r="M69" s="198">
        <f>ROUND(N(data!BR67), 0)</f>
        <v>48629</v>
      </c>
      <c r="N69" s="198">
        <f>ROUND(N(data!BR68), 0)</f>
        <v>201029</v>
      </c>
      <c r="O69" s="198">
        <f>ROUND(N(data!BR69), 0)</f>
        <v>1168436</v>
      </c>
      <c r="P69" s="198">
        <f>ROUND(N(data!BR70), 0)</f>
        <v>0</v>
      </c>
      <c r="Q69" s="198">
        <f>ROUND(N(data!BR71), 0)</f>
        <v>0</v>
      </c>
      <c r="R69" s="198">
        <f>ROUND(N(data!BR72), 0)</f>
        <v>1088562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77505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2369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3550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058</v>
      </c>
      <c r="B70" s="200" t="str">
        <f>RIGHT(data!$C$96,4)</f>
        <v>2024</v>
      </c>
      <c r="C70" s="12" t="str">
        <f>data!BS$55</f>
        <v>8660</v>
      </c>
      <c r="D70" s="12" t="s">
        <v>1161</v>
      </c>
      <c r="E70" s="198">
        <f>ROUND(N(data!BS59), 0)</f>
        <v>0</v>
      </c>
      <c r="F70" s="271">
        <f>ROUND(N(data!BS60), 2)</f>
        <v>1</v>
      </c>
      <c r="G70" s="198">
        <f>ROUND(N(data!BS61), 0)</f>
        <v>69013</v>
      </c>
      <c r="H70" s="198">
        <f>ROUND(N(data!BS62), 0)</f>
        <v>19777</v>
      </c>
      <c r="I70" s="198">
        <f>ROUND(N(data!BS63), 0)</f>
        <v>0</v>
      </c>
      <c r="J70" s="198">
        <f>ROUND(N(data!BS64), 0)</f>
        <v>1560</v>
      </c>
      <c r="K70" s="198">
        <f>ROUND(N(data!BS65), 0)</f>
        <v>0</v>
      </c>
      <c r="L70" s="198">
        <f>ROUND(N(data!BS66), 0)</f>
        <v>0</v>
      </c>
      <c r="M70" s="198">
        <f>ROUND(N(data!BS67), 0)</f>
        <v>6931</v>
      </c>
      <c r="N70" s="198">
        <f>ROUND(N(data!BS68), 0)</f>
        <v>120</v>
      </c>
      <c r="O70" s="198">
        <f>ROUND(N(data!BS69), 0)</f>
        <v>17961</v>
      </c>
      <c r="P70" s="198">
        <f>ROUND(N(data!BS70), 0)</f>
        <v>0</v>
      </c>
      <c r="Q70" s="198">
        <f>ROUND(N(data!BS71), 0)</f>
        <v>0</v>
      </c>
      <c r="R70" s="198">
        <f>ROUND(N(data!BS72), 0)</f>
        <v>12341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5621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506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058</v>
      </c>
      <c r="B71" s="200" t="str">
        <f>RIGHT(data!$C$96,4)</f>
        <v>2024</v>
      </c>
      <c r="C71" s="12" t="str">
        <f>data!BT$55</f>
        <v>8670</v>
      </c>
      <c r="D71" s="12" t="s">
        <v>1161</v>
      </c>
      <c r="E71" s="198">
        <f>ROUND(N(data!BT59), 0)</f>
        <v>0</v>
      </c>
      <c r="F71" s="271">
        <f>ROUND(N(data!BT60), 2)</f>
        <v>1</v>
      </c>
      <c r="G71" s="198">
        <f>ROUND(N(data!BT61), 0)</f>
        <v>87014</v>
      </c>
      <c r="H71" s="198">
        <f>ROUND(N(data!BT62), 0)</f>
        <v>23453</v>
      </c>
      <c r="I71" s="198">
        <f>ROUND(N(data!BT63), 0)</f>
        <v>0</v>
      </c>
      <c r="J71" s="198">
        <f>ROUND(N(data!BT64), 0)</f>
        <v>7</v>
      </c>
      <c r="K71" s="198">
        <f>ROUND(N(data!BT65), 0)</f>
        <v>592</v>
      </c>
      <c r="L71" s="198">
        <f>ROUND(N(data!BT66), 0)</f>
        <v>0</v>
      </c>
      <c r="M71" s="198">
        <f>ROUND(N(data!BT67), 0)</f>
        <v>4096</v>
      </c>
      <c r="N71" s="198">
        <f>ROUND(N(data!BT68), 0)</f>
        <v>19</v>
      </c>
      <c r="O71" s="198">
        <f>ROUND(N(data!BT69), 0)</f>
        <v>372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16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356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299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058</v>
      </c>
      <c r="B72" s="200" t="str">
        <f>RIGHT(data!$C$96,4)</f>
        <v>2024</v>
      </c>
      <c r="C72" s="12" t="str">
        <f>data!BU$55</f>
        <v>8680</v>
      </c>
      <c r="D72" s="12" t="s">
        <v>1161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058</v>
      </c>
      <c r="B73" s="200" t="str">
        <f>RIGHT(data!$C$96,4)</f>
        <v>2024</v>
      </c>
      <c r="C73" s="12" t="str">
        <f>data!BV$55</f>
        <v>8690</v>
      </c>
      <c r="D73" s="12" t="s">
        <v>1161</v>
      </c>
      <c r="E73" s="198">
        <f>ROUND(N(data!BV59), 0)</f>
        <v>0</v>
      </c>
      <c r="F73" s="271">
        <f>ROUND(N(data!BV60), 2)</f>
        <v>54.3</v>
      </c>
      <c r="G73" s="198">
        <f>ROUND(N(data!BV61), 0)</f>
        <v>3316024</v>
      </c>
      <c r="H73" s="198">
        <f>ROUND(N(data!BV62), 0)</f>
        <v>1023740</v>
      </c>
      <c r="I73" s="198">
        <f>ROUND(N(data!BV63), 0)</f>
        <v>0</v>
      </c>
      <c r="J73" s="198">
        <f>ROUND(N(data!BV64), 0)</f>
        <v>852</v>
      </c>
      <c r="K73" s="198">
        <f>ROUND(N(data!BV65), 0)</f>
        <v>460</v>
      </c>
      <c r="L73" s="198">
        <f>ROUND(N(data!BV66), 0)</f>
        <v>1627480</v>
      </c>
      <c r="M73" s="198">
        <f>ROUND(N(data!BV67), 0)</f>
        <v>50711</v>
      </c>
      <c r="N73" s="198">
        <f>ROUND(N(data!BV68), 0)</f>
        <v>55540</v>
      </c>
      <c r="O73" s="198">
        <f>ROUND(N(data!BV69), 0)</f>
        <v>-117861</v>
      </c>
      <c r="P73" s="198">
        <f>ROUND(N(data!BV70), 0)</f>
        <v>0</v>
      </c>
      <c r="Q73" s="198">
        <f>ROUND(N(data!BV71), 0)</f>
        <v>1480</v>
      </c>
      <c r="R73" s="198">
        <f>ROUND(N(data!BV72), 0)</f>
        <v>11954</v>
      </c>
      <c r="S73" s="198">
        <f>ROUND(N(data!BV73), 0)</f>
        <v>0</v>
      </c>
      <c r="T73" s="198">
        <f>ROUND(N(data!BV74), 0)</f>
        <v>0</v>
      </c>
      <c r="U73" s="198">
        <f>ROUND(N(data!BV75), 0)</f>
        <v>16150</v>
      </c>
      <c r="V73" s="198">
        <f>ROUND(N(data!BV76), 0)</f>
        <v>0</v>
      </c>
      <c r="W73" s="198">
        <f>ROUND(N(data!BV77), 0)</f>
        <v>-160358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12914</v>
      </c>
      <c r="AD73" s="198">
        <f>ROUND(N(data!BV84), 0)</f>
        <v>13684</v>
      </c>
      <c r="AE73" s="198">
        <f>ROUND(N(data!BV89), 0)</f>
        <v>0</v>
      </c>
      <c r="AF73" s="198">
        <f>ROUND(N(data!BV87), 0)</f>
        <v>0</v>
      </c>
      <c r="AG73" s="198">
        <f>ROUND(N(data!BV90), 0)</f>
        <v>3702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058</v>
      </c>
      <c r="B74" s="200" t="str">
        <f>RIGHT(data!$C$96,4)</f>
        <v>2024</v>
      </c>
      <c r="C74" s="12" t="str">
        <f>data!BW$55</f>
        <v>8700</v>
      </c>
      <c r="D74" s="12" t="s">
        <v>1161</v>
      </c>
      <c r="E74" s="198">
        <f>ROUND(N(data!BW59), 0)</f>
        <v>0</v>
      </c>
      <c r="F74" s="271">
        <f>ROUND(N(data!BW60), 2)</f>
        <v>3</v>
      </c>
      <c r="G74" s="198">
        <f>ROUND(N(data!BW61), 0)</f>
        <v>253960</v>
      </c>
      <c r="H74" s="198">
        <f>ROUND(N(data!BW62), 0)</f>
        <v>168820</v>
      </c>
      <c r="I74" s="198">
        <f>ROUND(N(data!BW63), 0)</f>
        <v>81082</v>
      </c>
      <c r="J74" s="198">
        <f>ROUND(N(data!BW64), 0)</f>
        <v>22718</v>
      </c>
      <c r="K74" s="198">
        <f>ROUND(N(data!BW65), 0)</f>
        <v>0</v>
      </c>
      <c r="L74" s="198">
        <f>ROUND(N(data!BW66), 0)</f>
        <v>97780</v>
      </c>
      <c r="M74" s="198">
        <f>ROUND(N(data!BW67), 0)</f>
        <v>23794</v>
      </c>
      <c r="N74" s="198">
        <f>ROUND(N(data!BW68), 0)</f>
        <v>957</v>
      </c>
      <c r="O74" s="198">
        <f>ROUND(N(data!BW69), 0)</f>
        <v>2550687</v>
      </c>
      <c r="P74" s="198">
        <f>ROUND(N(data!BW70), 0)</f>
        <v>0</v>
      </c>
      <c r="Q74" s="198">
        <f>ROUND(N(data!BW71), 0)</f>
        <v>0</v>
      </c>
      <c r="R74" s="198">
        <f>ROUND(N(data!BW72), 0)</f>
        <v>127158</v>
      </c>
      <c r="S74" s="198">
        <f>ROUND(N(data!BW73), 0)</f>
        <v>2344233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19678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59618</v>
      </c>
      <c r="AD74" s="198">
        <f>ROUND(N(data!BW84), 0)</f>
        <v>162311</v>
      </c>
      <c r="AE74" s="198">
        <f>ROUND(N(data!BW89), 0)</f>
        <v>0</v>
      </c>
      <c r="AF74" s="198">
        <f>ROUND(N(data!BW87), 0)</f>
        <v>0</v>
      </c>
      <c r="AG74" s="198">
        <f>ROUND(N(data!BW90), 0)</f>
        <v>1737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058</v>
      </c>
      <c r="B75" s="200" t="str">
        <f>RIGHT(data!$C$96,4)</f>
        <v>2024</v>
      </c>
      <c r="C75" s="12" t="str">
        <f>data!BX$55</f>
        <v>8710</v>
      </c>
      <c r="D75" s="12" t="s">
        <v>1161</v>
      </c>
      <c r="E75" s="198">
        <f>ROUND(N(data!BX59), 0)</f>
        <v>0</v>
      </c>
      <c r="F75" s="271">
        <f>ROUND(N(data!BX60), 2)</f>
        <v>45.7</v>
      </c>
      <c r="G75" s="198">
        <f>ROUND(N(data!BX61), 0)</f>
        <v>5841518</v>
      </c>
      <c r="H75" s="198">
        <f>ROUND(N(data!BX62), 0)</f>
        <v>1221681</v>
      </c>
      <c r="I75" s="198">
        <f>ROUND(N(data!BX63), 0)</f>
        <v>61522</v>
      </c>
      <c r="J75" s="198">
        <f>ROUND(N(data!BX64), 0)</f>
        <v>31624</v>
      </c>
      <c r="K75" s="198">
        <f>ROUND(N(data!BX65), 0)</f>
        <v>5536</v>
      </c>
      <c r="L75" s="198">
        <f>ROUND(N(data!BX66), 0)</f>
        <v>3966454</v>
      </c>
      <c r="M75" s="198">
        <f>ROUND(N(data!BX67), 0)</f>
        <v>79957</v>
      </c>
      <c r="N75" s="198">
        <f>ROUND(N(data!BX68), 0)</f>
        <v>32540</v>
      </c>
      <c r="O75" s="198">
        <f>ROUND(N(data!BX69), 0)</f>
        <v>479762</v>
      </c>
      <c r="P75" s="198">
        <f>ROUND(N(data!BX70), 0)</f>
        <v>0</v>
      </c>
      <c r="Q75" s="198">
        <f>ROUND(N(data!BX71), 0)</f>
        <v>51198</v>
      </c>
      <c r="R75" s="198">
        <f>ROUND(N(data!BX72), 0)</f>
        <v>83484</v>
      </c>
      <c r="S75" s="198">
        <f>ROUND(N(data!BX73), 0)</f>
        <v>0</v>
      </c>
      <c r="T75" s="198">
        <f>ROUND(N(data!BX74), 0)</f>
        <v>0</v>
      </c>
      <c r="U75" s="198">
        <f>ROUND(N(data!BX75), 0)</f>
        <v>25987</v>
      </c>
      <c r="V75" s="198">
        <f>ROUND(N(data!BX76), 0)</f>
        <v>0</v>
      </c>
      <c r="W75" s="198">
        <f>ROUND(N(data!BX77), 0)</f>
        <v>22158</v>
      </c>
      <c r="X75" s="198">
        <f>ROUND(N(data!BX78), 0)</f>
        <v>0</v>
      </c>
      <c r="Y75" s="198">
        <f>ROUND(N(data!BX79), 0)</f>
        <v>67936</v>
      </c>
      <c r="Z75" s="198">
        <f>ROUND(N(data!BX80), 0)</f>
        <v>10068</v>
      </c>
      <c r="AA75" s="198">
        <f>ROUND(N(data!BX81), 0)</f>
        <v>1612</v>
      </c>
      <c r="AB75" s="198">
        <f>ROUND(N(data!BX82), 0)</f>
        <v>0</v>
      </c>
      <c r="AC75" s="198">
        <f>ROUND(N(data!BX83), 0)</f>
        <v>217319</v>
      </c>
      <c r="AD75" s="198">
        <f>ROUND(N(data!BX84), 0)</f>
        <v>1521</v>
      </c>
      <c r="AE75" s="198">
        <f>ROUND(N(data!BX89), 0)</f>
        <v>0</v>
      </c>
      <c r="AF75" s="198">
        <f>ROUND(N(data!BX87), 0)</f>
        <v>0</v>
      </c>
      <c r="AG75" s="198">
        <f>ROUND(N(data!BX90), 0)</f>
        <v>5837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058</v>
      </c>
      <c r="B76" s="200" t="str">
        <f>RIGHT(data!$C$96,4)</f>
        <v>2024</v>
      </c>
      <c r="C76" s="12" t="str">
        <f>data!BY$55</f>
        <v>8720</v>
      </c>
      <c r="D76" s="12" t="s">
        <v>1161</v>
      </c>
      <c r="E76" s="198">
        <f>ROUND(N(data!BY59), 0)</f>
        <v>0</v>
      </c>
      <c r="F76" s="271">
        <f>ROUND(N(data!BY60), 2)</f>
        <v>10.6</v>
      </c>
      <c r="G76" s="198">
        <f>ROUND(N(data!BY61), 0)</f>
        <v>1385267</v>
      </c>
      <c r="H76" s="198">
        <f>ROUND(N(data!BY62), 0)</f>
        <v>315360</v>
      </c>
      <c r="I76" s="198">
        <f>ROUND(N(data!BY63), 0)</f>
        <v>0</v>
      </c>
      <c r="J76" s="198">
        <f>ROUND(N(data!BY64), 0)</f>
        <v>1702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23</v>
      </c>
      <c r="O76" s="198">
        <f>ROUND(N(data!BY69), 0)</f>
        <v>115442</v>
      </c>
      <c r="P76" s="198">
        <f>ROUND(N(data!BY70), 0)</f>
        <v>0</v>
      </c>
      <c r="Q76" s="198">
        <f>ROUND(N(data!BY71), 0)</f>
        <v>0</v>
      </c>
      <c r="R76" s="198">
        <f>ROUND(N(data!BY72), 0)</f>
        <v>98825</v>
      </c>
      <c r="S76" s="198">
        <f>ROUND(N(data!BY73), 0)</f>
        <v>130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13230</v>
      </c>
      <c r="X76" s="198">
        <f>ROUND(N(data!BY78), 0)</f>
        <v>0</v>
      </c>
      <c r="Y76" s="198">
        <f>ROUND(N(data!BY79), 0)</f>
        <v>3103</v>
      </c>
      <c r="Z76" s="198">
        <f>ROUND(N(data!BY80), 0)</f>
        <v>19</v>
      </c>
      <c r="AA76" s="198">
        <f>ROUND(N(data!BY81), 0)</f>
        <v>0</v>
      </c>
      <c r="AB76" s="198">
        <f>ROUND(N(data!BY82), 0)</f>
        <v>0</v>
      </c>
      <c r="AC76" s="198">
        <f>ROUND(N(data!BY83), 0)</f>
        <v>136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058</v>
      </c>
      <c r="B77" s="200" t="str">
        <f>RIGHT(data!$C$96,4)</f>
        <v>2024</v>
      </c>
      <c r="C77" s="12" t="str">
        <f>data!BZ$55</f>
        <v>8730</v>
      </c>
      <c r="D77" s="12" t="s">
        <v>1161</v>
      </c>
      <c r="E77" s="198">
        <f>ROUND(N(data!BZ59), 0)</f>
        <v>0</v>
      </c>
      <c r="F77" s="271">
        <f>ROUND(N(data!BZ60), 2)</f>
        <v>41.25</v>
      </c>
      <c r="G77" s="198">
        <f>ROUND(N(data!BZ61), 0)</f>
        <v>1760467</v>
      </c>
      <c r="H77" s="198">
        <f>ROUND(N(data!BZ62), 0)</f>
        <v>545212</v>
      </c>
      <c r="I77" s="198">
        <f>ROUND(N(data!BZ63), 0)</f>
        <v>0</v>
      </c>
      <c r="J77" s="198">
        <f>ROUND(N(data!BZ64), 0)</f>
        <v>5453</v>
      </c>
      <c r="K77" s="198">
        <f>ROUND(N(data!BZ65), 0)</f>
        <v>0</v>
      </c>
      <c r="L77" s="198">
        <f>ROUND(N(data!BZ66), 0)</f>
        <v>0</v>
      </c>
      <c r="M77" s="198">
        <f>ROUND(N(data!BZ67), 0)</f>
        <v>2164</v>
      </c>
      <c r="N77" s="198">
        <f>ROUND(N(data!BZ68), 0)</f>
        <v>29</v>
      </c>
      <c r="O77" s="198">
        <f>ROUND(N(data!BZ69), 0)</f>
        <v>147082</v>
      </c>
      <c r="P77" s="198">
        <f>ROUND(N(data!BZ70), 0)</f>
        <v>0</v>
      </c>
      <c r="Q77" s="198">
        <f>ROUND(N(data!BZ71), 0)</f>
        <v>91656</v>
      </c>
      <c r="R77" s="198">
        <f>ROUND(N(data!BZ72), 0)</f>
        <v>54280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1145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158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058</v>
      </c>
      <c r="B78" s="200" t="str">
        <f>RIGHT(data!$C$96,4)</f>
        <v>2024</v>
      </c>
      <c r="C78" s="12" t="str">
        <f>data!CA$55</f>
        <v>8740</v>
      </c>
      <c r="D78" s="12" t="s">
        <v>1161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5794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423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058</v>
      </c>
      <c r="B79" s="200" t="str">
        <f>RIGHT(data!$C$96,4)</f>
        <v>2024</v>
      </c>
      <c r="C79" s="12" t="str">
        <f>data!CB$55</f>
        <v>8770</v>
      </c>
      <c r="D79" s="12" t="s">
        <v>1161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058</v>
      </c>
      <c r="B80" s="200" t="str">
        <f>RIGHT(data!$C$96,4)</f>
        <v>2024</v>
      </c>
      <c r="C80" s="12" t="str">
        <f>data!CC$55</f>
        <v>8790</v>
      </c>
      <c r="D80" s="12" t="s">
        <v>1161</v>
      </c>
      <c r="E80" s="198">
        <f>ROUND(N(data!CC59), 0)</f>
        <v>0</v>
      </c>
      <c r="F80" s="271">
        <f>ROUND(N(data!CC60), 2)</f>
        <v>71.58</v>
      </c>
      <c r="G80" s="198">
        <f>ROUND(N(data!CC61), 0)</f>
        <v>7366273</v>
      </c>
      <c r="H80" s="198">
        <f>ROUND(N(data!CC62), 0)</f>
        <v>-4570277</v>
      </c>
      <c r="I80" s="198">
        <f>ROUND(N(data!CC63), 0)</f>
        <v>504001</v>
      </c>
      <c r="J80" s="198">
        <f>ROUND(N(data!CC64), 0)</f>
        <v>-72602</v>
      </c>
      <c r="K80" s="198">
        <f>ROUND(N(data!CC65), 0)</f>
        <v>378732</v>
      </c>
      <c r="L80" s="198">
        <f>ROUND(N(data!CC66), 0)</f>
        <v>2687745</v>
      </c>
      <c r="M80" s="198">
        <f>ROUND(N(data!CC67), 0)</f>
        <v>660758</v>
      </c>
      <c r="N80" s="198">
        <f>ROUND(N(data!CC68), 0)</f>
        <v>503934</v>
      </c>
      <c r="O80" s="198">
        <f>ROUND(N(data!CC69), 0)</f>
        <v>27602582</v>
      </c>
      <c r="P80" s="198">
        <f>ROUND(N(data!CC70), 0)</f>
        <v>0</v>
      </c>
      <c r="Q80" s="198">
        <f>ROUND(N(data!CC71), 0)</f>
        <v>400</v>
      </c>
      <c r="R80" s="198">
        <f>ROUND(N(data!CC72), 0)</f>
        <v>1787864</v>
      </c>
      <c r="S80" s="198">
        <f>ROUND(N(data!CC73), 0)</f>
        <v>0</v>
      </c>
      <c r="T80" s="198">
        <f>ROUND(N(data!CC74), 0)</f>
        <v>3692</v>
      </c>
      <c r="U80" s="198">
        <f>ROUND(N(data!CC75), 0)</f>
        <v>4891199</v>
      </c>
      <c r="V80" s="198">
        <f>ROUND(N(data!CC76), 0)</f>
        <v>0</v>
      </c>
      <c r="W80" s="198">
        <f>ROUND(N(data!CC77), 0)</f>
        <v>36193</v>
      </c>
      <c r="X80" s="198">
        <f>ROUND(N(data!CC78), 0)</f>
        <v>0</v>
      </c>
      <c r="Y80" s="198">
        <f>ROUND(N(data!CC79), 0)</f>
        <v>738</v>
      </c>
      <c r="Z80" s="198">
        <f>ROUND(N(data!CC80), 0)</f>
        <v>1600</v>
      </c>
      <c r="AA80" s="198">
        <f>ROUND(N(data!CC81), 0)</f>
        <v>104272</v>
      </c>
      <c r="AB80" s="198">
        <f>ROUND(N(data!CC82), 0)</f>
        <v>0</v>
      </c>
      <c r="AC80" s="198">
        <f>ROUND(N(data!CC83), 0)</f>
        <v>20776623</v>
      </c>
      <c r="AD80" s="198">
        <f>ROUND(N(data!CC84), 0)</f>
        <v>4274452</v>
      </c>
      <c r="AE80" s="198">
        <f>ROUND(N(data!CC89), 0)</f>
        <v>0</v>
      </c>
      <c r="AF80" s="198">
        <f>ROUND(N(data!CC87), 0)</f>
        <v>0</v>
      </c>
      <c r="AG80" s="198">
        <f>ROUND(N(data!CC90), 0)</f>
        <v>44402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F31" sqref="F31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 xml:space="preserve">YAKIMA VALLEY MEMORIAL 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H-058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2811 TIETON DRIVE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2811 TIETON DRIVE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YAKIMA, WASHINGTON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1422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 t="s">
        <v>1423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s4b6C+8jcKLusQCylqRmear+rfPa76U5XN/MpiFNNqLyLF6JgOSPVvQa1mDdYAQEQY8txDA+Un+qesMP4LnSxA==" saltValue="FESVuxfWJD4g2o1KEA1FGg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61" zoomScale="85" zoomScaleNormal="85" workbookViewId="0">
      <selection activeCell="I52" sqref="I51:I5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058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359</v>
      </c>
      <c r="C14" s="228" t="s">
        <v>359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8925783</v>
      </c>
      <c r="C15" s="228">
        <f>data!C85</f>
        <v>10456401.450000001</v>
      </c>
      <c r="D15" s="228">
        <f>ROUND(N('Prior Year'!C59), 0)</f>
        <v>0</v>
      </c>
      <c r="E15" s="1">
        <f>data!C59</f>
        <v>5102</v>
      </c>
      <c r="F15" s="205" t="str">
        <f t="shared" ref="F15:F59" si="0">IF(B15=0,"",IF(D15=0,"",B15/D15))</f>
        <v/>
      </c>
      <c r="G15" s="205">
        <f t="shared" ref="G15:G29" si="1">IF(C15=0,"",IF(E15=0,"",C15/E15))</f>
        <v>2049.47107996864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30271930</v>
      </c>
      <c r="C17" s="228">
        <f>data!E85</f>
        <v>40732123</v>
      </c>
      <c r="D17" s="228">
        <f>ROUND(N('Prior Year'!E59), 0)</f>
        <v>0</v>
      </c>
      <c r="E17" s="1">
        <f>data!E59</f>
        <v>42534</v>
      </c>
      <c r="F17" s="205" t="str">
        <f t="shared" si="0"/>
        <v/>
      </c>
      <c r="G17" s="205">
        <f t="shared" si="1"/>
        <v>957.63678468989519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5986724</v>
      </c>
      <c r="C18" s="228">
        <f>data!F85</f>
        <v>7493773.5899999999</v>
      </c>
      <c r="D18" s="228">
        <f>ROUND(N('Prior Year'!F59), 0)</f>
        <v>0</v>
      </c>
      <c r="E18" s="1">
        <f>data!F59</f>
        <v>3845</v>
      </c>
      <c r="F18" s="205" t="str">
        <f t="shared" si="0"/>
        <v/>
      </c>
      <c r="G18" s="205">
        <f t="shared" si="1"/>
        <v>1948.9658231469441</v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5780652</v>
      </c>
      <c r="C20" s="228">
        <f>data!H85</f>
        <v>6185540.9270000001</v>
      </c>
      <c r="D20" s="228">
        <f>ROUND(N('Prior Year'!H59), 0)</f>
        <v>0</v>
      </c>
      <c r="E20" s="1">
        <f>data!H59</f>
        <v>5525</v>
      </c>
      <c r="F20" s="205" t="str">
        <f t="shared" si="0"/>
        <v/>
      </c>
      <c r="G20" s="205">
        <f t="shared" si="1"/>
        <v>1119.5549189140272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7279075</v>
      </c>
      <c r="C27" s="228">
        <f>data!O85</f>
        <v>8720537.1000000015</v>
      </c>
      <c r="D27" s="228">
        <f>ROUND(N('Prior Year'!O59), 0)</f>
        <v>0</v>
      </c>
      <c r="E27" s="1">
        <f>data!O59</f>
        <v>12901</v>
      </c>
      <c r="F27" s="205" t="str">
        <f t="shared" si="0"/>
        <v/>
      </c>
      <c r="G27" s="205">
        <f t="shared" si="1"/>
        <v>675.95822804433772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35996440</v>
      </c>
      <c r="C28" s="228">
        <f>data!P85</f>
        <v>53806600.740000002</v>
      </c>
      <c r="D28" s="228">
        <f>ROUND(N('Prior Year'!P59), 0)</f>
        <v>0</v>
      </c>
      <c r="E28" s="1">
        <f>data!P59</f>
        <v>1801326</v>
      </c>
      <c r="F28" s="205" t="str">
        <f t="shared" si="0"/>
        <v/>
      </c>
      <c r="G28" s="205">
        <f t="shared" si="1"/>
        <v>29.870551327188974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6503304</v>
      </c>
      <c r="C29" s="228">
        <f>data!Q85</f>
        <v>7716642.2300000004</v>
      </c>
      <c r="D29" s="228">
        <f>ROUND(N('Prior Year'!Q59), 0)</f>
        <v>0</v>
      </c>
      <c r="E29" s="1">
        <f>data!Q59</f>
        <v>1672890</v>
      </c>
      <c r="F29" s="205" t="str">
        <f t="shared" si="0"/>
        <v/>
      </c>
      <c r="G29" s="205">
        <f t="shared" si="1"/>
        <v>4.6127612873530239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478110</v>
      </c>
      <c r="C30" s="228">
        <f>data!R85</f>
        <v>20930977.180000003</v>
      </c>
      <c r="D30" s="228">
        <f>ROUND(N('Prior Year'!R59), 0)</f>
        <v>0</v>
      </c>
      <c r="E30" s="1">
        <f>data!R59</f>
        <v>1131833</v>
      </c>
      <c r="F30" s="205" t="str">
        <f t="shared" si="0"/>
        <v/>
      </c>
      <c r="G30" s="205">
        <f>IFERROR(IF(C30=0,"",IF(E30=0,"",C30/E30)),"")</f>
        <v>18.492990732731776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3144649</v>
      </c>
      <c r="C31" s="228">
        <f>data!S85</f>
        <v>3340479.9899999998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5946808</v>
      </c>
      <c r="C32" s="228">
        <f>data!T85</f>
        <v>2122170.27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12655374</v>
      </c>
      <c r="C33" s="228">
        <f>data!U85</f>
        <v>19689707.699999999</v>
      </c>
      <c r="D33" s="228">
        <f>ROUND(N('Prior Year'!U59), 0)</f>
        <v>0</v>
      </c>
      <c r="E33" s="1">
        <f>data!U59</f>
        <v>1783868</v>
      </c>
      <c r="F33" s="205" t="str">
        <f t="shared" si="0"/>
        <v/>
      </c>
      <c r="G33" s="205">
        <f t="shared" ref="G33:G69" si="4">IF(C33=0,"",IF(E33=0,"",C33/E33))</f>
        <v>11.037648357389672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132111</v>
      </c>
      <c r="C34" s="228">
        <f>data!V85</f>
        <v>112988.93000000001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1987618</v>
      </c>
      <c r="C35" s="228">
        <f>data!W85</f>
        <v>2016159.5199999998</v>
      </c>
      <c r="D35" s="228">
        <f>ROUND(N('Prior Year'!W59), 0)</f>
        <v>0</v>
      </c>
      <c r="E35" s="1">
        <f>data!W59</f>
        <v>83754</v>
      </c>
      <c r="F35" s="205" t="str">
        <f t="shared" si="0"/>
        <v/>
      </c>
      <c r="G35" s="205">
        <f t="shared" si="4"/>
        <v>24.07239678104926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2597874</v>
      </c>
      <c r="C36" s="228">
        <f>data!X85</f>
        <v>4578104.6400000006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19781500</v>
      </c>
      <c r="C37" s="228">
        <f>data!Y85</f>
        <v>10194574.120000001</v>
      </c>
      <c r="D37" s="228">
        <f>ROUND(N('Prior Year'!Y59), 0)</f>
        <v>0</v>
      </c>
      <c r="E37" s="1">
        <f>data!Y59</f>
        <v>239529</v>
      </c>
      <c r="F37" s="205" t="str">
        <f t="shared" si="0"/>
        <v/>
      </c>
      <c r="G37" s="205">
        <f t="shared" si="4"/>
        <v>42.560917968179226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3931815</v>
      </c>
      <c r="C38" s="228">
        <f>data!Z85</f>
        <v>4412849.51</v>
      </c>
      <c r="D38" s="228">
        <f>ROUND(N('Prior Year'!Z59), 0)</f>
        <v>0</v>
      </c>
      <c r="E38" s="1">
        <f>data!Z59</f>
        <v>44407</v>
      </c>
      <c r="F38" s="205" t="str">
        <f t="shared" si="0"/>
        <v/>
      </c>
      <c r="G38" s="205">
        <f t="shared" si="4"/>
        <v>99.372835588983719</v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1323641</v>
      </c>
      <c r="C39" s="228">
        <f>data!AA85</f>
        <v>1349031.46</v>
      </c>
      <c r="D39" s="228">
        <f>ROUND(N('Prior Year'!AA59), 0)</f>
        <v>0</v>
      </c>
      <c r="E39" s="1">
        <f>data!AA59</f>
        <v>17621</v>
      </c>
      <c r="F39" s="205" t="str">
        <f t="shared" si="0"/>
        <v/>
      </c>
      <c r="G39" s="205">
        <f t="shared" si="4"/>
        <v>76.558166959877411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19895283</v>
      </c>
      <c r="C40" s="228">
        <f>data!AB85</f>
        <v>49334384.558000006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3224297</v>
      </c>
      <c r="C41" s="228">
        <f>data!AC85</f>
        <v>3283252.5399999996</v>
      </c>
      <c r="D41" s="228">
        <f>ROUND(N('Prior Year'!AC59), 0)</f>
        <v>0</v>
      </c>
      <c r="E41" s="1">
        <f>data!AC59</f>
        <v>248189</v>
      </c>
      <c r="F41" s="205" t="str">
        <f t="shared" si="0"/>
        <v/>
      </c>
      <c r="G41" s="205">
        <f t="shared" si="4"/>
        <v>13.228839876062192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1783639</v>
      </c>
      <c r="C42" s="228">
        <f>data!AD85</f>
        <v>1574464.14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3498215</v>
      </c>
      <c r="C43" s="228">
        <f>data!AE85</f>
        <v>4510699.7299999995</v>
      </c>
      <c r="D43" s="228">
        <f>ROUND(N('Prior Year'!AE59), 0)</f>
        <v>0</v>
      </c>
      <c r="E43" s="1">
        <f>data!AE59</f>
        <v>56272</v>
      </c>
      <c r="F43" s="205" t="str">
        <f t="shared" si="0"/>
        <v/>
      </c>
      <c r="G43" s="205">
        <f t="shared" si="4"/>
        <v>80.158866398919528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30896184</v>
      </c>
      <c r="C45" s="228">
        <f>data!AG85</f>
        <v>35214340.899999999</v>
      </c>
      <c r="D45" s="228">
        <f>ROUND(N('Prior Year'!AG59), 0)</f>
        <v>0</v>
      </c>
      <c r="E45" s="1">
        <f>data!AG59</f>
        <v>87348</v>
      </c>
      <c r="F45" s="205" t="str">
        <f t="shared" si="0"/>
        <v/>
      </c>
      <c r="G45" s="205">
        <f t="shared" si="4"/>
        <v>403.14993932316708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39418010</v>
      </c>
      <c r="C48" s="228">
        <f>data!AJ85</f>
        <v>135163628.74000001</v>
      </c>
      <c r="D48" s="228">
        <f>ROUND(N('Prior Year'!AJ59), 0)</f>
        <v>0</v>
      </c>
      <c r="E48" s="1">
        <f>data!AJ59</f>
        <v>261701</v>
      </c>
      <c r="F48" s="205" t="str">
        <f t="shared" si="0"/>
        <v/>
      </c>
      <c r="G48" s="205">
        <f t="shared" si="4"/>
        <v>516.48113205528455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0</v>
      </c>
      <c r="C50" s="228">
        <f>data!AL85</f>
        <v>1728675.29</v>
      </c>
      <c r="D50" s="228">
        <f>ROUND(N('Prior Year'!AL59), 0)</f>
        <v>0</v>
      </c>
      <c r="E50" s="1">
        <f>data!AL59</f>
        <v>9414</v>
      </c>
      <c r="F50" s="205" t="str">
        <f t="shared" si="0"/>
        <v/>
      </c>
      <c r="G50" s="205">
        <f t="shared" si="4"/>
        <v>183.62813787975355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-215.39999999999998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114996969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13002919</v>
      </c>
      <c r="C56" s="228">
        <f>data!AR85</f>
        <v>13101053.34</v>
      </c>
      <c r="D56" s="228">
        <f>ROUND(N('Prior Year'!AR59), 0)</f>
        <v>0</v>
      </c>
      <c r="E56" s="1">
        <f>data!AR59</f>
        <v>17176</v>
      </c>
      <c r="F56" s="205" t="str">
        <f t="shared" si="0"/>
        <v/>
      </c>
      <c r="G56" s="205">
        <f t="shared" si="4"/>
        <v>762.75345482067996</v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34336188</v>
      </c>
      <c r="C60" s="228">
        <f>data!AV85</f>
        <v>31005194.419000015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0</v>
      </c>
      <c r="C61" s="228">
        <f>data!AW85</f>
        <v>1911420.6500000001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0</v>
      </c>
      <c r="C62" s="228">
        <f>data!AX85</f>
        <v>6067.5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3024346</v>
      </c>
      <c r="C63" s="228">
        <f>data!AY85</f>
        <v>3435270.01</v>
      </c>
      <c r="D63" s="228">
        <f>ROUND(N('Prior Year'!AY59), 0)</f>
        <v>184130</v>
      </c>
      <c r="E63" s="1">
        <f>data!AY59</f>
        <v>153923</v>
      </c>
      <c r="F63" s="205">
        <f>IF(B63=0,"",IF(D63=0,"",B63/D63))</f>
        <v>16.425058382664421</v>
      </c>
      <c r="G63" s="205">
        <f t="shared" si="4"/>
        <v>22.318107170468348</v>
      </c>
      <c r="H63" s="6">
        <f>IF(B63 = 0, "", IF(C63 = 0, "", IF(D63 = 0, "", IF(E63 = 0, "", IF(G63 / F63 - 1 &lt; -0.25, G63 / F63 - 1, IF(G63 / F63 - 1 &gt; 0.25, G63 / F63 - 1, ""))))))</f>
        <v>0.35878403902805345</v>
      </c>
      <c r="I63" s="228" t="s">
        <v>1421</v>
      </c>
      <c r="M63" s="7"/>
    </row>
    <row r="64" spans="1:13" x14ac:dyDescent="0.25">
      <c r="A64" s="1" t="s">
        <v>781</v>
      </c>
      <c r="B64" s="228">
        <f>ROUND(N('Prior Year'!AZ85), 0)</f>
        <v>181400</v>
      </c>
      <c r="C64" s="228">
        <f>data!AZ85</f>
        <v>873444.33000000007</v>
      </c>
      <c r="D64" s="228">
        <f>ROUND(N('Prior Year'!AZ59), 0)</f>
        <v>214032</v>
      </c>
      <c r="E64" s="1">
        <f>data!AZ59</f>
        <v>0</v>
      </c>
      <c r="F64" s="205">
        <f>IF(B64=0,"",IF(D64=0,"",B64/D64))</f>
        <v>0.84753681692457206</v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1886501</v>
      </c>
      <c r="C65" s="228">
        <f>data!BA85</f>
        <v>2556171.4599999995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0</v>
      </c>
      <c r="C66" s="228">
        <f>data!BB85</f>
        <v>0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3037618</v>
      </c>
      <c r="C68" s="228">
        <f>data!BD85</f>
        <v>2438123.8199999998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15815856</v>
      </c>
      <c r="C69" s="228">
        <f>data!BE85</f>
        <v>16219450.85</v>
      </c>
      <c r="D69" s="228">
        <f>ROUND(N('Prior Year'!BE59), 0)</f>
        <v>1060797</v>
      </c>
      <c r="E69" s="1">
        <f>data!BE59</f>
        <v>1060925</v>
      </c>
      <c r="F69" s="205">
        <f>IF(B69=0,"",IF(D69=0,"",B69/D69))</f>
        <v>14.909408680454414</v>
      </c>
      <c r="G69" s="205">
        <f t="shared" si="4"/>
        <v>15.288027758795391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4661806</v>
      </c>
      <c r="C70" s="228">
        <f>data!BF85</f>
        <v>7472363.8400000008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356549</v>
      </c>
      <c r="C71" s="228">
        <f>data!BG85</f>
        <v>405752.80000000005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14854847</v>
      </c>
      <c r="C72" s="228">
        <f>data!BH85</f>
        <v>12769868.949999999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2580902</v>
      </c>
      <c r="C73" s="228">
        <f>data!BI85</f>
        <v>2659654.469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1309671</v>
      </c>
      <c r="C74" s="228">
        <f>data!BJ85</f>
        <v>2492222.27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6373127</v>
      </c>
      <c r="C75" s="228">
        <f>data!BK85</f>
        <v>6127317.9900000012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4696969</v>
      </c>
      <c r="C76" s="228">
        <f>data!BL85</f>
        <v>7132881.4500000002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4612136</v>
      </c>
      <c r="C77" s="228">
        <f>data!BM85</f>
        <v>2878158.12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35802782</v>
      </c>
      <c r="C78" s="228">
        <f>data!BN85</f>
        <v>4472147.5200000005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861743</v>
      </c>
      <c r="C79" s="228">
        <f>data!BO85</f>
        <v>450647.41000000003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419575</v>
      </c>
      <c r="C80" s="228">
        <f>data!BP85</f>
        <v>515061.76799999998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0</v>
      </c>
      <c r="C81" s="228">
        <f>data!BQ85</f>
        <v>0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4206584</v>
      </c>
      <c r="C82" s="228">
        <f>data!BR85</f>
        <v>4832641.5500000007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115849</v>
      </c>
      <c r="C83" s="228">
        <f>data!BS85</f>
        <v>115362.71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195637</v>
      </c>
      <c r="C84" s="228">
        <f>data!BT85</f>
        <v>115553.66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5206085</v>
      </c>
      <c r="C86" s="228">
        <f>data!BV85</f>
        <v>5943263.2599999988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632424</v>
      </c>
      <c r="C87" s="228">
        <f>data!BW85</f>
        <v>3037486.8400000008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8359134</v>
      </c>
      <c r="C88" s="228">
        <f>data!BX85</f>
        <v>11719072.49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1532667</v>
      </c>
      <c r="C89" s="228">
        <f>data!BY85</f>
        <v>1817793.73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3658944</v>
      </c>
      <c r="C90" s="228">
        <f>data!BZ85</f>
        <v>2460407.3899999997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367245</v>
      </c>
      <c r="C91" s="228">
        <f>data!CA85</f>
        <v>5794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0</v>
      </c>
      <c r="C92" s="228">
        <f>data!CB85</f>
        <v>0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10619484</v>
      </c>
      <c r="C93" s="228">
        <f>data!CC85</f>
        <v>30786693.649999999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-171359897</v>
      </c>
      <c r="C94" s="228">
        <f>data!CD85</f>
        <v>9156467.2799999993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7pA21uEVzQYL0ySriplz4F1qzpN08EoPI90toBgWaJDckmtBvbThPfqAb/wH1C+nECPCNTYr8azsWc3JWZSjYg==" saltValue="/9YcSwab50IBNNfyxXTuz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80"/>
  <sheetViews>
    <sheetView topLeftCell="A14" workbookViewId="0">
      <selection activeCell="D53" sqref="D53:D80"/>
    </sheetView>
  </sheetViews>
  <sheetFormatPr defaultRowHeight="15" x14ac:dyDescent="0.2"/>
  <cols>
    <col min="4" max="4" width="11" bestFit="1" customWidth="1"/>
  </cols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8259693.9500000002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1" t="s">
        <v>1370</v>
      </c>
      <c r="B15" s="267"/>
      <c r="C15" s="267"/>
      <c r="D15" s="267">
        <v>44759</v>
      </c>
    </row>
    <row r="16" spans="1:4" ht="15.75" x14ac:dyDescent="0.25">
      <c r="A16" s="1" t="s">
        <v>1371</v>
      </c>
      <c r="B16" s="267"/>
      <c r="C16" s="267"/>
      <c r="D16" s="267">
        <v>6515.53</v>
      </c>
    </row>
    <row r="17" spans="1:4" ht="15.75" x14ac:dyDescent="0.25">
      <c r="A17" s="1" t="s">
        <v>1373</v>
      </c>
      <c r="B17" s="267"/>
      <c r="C17" s="267"/>
      <c r="D17" s="267">
        <v>234125.55</v>
      </c>
    </row>
    <row r="18" spans="1:4" ht="15.75" x14ac:dyDescent="0.25">
      <c r="A18" s="1" t="s">
        <v>1372</v>
      </c>
      <c r="B18" s="267"/>
      <c r="C18" s="267"/>
      <c r="D18" s="267">
        <v>5830.53</v>
      </c>
    </row>
    <row r="19" spans="1:4" ht="15.75" x14ac:dyDescent="0.25">
      <c r="A19" s="1" t="s">
        <v>1374</v>
      </c>
      <c r="B19" s="267"/>
      <c r="C19" s="267"/>
      <c r="D19" s="267">
        <v>1800</v>
      </c>
    </row>
    <row r="20" spans="1:4" ht="15.75" x14ac:dyDescent="0.25">
      <c r="A20" s="1" t="s">
        <v>205</v>
      </c>
      <c r="B20" s="267"/>
      <c r="C20" s="267"/>
      <c r="D20" s="267">
        <f>882481.86-20746.27</f>
        <v>861735.59</v>
      </c>
    </row>
    <row r="21" spans="1:4" ht="15.75" x14ac:dyDescent="0.25">
      <c r="A21" s="1" t="s">
        <v>1375</v>
      </c>
      <c r="B21" s="267"/>
      <c r="C21" s="267"/>
      <c r="D21" s="267">
        <v>83098.83</v>
      </c>
    </row>
    <row r="22" spans="1:4" ht="15.75" x14ac:dyDescent="0.25">
      <c r="A22" s="1" t="s">
        <v>1392</v>
      </c>
      <c r="B22" s="267"/>
      <c r="C22" s="267"/>
      <c r="D22" s="267">
        <v>-1874132.8</v>
      </c>
    </row>
    <row r="23" spans="1:4" ht="15.75" x14ac:dyDescent="0.25">
      <c r="A23" s="1" t="s">
        <v>1376</v>
      </c>
      <c r="B23" s="267"/>
      <c r="C23" s="267"/>
      <c r="D23" s="267">
        <v>12100</v>
      </c>
    </row>
    <row r="24" spans="1:4" ht="15.75" x14ac:dyDescent="0.25">
      <c r="A24" s="1" t="s">
        <v>1377</v>
      </c>
      <c r="B24" s="267"/>
      <c r="C24" s="267"/>
      <c r="D24" s="267">
        <v>220</v>
      </c>
    </row>
    <row r="25" spans="1:4" ht="15.75" x14ac:dyDescent="0.25">
      <c r="A25" s="1" t="s">
        <v>1378</v>
      </c>
      <c r="B25" s="267"/>
      <c r="C25" s="267"/>
      <c r="D25" s="267">
        <v>267616.64000000001</v>
      </c>
    </row>
    <row r="26" spans="1:4" ht="15.75" x14ac:dyDescent="0.25">
      <c r="A26" s="1" t="s">
        <v>1379</v>
      </c>
      <c r="B26" s="267"/>
      <c r="C26" s="267"/>
      <c r="D26" s="267">
        <v>24231.200000000001</v>
      </c>
    </row>
    <row r="27" spans="1:4" ht="15.75" x14ac:dyDescent="0.25">
      <c r="A27" s="1" t="s">
        <v>598</v>
      </c>
      <c r="B27" s="267"/>
      <c r="C27" s="267"/>
      <c r="D27" s="267">
        <v>13683.54</v>
      </c>
    </row>
    <row r="28" spans="1:4" ht="15.75" x14ac:dyDescent="0.25">
      <c r="A28" s="1" t="s">
        <v>1380</v>
      </c>
      <c r="B28" s="267"/>
      <c r="C28" s="267"/>
      <c r="D28" s="267">
        <v>162311</v>
      </c>
    </row>
    <row r="29" spans="1:4" ht="15.75" x14ac:dyDescent="0.25">
      <c r="A29" s="1" t="s">
        <v>1381</v>
      </c>
      <c r="B29" s="267"/>
      <c r="C29" s="267"/>
      <c r="D29" s="267">
        <v>102.37</v>
      </c>
    </row>
    <row r="30" spans="1:4" ht="15.75" x14ac:dyDescent="0.25">
      <c r="A30" s="1" t="s">
        <v>1382</v>
      </c>
      <c r="B30" s="267"/>
      <c r="C30" s="267"/>
      <c r="D30" s="267">
        <v>92027.26</v>
      </c>
    </row>
    <row r="31" spans="1:4" ht="15.75" x14ac:dyDescent="0.25">
      <c r="A31" s="1" t="s">
        <v>1383</v>
      </c>
      <c r="B31" s="267"/>
      <c r="C31" s="267"/>
      <c r="D31" s="267">
        <v>4500</v>
      </c>
    </row>
    <row r="32" spans="1:4" ht="15.75" x14ac:dyDescent="0.25">
      <c r="A32" s="1" t="s">
        <v>1384</v>
      </c>
      <c r="B32" s="267"/>
      <c r="C32" s="267"/>
      <c r="D32" s="267">
        <v>3875</v>
      </c>
    </row>
    <row r="33" spans="1:4" ht="15.75" x14ac:dyDescent="0.25">
      <c r="A33" s="1" t="s">
        <v>1385</v>
      </c>
      <c r="B33" s="267"/>
      <c r="C33" s="267"/>
      <c r="D33" s="267">
        <v>25</v>
      </c>
    </row>
    <row r="34" spans="1:4" ht="15.75" x14ac:dyDescent="0.25">
      <c r="A34" s="1" t="s">
        <v>1386</v>
      </c>
      <c r="B34" s="267"/>
      <c r="C34" s="267"/>
      <c r="D34" s="267">
        <f>92856+17792.23</f>
        <v>110648.23</v>
      </c>
    </row>
    <row r="35" spans="1:4" ht="15.75" x14ac:dyDescent="0.25">
      <c r="A35" s="1" t="s">
        <v>1387</v>
      </c>
      <c r="B35" s="267"/>
      <c r="C35" s="267"/>
      <c r="D35" s="267">
        <v>71</v>
      </c>
    </row>
    <row r="36" spans="1:4" ht="15.75" x14ac:dyDescent="0.25">
      <c r="A36" s="1" t="s">
        <v>1393</v>
      </c>
      <c r="B36" s="267"/>
      <c r="C36" s="267"/>
      <c r="D36" s="267">
        <v>1176</v>
      </c>
    </row>
    <row r="37" spans="1:4" ht="15.75" x14ac:dyDescent="0.25">
      <c r="A37" s="1" t="s">
        <v>525</v>
      </c>
      <c r="B37" s="267"/>
      <c r="C37" s="267"/>
      <c r="D37" s="267">
        <v>467387.26</v>
      </c>
    </row>
    <row r="38" spans="1:4" ht="15.75" x14ac:dyDescent="0.25">
      <c r="A38" s="1" t="s">
        <v>1388</v>
      </c>
      <c r="B38" s="267"/>
      <c r="C38" s="267"/>
      <c r="D38" s="267">
        <v>2091052.8</v>
      </c>
    </row>
    <row r="39" spans="1:4" ht="15.75" x14ac:dyDescent="0.25">
      <c r="A39" s="1" t="s">
        <v>1389</v>
      </c>
      <c r="B39" s="267"/>
      <c r="C39" s="267"/>
      <c r="D39" s="267">
        <v>3189610.87</v>
      </c>
    </row>
    <row r="40" spans="1:4" ht="15.75" x14ac:dyDescent="0.25">
      <c r="A40" s="1" t="s">
        <v>1390</v>
      </c>
      <c r="B40" s="267"/>
      <c r="C40" s="267"/>
      <c r="D40" s="267">
        <v>86.53</v>
      </c>
    </row>
    <row r="41" spans="1:4" ht="15.75" x14ac:dyDescent="0.25">
      <c r="A41" s="1" t="s">
        <v>1047</v>
      </c>
      <c r="B41" s="267"/>
      <c r="C41" s="267"/>
      <c r="D41" s="267">
        <v>-9175.81</v>
      </c>
    </row>
    <row r="42" spans="1:4" ht="15.75" x14ac:dyDescent="0.25">
      <c r="A42" s="1" t="s">
        <v>1394</v>
      </c>
      <c r="B42" s="267"/>
      <c r="C42" s="267"/>
      <c r="D42" s="267">
        <v>727527.86</v>
      </c>
    </row>
    <row r="43" spans="1:4" ht="15.75" x14ac:dyDescent="0.25">
      <c r="A43" s="1" t="s">
        <v>1395</v>
      </c>
      <c r="B43" s="267"/>
      <c r="C43" s="267"/>
      <c r="D43" s="267">
        <v>47155</v>
      </c>
    </row>
    <row r="44" spans="1:4" ht="15.75" x14ac:dyDescent="0.25">
      <c r="A44" s="1" t="s">
        <v>1396</v>
      </c>
      <c r="B44" s="267"/>
      <c r="C44" s="267"/>
      <c r="D44" s="267">
        <v>1671120</v>
      </c>
    </row>
    <row r="45" spans="1:4" ht="15.75" x14ac:dyDescent="0.25">
      <c r="A45" s="1" t="s">
        <v>1391</v>
      </c>
      <c r="B45" s="267"/>
      <c r="C45" s="267"/>
      <c r="D45" s="267">
        <v>18610.52</v>
      </c>
    </row>
    <row r="46" spans="1:4" ht="15.75" x14ac:dyDescent="0.25">
      <c r="A46" s="267"/>
      <c r="B46" s="267"/>
      <c r="C46" s="267"/>
      <c r="D46" s="267"/>
    </row>
    <row r="47" spans="1:4" ht="15.75" x14ac:dyDescent="0.25">
      <c r="A47" s="267"/>
      <c r="B47" s="267"/>
      <c r="C47" s="267"/>
      <c r="D47" s="267"/>
    </row>
    <row r="48" spans="1:4" ht="15.75" x14ac:dyDescent="0.25">
      <c r="A48" s="267"/>
      <c r="B48" s="267"/>
      <c r="C48" s="267"/>
      <c r="D48" s="267"/>
    </row>
    <row r="49" spans="1:4" ht="15.75" x14ac:dyDescent="0.25">
      <c r="A49" s="269" t="s">
        <v>822</v>
      </c>
      <c r="B49" s="267"/>
      <c r="C49" s="267"/>
      <c r="D49" s="267">
        <f>N(data!C414)</f>
        <v>29201138</v>
      </c>
    </row>
    <row r="50" spans="1:4" ht="15.75" x14ac:dyDescent="0.25">
      <c r="A50" s="269" t="s">
        <v>819</v>
      </c>
      <c r="B50" s="267"/>
      <c r="C50" s="267"/>
      <c r="D50" s="267" t="str">
        <f>IF(OR(N(data!C414)&gt;1000000,N(data!C414)/(N(data!D416))&gt;0.01),"Yes","No")</f>
        <v>Yes</v>
      </c>
    </row>
    <row r="51" spans="1:4" ht="15.75" x14ac:dyDescent="0.25">
      <c r="A51" s="267"/>
      <c r="B51" s="267"/>
      <c r="C51" s="267"/>
      <c r="D51" s="267"/>
    </row>
    <row r="52" spans="1:4" ht="15.75" x14ac:dyDescent="0.25">
      <c r="A52" s="269" t="s">
        <v>820</v>
      </c>
      <c r="B52" s="267"/>
      <c r="C52" s="267"/>
      <c r="D52" s="269" t="s">
        <v>821</v>
      </c>
    </row>
    <row r="53" spans="1:4" ht="15.75" x14ac:dyDescent="0.25">
      <c r="A53" s="1" t="s">
        <v>1397</v>
      </c>
      <c r="B53" s="267"/>
      <c r="C53" s="267"/>
      <c r="D53" s="267">
        <v>290365.59000000003</v>
      </c>
    </row>
    <row r="54" spans="1:4" ht="15.75" x14ac:dyDescent="0.25">
      <c r="A54" s="1" t="s">
        <v>1398</v>
      </c>
      <c r="B54" s="267"/>
      <c r="C54" s="267"/>
      <c r="D54" s="267">
        <v>19590.43</v>
      </c>
    </row>
    <row r="55" spans="1:4" ht="15.75" x14ac:dyDescent="0.25">
      <c r="A55" s="1" t="s">
        <v>1399</v>
      </c>
      <c r="B55" s="267"/>
      <c r="C55" s="267"/>
      <c r="D55" s="267">
        <v>44402.1</v>
      </c>
    </row>
    <row r="56" spans="1:4" ht="15.75" x14ac:dyDescent="0.25">
      <c r="A56" s="1" t="s">
        <v>1400</v>
      </c>
      <c r="B56" s="267"/>
      <c r="C56" s="267"/>
      <c r="D56" s="267">
        <v>3270.62</v>
      </c>
    </row>
    <row r="57" spans="1:4" ht="15.75" x14ac:dyDescent="0.25">
      <c r="A57" s="1" t="s">
        <v>1401</v>
      </c>
      <c r="B57" s="267"/>
      <c r="C57" s="267"/>
      <c r="D57" s="267">
        <v>725338.83</v>
      </c>
    </row>
    <row r="58" spans="1:4" ht="15.75" x14ac:dyDescent="0.25">
      <c r="A58" s="1" t="s">
        <v>1402</v>
      </c>
      <c r="B58" s="267"/>
      <c r="C58" s="267"/>
      <c r="D58" s="267">
        <v>270956.55</v>
      </c>
    </row>
    <row r="59" spans="1:4" ht="15.75" x14ac:dyDescent="0.25">
      <c r="A59" s="1" t="s">
        <v>1403</v>
      </c>
      <c r="B59" s="267"/>
      <c r="C59" s="267"/>
      <c r="D59" s="267">
        <v>1724.82</v>
      </c>
    </row>
    <row r="60" spans="1:4" ht="15.75" x14ac:dyDescent="0.25">
      <c r="A60" s="1" t="s">
        <v>1404</v>
      </c>
      <c r="B60" s="267"/>
      <c r="C60" s="267"/>
      <c r="D60" s="267">
        <v>374959.37</v>
      </c>
    </row>
    <row r="61" spans="1:4" ht="15.75" x14ac:dyDescent="0.25">
      <c r="A61" s="1" t="s">
        <v>1405</v>
      </c>
      <c r="D61" s="1">
        <v>29709.66</v>
      </c>
    </row>
    <row r="62" spans="1:4" ht="15.75" x14ac:dyDescent="0.25">
      <c r="A62" s="1" t="s">
        <v>1406</v>
      </c>
      <c r="D62" s="1">
        <v>138596.84</v>
      </c>
    </row>
    <row r="63" spans="1:4" ht="15.75" x14ac:dyDescent="0.25">
      <c r="A63" s="1" t="s">
        <v>1407</v>
      </c>
      <c r="D63" s="1">
        <v>22844.6</v>
      </c>
    </row>
    <row r="64" spans="1:4" ht="15.75" x14ac:dyDescent="0.25">
      <c r="A64" s="1" t="s">
        <v>1408</v>
      </c>
      <c r="D64" s="1">
        <f>614915.61+13680.76</f>
        <v>628596.37</v>
      </c>
    </row>
    <row r="65" spans="1:4" ht="15.75" x14ac:dyDescent="0.25">
      <c r="A65" s="1" t="s">
        <v>1409</v>
      </c>
      <c r="D65" s="1">
        <v>331157.62</v>
      </c>
    </row>
    <row r="66" spans="1:4" ht="15.75" x14ac:dyDescent="0.25">
      <c r="A66" s="1" t="s">
        <v>562</v>
      </c>
      <c r="D66" s="1">
        <f>2107265.26+1956</f>
        <v>2109221.2599999998</v>
      </c>
    </row>
    <row r="67" spans="1:4" ht="15.75" x14ac:dyDescent="0.25">
      <c r="A67" s="1" t="s">
        <v>1410</v>
      </c>
      <c r="D67" s="1">
        <v>246.33</v>
      </c>
    </row>
    <row r="68" spans="1:4" ht="15.75" x14ac:dyDescent="0.25">
      <c r="A68" s="1" t="s">
        <v>1389</v>
      </c>
      <c r="D68" s="1">
        <v>20229881.75</v>
      </c>
    </row>
    <row r="69" spans="1:4" ht="15.75" x14ac:dyDescent="0.25">
      <c r="A69" s="1" t="s">
        <v>1411</v>
      </c>
      <c r="D69" s="1">
        <v>60983</v>
      </c>
    </row>
    <row r="70" spans="1:4" ht="15.75" x14ac:dyDescent="0.25">
      <c r="A70" s="1" t="s">
        <v>209</v>
      </c>
      <c r="D70" s="1">
        <v>220779.01</v>
      </c>
    </row>
    <row r="71" spans="1:4" ht="15.75" x14ac:dyDescent="0.25">
      <c r="A71" s="1" t="s">
        <v>1412</v>
      </c>
      <c r="D71" s="1">
        <v>63236.84</v>
      </c>
    </row>
    <row r="72" spans="1:4" ht="15.75" x14ac:dyDescent="0.25">
      <c r="A72" s="1" t="s">
        <v>1413</v>
      </c>
      <c r="D72" s="1">
        <v>632315.56999999995</v>
      </c>
    </row>
    <row r="73" spans="1:4" ht="15.75" x14ac:dyDescent="0.25">
      <c r="A73" s="1" t="s">
        <v>1414</v>
      </c>
      <c r="D73" s="1">
        <f>961.98+426.38</f>
        <v>1388.3600000000001</v>
      </c>
    </row>
    <row r="74" spans="1:4" ht="15.75" x14ac:dyDescent="0.25">
      <c r="A74" s="1" t="s">
        <v>1415</v>
      </c>
      <c r="D74" s="1">
        <v>256533.36</v>
      </c>
    </row>
    <row r="75" spans="1:4" ht="15.75" x14ac:dyDescent="0.25">
      <c r="A75" s="1" t="s">
        <v>1416</v>
      </c>
      <c r="D75" s="1">
        <v>208947.81</v>
      </c>
    </row>
    <row r="76" spans="1:4" ht="15.75" x14ac:dyDescent="0.25">
      <c r="A76" s="1" t="s">
        <v>1417</v>
      </c>
      <c r="D76" s="1">
        <v>213341.46</v>
      </c>
    </row>
    <row r="77" spans="1:4" ht="15.75" x14ac:dyDescent="0.25">
      <c r="A77" s="1" t="s">
        <v>1418</v>
      </c>
      <c r="D77" s="1">
        <v>2044120.14</v>
      </c>
    </row>
    <row r="78" spans="1:4" ht="15.75" x14ac:dyDescent="0.25">
      <c r="A78" s="1" t="s">
        <v>158</v>
      </c>
      <c r="D78" s="1">
        <f>93153.68+871.34+50108</f>
        <v>144133.01999999999</v>
      </c>
    </row>
    <row r="79" spans="1:4" ht="15.75" x14ac:dyDescent="0.25">
      <c r="A79" s="1" t="s">
        <v>1419</v>
      </c>
      <c r="D79" s="1">
        <v>129264.45</v>
      </c>
    </row>
    <row r="80" spans="1:4" ht="15.75" x14ac:dyDescent="0.25">
      <c r="A80" s="1" t="s">
        <v>1420</v>
      </c>
      <c r="D80" s="1">
        <v>5237.3</v>
      </c>
    </row>
  </sheetData>
  <sheetProtection algorithmName="SHA-512" hashValue="mhZR2zyUlLtCjNqx8cyaW8ndrImG4djsnqV43/xQ8sLHyNkuwoe3jQ1vKV3kAqI9UurGEjaqsbBaXTMiwYruJA==" saltValue="RrpMkdt8VjXJwwm+11VaY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K36" sqref="K36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823</v>
      </c>
    </row>
    <row r="2" spans="1:7" ht="20.100000000000001" customHeight="1" x14ac:dyDescent="0.25">
      <c r="A2" s="62" t="s">
        <v>824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H-58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YAKIMA VALLEY MEMORIAL 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YAKIMA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825</v>
      </c>
      <c r="C7" s="67"/>
      <c r="D7" s="64" t="str">
        <f>"  "&amp;data!C104</f>
        <v xml:space="preserve">  TAMMY BUYOK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826</v>
      </c>
      <c r="C8" s="67"/>
      <c r="D8" s="64" t="str">
        <f>"  "&amp;data!C105</f>
        <v xml:space="preserve">  MAX OWENS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827</v>
      </c>
      <c r="C9" s="67"/>
      <c r="D9" s="64" t="str">
        <f>"  "&amp;data!C106</f>
        <v xml:space="preserve">  DAVID HARGREAVES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828</v>
      </c>
      <c r="C10" s="67"/>
      <c r="D10" s="64" t="str">
        <f>"  "&amp;data!C107</f>
        <v xml:space="preserve">  (509) 575-8000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829</v>
      </c>
      <c r="C11" s="67"/>
      <c r="D11" s="64" t="str">
        <f>"  "&amp;data!C108</f>
        <v xml:space="preserve">  (509) 575-8863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830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831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832</v>
      </c>
      <c r="C18" s="67"/>
      <c r="D18" s="67"/>
      <c r="E18" s="229" t="str">
        <f>IF(data!C122&gt;0," X","")</f>
        <v/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833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834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835</v>
      </c>
      <c r="C23" s="64"/>
      <c r="D23" s="64"/>
      <c r="E23" s="64"/>
      <c r="F23" s="63">
        <f>data!C127</f>
        <v>13614</v>
      </c>
      <c r="G23" s="67">
        <f>data!D127</f>
        <v>57006</v>
      </c>
    </row>
    <row r="24" spans="1:7" ht="20.100000000000001" customHeight="1" x14ac:dyDescent="0.25">
      <c r="A24" s="63"/>
      <c r="B24" s="64" t="s">
        <v>836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837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2524</v>
      </c>
      <c r="G26" s="67">
        <f>data!D130</f>
        <v>3574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838</v>
      </c>
      <c r="C29" s="67"/>
      <c r="D29" s="79" t="s">
        <v>193</v>
      </c>
      <c r="E29" s="83" t="s">
        <v>838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25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839</v>
      </c>
      <c r="C31" s="67"/>
      <c r="D31" s="67">
        <f>data!C133</f>
        <v>20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840</v>
      </c>
      <c r="C32" s="67"/>
      <c r="D32" s="67">
        <f>data!C134</f>
        <v>122</v>
      </c>
      <c r="E32" s="64" t="s">
        <v>841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842</v>
      </c>
      <c r="C33" s="67"/>
      <c r="D33" s="67">
        <f>data!C135</f>
        <v>14</v>
      </c>
      <c r="E33" s="64" t="s">
        <v>843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844</v>
      </c>
      <c r="C34" s="67"/>
      <c r="D34" s="67">
        <f>data!C136</f>
        <v>39</v>
      </c>
      <c r="E34" s="64" t="s">
        <v>346</v>
      </c>
      <c r="F34" s="67"/>
      <c r="G34" s="67">
        <f>data!E143</f>
        <v>238</v>
      </c>
    </row>
    <row r="35" spans="1:7" ht="20.100000000000001" customHeight="1" x14ac:dyDescent="0.25">
      <c r="A35" s="63"/>
      <c r="B35" s="83" t="s">
        <v>845</v>
      </c>
      <c r="C35" s="67"/>
      <c r="D35" s="67">
        <f>data!C137</f>
        <v>0</v>
      </c>
      <c r="E35" s="64" t="s">
        <v>846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18</v>
      </c>
      <c r="E36" s="64" t="s">
        <v>347</v>
      </c>
      <c r="F36" s="67"/>
      <c r="G36" s="67">
        <f>data!C144</f>
        <v>238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32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847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848</v>
      </c>
      <c r="G1" s="61" t="s">
        <v>849</v>
      </c>
    </row>
    <row r="2" spans="1:7" ht="20.100000000000001" customHeight="1" x14ac:dyDescent="0.25">
      <c r="A2" s="1" t="str">
        <f>"Hospital: "&amp;data!C98</f>
        <v xml:space="preserve">Hospital: YAKIMA VALLEY MEMORIAL </v>
      </c>
      <c r="G2" s="4" t="s">
        <v>850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851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852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853</v>
      </c>
      <c r="B6" s="79" t="s">
        <v>331</v>
      </c>
      <c r="C6" s="79" t="s">
        <v>854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7002</v>
      </c>
      <c r="C7" s="127">
        <f>data!B155</f>
        <v>34197</v>
      </c>
      <c r="D7" s="127">
        <f>data!B156</f>
        <v>153345</v>
      </c>
      <c r="E7" s="127">
        <f>data!B157</f>
        <v>328311222</v>
      </c>
      <c r="F7" s="127">
        <f>data!B158</f>
        <v>625200491.89999998</v>
      </c>
      <c r="G7" s="127">
        <f>data!B157+data!B158</f>
        <v>953511713.89999998</v>
      </c>
    </row>
    <row r="8" spans="1:7" ht="20.100000000000001" customHeight="1" x14ac:dyDescent="0.25">
      <c r="A8" s="63" t="s">
        <v>353</v>
      </c>
      <c r="B8" s="127">
        <f>data!C154</f>
        <v>3771</v>
      </c>
      <c r="C8" s="127">
        <f>data!C155</f>
        <v>13792</v>
      </c>
      <c r="D8" s="127">
        <f>data!C156</f>
        <v>69428</v>
      </c>
      <c r="E8" s="127">
        <f>data!C157</f>
        <v>174302228</v>
      </c>
      <c r="F8" s="127">
        <f>data!C158</f>
        <v>289760432.80000001</v>
      </c>
      <c r="G8" s="127">
        <f>data!C157+data!C158</f>
        <v>464062660.80000001</v>
      </c>
    </row>
    <row r="9" spans="1:7" ht="20.100000000000001" customHeight="1" x14ac:dyDescent="0.25">
      <c r="A9" s="63" t="s">
        <v>855</v>
      </c>
      <c r="B9" s="127">
        <f>data!D154</f>
        <v>2841</v>
      </c>
      <c r="C9" s="127">
        <f>data!D155</f>
        <v>9017</v>
      </c>
      <c r="D9" s="127">
        <f>data!D156</f>
        <v>111809</v>
      </c>
      <c r="E9" s="127">
        <f>data!D157</f>
        <v>107047360.2</v>
      </c>
      <c r="F9" s="127">
        <f>data!D158</f>
        <v>523571164.89999998</v>
      </c>
      <c r="G9" s="127">
        <f>data!D157+data!D158</f>
        <v>630618525.10000002</v>
      </c>
    </row>
    <row r="10" spans="1:7" ht="20.100000000000001" customHeight="1" x14ac:dyDescent="0.25">
      <c r="A10" s="78" t="s">
        <v>229</v>
      </c>
      <c r="B10" s="127">
        <f>data!E154</f>
        <v>13614</v>
      </c>
      <c r="C10" s="127">
        <f>data!E155</f>
        <v>57006</v>
      </c>
      <c r="D10" s="127">
        <f>data!E156</f>
        <v>334582</v>
      </c>
      <c r="E10" s="127">
        <f>data!E157</f>
        <v>609660810.20000005</v>
      </c>
      <c r="F10" s="127">
        <f>data!E158</f>
        <v>1438532089.5999999</v>
      </c>
      <c r="G10" s="127">
        <f>E10+F10</f>
        <v>2048192899.8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856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852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853</v>
      </c>
      <c r="B15" s="79" t="s">
        <v>331</v>
      </c>
      <c r="C15" s="79" t="s">
        <v>854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855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857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852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853</v>
      </c>
      <c r="B24" s="79" t="s">
        <v>331</v>
      </c>
      <c r="C24" s="79" t="s">
        <v>854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855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858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859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860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861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 xml:space="preserve">Hospital: YAKIMA VALLEY MEMORIAL 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862</v>
      </c>
      <c r="C6" s="63">
        <f>data!C181</f>
        <v>21018128.609999999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24622.38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-8927.25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4294973.25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21136791.870000001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42907.71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144634.68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632843.15999999992</v>
      </c>
    </row>
    <row r="14" spans="1:3" ht="20.100000000000001" customHeight="1" x14ac:dyDescent="0.25">
      <c r="A14" s="144">
        <v>10</v>
      </c>
      <c r="B14" s="64" t="s">
        <v>863</v>
      </c>
      <c r="C14" s="63">
        <f>data!D189</f>
        <v>47285974.409999996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864</v>
      </c>
      <c r="C18" s="63">
        <f>data!C191</f>
        <v>7257549.2599999998</v>
      </c>
    </row>
    <row r="19" spans="1:3" ht="20.100000000000001" customHeight="1" x14ac:dyDescent="0.25">
      <c r="A19" s="63">
        <v>13</v>
      </c>
      <c r="B19" s="64" t="s">
        <v>865</v>
      </c>
      <c r="C19" s="63">
        <f>data!C192</f>
        <v>3875456.4699999997</v>
      </c>
    </row>
    <row r="20" spans="1:3" ht="20.100000000000001" customHeight="1" x14ac:dyDescent="0.25">
      <c r="A20" s="63">
        <v>14</v>
      </c>
      <c r="B20" s="64" t="s">
        <v>866</v>
      </c>
      <c r="C20" s="63">
        <f>data!D193</f>
        <v>11133005.73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867</v>
      </c>
      <c r="C24" s="148"/>
    </row>
    <row r="25" spans="1:3" ht="20.100000000000001" customHeight="1" x14ac:dyDescent="0.25">
      <c r="A25" s="63">
        <v>17</v>
      </c>
      <c r="B25" s="64" t="s">
        <v>868</v>
      </c>
      <c r="C25" s="63">
        <f>data!C195</f>
        <v>2293990.02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76368.5</v>
      </c>
    </row>
    <row r="27" spans="1:3" ht="20.100000000000001" customHeight="1" x14ac:dyDescent="0.25">
      <c r="A27" s="63">
        <v>19</v>
      </c>
      <c r="B27" s="64" t="s">
        <v>869</v>
      </c>
      <c r="C27" s="63">
        <f>data!D197</f>
        <v>2370358.52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870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340301.05</v>
      </c>
    </row>
    <row r="32" spans="1:3" ht="20.100000000000001" customHeight="1" x14ac:dyDescent="0.25">
      <c r="A32" s="63">
        <v>22</v>
      </c>
      <c r="B32" s="64" t="s">
        <v>871</v>
      </c>
      <c r="C32" s="63">
        <f>data!C200</f>
        <v>3952948.8699999996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11334.4</v>
      </c>
    </row>
    <row r="34" spans="1:3" ht="20.100000000000001" customHeight="1" x14ac:dyDescent="0.25">
      <c r="A34" s="63">
        <v>24</v>
      </c>
      <c r="B34" s="64" t="s">
        <v>872</v>
      </c>
      <c r="C34" s="63">
        <f>data!D202</f>
        <v>4304584.32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873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3516949.52</v>
      </c>
    </row>
    <row r="40" spans="1:3" ht="20.100000000000001" customHeight="1" x14ac:dyDescent="0.25">
      <c r="A40" s="63">
        <v>28</v>
      </c>
      <c r="B40" s="64" t="s">
        <v>874</v>
      </c>
      <c r="C40" s="63">
        <f>data!D206</f>
        <v>3516949.52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875</v>
      </c>
    </row>
    <row r="3" spans="1:6" ht="20.100000000000001" customHeight="1" x14ac:dyDescent="0.25">
      <c r="A3" s="120" t="str">
        <f>"Hospital: "&amp;data!C98</f>
        <v xml:space="preserve">Hospital: YAKIMA VALLEY MEMORIAL 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876</v>
      </c>
      <c r="D5" s="151"/>
      <c r="E5" s="151"/>
      <c r="F5" s="151" t="s">
        <v>877</v>
      </c>
    </row>
    <row r="6" spans="1:6" ht="20.100000000000001" customHeight="1" x14ac:dyDescent="0.25">
      <c r="A6" s="152"/>
      <c r="B6" s="70"/>
      <c r="C6" s="153" t="s">
        <v>878</v>
      </c>
      <c r="D6" s="153" t="s">
        <v>385</v>
      </c>
      <c r="E6" s="153" t="s">
        <v>879</v>
      </c>
      <c r="F6" s="153" t="s">
        <v>878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17504411</v>
      </c>
      <c r="D7" s="67">
        <f>data!C211</f>
        <v>0</v>
      </c>
      <c r="E7" s="67">
        <f>data!D211</f>
        <v>0</v>
      </c>
      <c r="F7" s="67">
        <f>data!E211</f>
        <v>17504411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9336610</v>
      </c>
      <c r="D8" s="67">
        <f>data!C212</f>
        <v>0</v>
      </c>
      <c r="E8" s="67">
        <f>data!D212</f>
        <v>0</v>
      </c>
      <c r="F8" s="67">
        <f>data!E212</f>
        <v>9336610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137109783</v>
      </c>
      <c r="D9" s="67">
        <f>data!C213</f>
        <v>41890</v>
      </c>
      <c r="E9" s="67">
        <f>data!D213</f>
        <v>0</v>
      </c>
      <c r="F9" s="67">
        <f>data!E213</f>
        <v>137151673</v>
      </c>
    </row>
    <row r="10" spans="1:6" ht="20.100000000000001" customHeight="1" x14ac:dyDescent="0.25">
      <c r="A10" s="63">
        <v>4</v>
      </c>
      <c r="B10" s="67" t="s">
        <v>880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881</v>
      </c>
      <c r="C11" s="67">
        <f>data!B215</f>
        <v>75967931</v>
      </c>
      <c r="D11" s="67">
        <f>data!C215</f>
        <v>-31259564.789999999</v>
      </c>
      <c r="E11" s="67">
        <f>data!D215</f>
        <v>0</v>
      </c>
      <c r="F11" s="67">
        <f>data!E215</f>
        <v>44708366.210000001</v>
      </c>
    </row>
    <row r="12" spans="1:6" ht="20.100000000000001" customHeight="1" x14ac:dyDescent="0.25">
      <c r="A12" s="63">
        <v>6</v>
      </c>
      <c r="B12" s="67" t="s">
        <v>882</v>
      </c>
      <c r="C12" s="67">
        <f>data!B216</f>
        <v>108530168</v>
      </c>
      <c r="D12" s="67">
        <f>data!C216</f>
        <v>-57476951</v>
      </c>
      <c r="E12" s="67">
        <f>data!D216</f>
        <v>0</v>
      </c>
      <c r="F12" s="67">
        <f>data!E216</f>
        <v>51053217</v>
      </c>
    </row>
    <row r="13" spans="1:6" ht="20.100000000000001" customHeight="1" x14ac:dyDescent="0.25">
      <c r="A13" s="63">
        <v>7</v>
      </c>
      <c r="B13" s="67" t="s">
        <v>883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7378092</v>
      </c>
      <c r="D14" s="67">
        <f>data!C218</f>
        <v>1897322</v>
      </c>
      <c r="E14" s="67">
        <f>data!D218</f>
        <v>0</v>
      </c>
      <c r="F14" s="67">
        <f>data!E218</f>
        <v>9275414</v>
      </c>
    </row>
    <row r="15" spans="1:6" ht="20.100000000000001" customHeight="1" x14ac:dyDescent="0.25">
      <c r="A15" s="63">
        <v>9</v>
      </c>
      <c r="B15" s="67" t="s">
        <v>884</v>
      </c>
      <c r="C15" s="67">
        <f>data!B219</f>
        <v>13054500.789999999</v>
      </c>
      <c r="D15" s="67">
        <f>data!C219</f>
        <v>16142185.550000001</v>
      </c>
      <c r="E15" s="67" t="str">
        <f>data!D219</f>
        <v xml:space="preserve"> </v>
      </c>
      <c r="F15" s="67">
        <f>data!E219</f>
        <v>29196686.34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368881495.79000002</v>
      </c>
      <c r="D16" s="67">
        <f>data!C220</f>
        <v>-70655118.239999995</v>
      </c>
      <c r="E16" s="67">
        <f>data!D220</f>
        <v>0</v>
      </c>
      <c r="F16" s="67">
        <f>data!E220</f>
        <v>298226377.55000001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876</v>
      </c>
      <c r="D21" s="4" t="s">
        <v>229</v>
      </c>
      <c r="E21" s="153"/>
      <c r="F21" s="153" t="s">
        <v>877</v>
      </c>
    </row>
    <row r="22" spans="1:6" ht="20.100000000000001" customHeight="1" x14ac:dyDescent="0.25">
      <c r="A22" s="154"/>
      <c r="B22" s="146"/>
      <c r="C22" s="153" t="s">
        <v>878</v>
      </c>
      <c r="D22" s="153" t="s">
        <v>885</v>
      </c>
      <c r="E22" s="153" t="s">
        <v>879</v>
      </c>
      <c r="F22" s="153" t="s">
        <v>878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1187965</v>
      </c>
      <c r="D24" s="67">
        <f>data!C225</f>
        <v>1189061.05</v>
      </c>
      <c r="E24" s="67">
        <f>data!D225</f>
        <v>0</v>
      </c>
      <c r="F24" s="67">
        <f>data!E225</f>
        <v>2377026.0499999998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6380112</v>
      </c>
      <c r="D25" s="67">
        <f>data!C226</f>
        <v>6503009.6200000001</v>
      </c>
      <c r="E25" s="67">
        <f>data!D226</f>
        <v>0</v>
      </c>
      <c r="F25" s="67">
        <f>data!E226</f>
        <v>12883121.620000001</v>
      </c>
    </row>
    <row r="26" spans="1:6" ht="20.100000000000001" customHeight="1" x14ac:dyDescent="0.25">
      <c r="A26" s="63">
        <v>14</v>
      </c>
      <c r="B26" s="67" t="s">
        <v>880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881</v>
      </c>
      <c r="C27" s="67">
        <f>data!B228</f>
        <v>36558258</v>
      </c>
      <c r="D27" s="67">
        <f>data!C228</f>
        <v>-31755884.789999999</v>
      </c>
      <c r="E27" s="67">
        <f>data!D228</f>
        <v>0</v>
      </c>
      <c r="F27" s="67">
        <f>data!E228</f>
        <v>4802373.2100000009</v>
      </c>
    </row>
    <row r="28" spans="1:6" ht="20.100000000000001" customHeight="1" x14ac:dyDescent="0.25">
      <c r="A28" s="63">
        <v>16</v>
      </c>
      <c r="B28" s="67" t="s">
        <v>882</v>
      </c>
      <c r="C28" s="67">
        <f>data!B229</f>
        <v>79293838</v>
      </c>
      <c r="D28" s="67">
        <f>data!C229</f>
        <v>-62560646.960000001</v>
      </c>
      <c r="E28" s="67">
        <f>data!D229</f>
        <v>0</v>
      </c>
      <c r="F28" s="67">
        <f>data!E229</f>
        <v>16733191.039999999</v>
      </c>
    </row>
    <row r="29" spans="1:6" ht="20.100000000000001" customHeight="1" x14ac:dyDescent="0.25">
      <c r="A29" s="63">
        <v>17</v>
      </c>
      <c r="B29" s="67" t="s">
        <v>883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4298205</v>
      </c>
      <c r="D30" s="67">
        <f>data!C231</f>
        <v>2161684.5</v>
      </c>
      <c r="E30" s="67">
        <f>data!D231</f>
        <v>0</v>
      </c>
      <c r="F30" s="67">
        <f>data!E231</f>
        <v>6459889.5</v>
      </c>
    </row>
    <row r="31" spans="1:6" ht="20.100000000000001" customHeight="1" x14ac:dyDescent="0.25">
      <c r="A31" s="63">
        <v>19</v>
      </c>
      <c r="B31" s="67" t="s">
        <v>884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127718378</v>
      </c>
      <c r="D32" s="67">
        <f>data!C233</f>
        <v>-84462776.579999998</v>
      </c>
      <c r="E32" s="67">
        <f>data!D233</f>
        <v>0</v>
      </c>
      <c r="F32" s="67">
        <f>data!E233</f>
        <v>43255601.420000002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886</v>
      </c>
      <c r="B1" s="62"/>
      <c r="C1" s="62"/>
      <c r="D1" s="61" t="s">
        <v>887</v>
      </c>
    </row>
    <row r="2" spans="1:4" ht="20.100000000000001" customHeight="1" x14ac:dyDescent="0.25">
      <c r="A2" s="120" t="str">
        <f>"Hospital: "&amp;data!C98</f>
        <v xml:space="preserve">Hospital: YAKIMA VALLEY MEMORIAL 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888</v>
      </c>
      <c r="C4" s="156" t="s">
        <v>889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2723999.3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703842591.32000005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324910974.47000003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33974531.490000002</v>
      </c>
    </row>
    <row r="11" spans="1:4" ht="20.100000000000001" customHeight="1" x14ac:dyDescent="0.25">
      <c r="A11" s="63">
        <v>7</v>
      </c>
      <c r="B11" s="158">
        <v>5850</v>
      </c>
      <c r="C11" s="67" t="s">
        <v>890</v>
      </c>
      <c r="D11" s="67">
        <f>data!C243</f>
        <v>298788327.95999998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4558421.5999999996</v>
      </c>
    </row>
    <row r="13" spans="1:4" ht="20.100000000000001" customHeight="1" x14ac:dyDescent="0.25">
      <c r="A13" s="63">
        <v>9</v>
      </c>
      <c r="B13" s="67"/>
      <c r="C13" s="67" t="s">
        <v>891</v>
      </c>
      <c r="D13" s="67">
        <f>data!D245</f>
        <v>1366074846.8399999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892</v>
      </c>
      <c r="D16" s="63">
        <f>data!C247</f>
        <v>80251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1173501.3400000001</v>
      </c>
    </row>
    <row r="19" spans="1:4" ht="20.100000000000001" customHeight="1" x14ac:dyDescent="0.25">
      <c r="A19" s="161">
        <v>15</v>
      </c>
      <c r="B19" s="158">
        <v>5910</v>
      </c>
      <c r="C19" s="80" t="s">
        <v>893</v>
      </c>
      <c r="D19" s="67">
        <f>data!C250</f>
        <v>49575085.149999999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894</v>
      </c>
      <c r="D22" s="67">
        <f>data!D252</f>
        <v>50748586.490000002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1406280.83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895</v>
      </c>
      <c r="D26" s="67">
        <f>data!C255</f>
        <v>-521467.11</v>
      </c>
    </row>
    <row r="27" spans="1:4" ht="20.100000000000001" customHeight="1" x14ac:dyDescent="0.25">
      <c r="A27" s="144">
        <v>23</v>
      </c>
      <c r="B27" s="163" t="s">
        <v>896</v>
      </c>
      <c r="C27" s="79"/>
      <c r="D27" s="67">
        <f>data!D256</f>
        <v>884813.72000000009</v>
      </c>
    </row>
    <row r="28" spans="1:4" ht="20.100000000000001" customHeight="1" x14ac:dyDescent="0.25">
      <c r="A28" s="72">
        <v>24</v>
      </c>
      <c r="B28" s="138" t="s">
        <v>897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