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FCCBB3D0-F2B7-48CD-B826-4C5EAEFB3655}" xr6:coauthVersionLast="47" xr6:coauthVersionMax="47" xr10:uidLastSave="{00000000-0000-0000-0000-000000000000}"/>
  <bookViews>
    <workbookView xWindow="-57720" yWindow="-5040" windowWidth="29040" windowHeight="175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7" l="1"/>
  <c r="C32" i="5"/>
  <c r="E34" i="15"/>
  <c r="L93" i="24"/>
  <c r="E93" i="24"/>
  <c r="D160" i="24"/>
  <c r="C160" i="24"/>
  <c r="C359" i="24"/>
  <c r="C358" i="24"/>
  <c r="D163" i="24"/>
  <c r="E87" i="24"/>
  <c r="BR83" i="24"/>
  <c r="BV83" i="24"/>
  <c r="BN83" i="24"/>
  <c r="BN80" i="24"/>
  <c r="BJ83" i="24"/>
  <c r="BJ80" i="24"/>
  <c r="BE83" i="24"/>
  <c r="AY83" i="24"/>
  <c r="AJ83" i="24"/>
  <c r="AG83" i="24"/>
  <c r="AD83" i="24"/>
  <c r="U83" i="24"/>
  <c r="D2" i="30"/>
  <c r="D420" i="34"/>
  <c r="D415" i="34"/>
  <c r="D416" i="34" s="1"/>
  <c r="E414" i="34" s="1"/>
  <c r="D381" i="34"/>
  <c r="D383" i="34" s="1"/>
  <c r="D366" i="34"/>
  <c r="D360" i="34"/>
  <c r="D367" i="34" s="1"/>
  <c r="D384" i="34" s="1"/>
  <c r="D417" i="34" s="1"/>
  <c r="D421" i="34" s="1"/>
  <c r="D424" i="34" s="1"/>
  <c r="D340" i="34"/>
  <c r="D339" i="34"/>
  <c r="D341" i="34" s="1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E233" i="34" s="1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E220" i="34" s="1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I612" i="34" s="1"/>
  <c r="CE91" i="34"/>
  <c r="CF91" i="34" s="1"/>
  <c r="CE90" i="34"/>
  <c r="CF90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E69" i="34" s="1"/>
  <c r="CD69" i="34"/>
  <c r="C61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E61" i="34"/>
  <c r="CE60" i="34"/>
  <c r="H612" i="34" s="1"/>
  <c r="B53" i="34"/>
  <c r="CE51" i="34"/>
  <c r="B49" i="34"/>
  <c r="CD48" i="34"/>
  <c r="CC48" i="34"/>
  <c r="CC62" i="34" s="1"/>
  <c r="CB48" i="34"/>
  <c r="CB62" i="34" s="1"/>
  <c r="CA48" i="34"/>
  <c r="CA62" i="34" s="1"/>
  <c r="BZ48" i="34"/>
  <c r="BZ62" i="34" s="1"/>
  <c r="BY48" i="34"/>
  <c r="BY62" i="34" s="1"/>
  <c r="BX48" i="34"/>
  <c r="BX62" i="34" s="1"/>
  <c r="BW48" i="34"/>
  <c r="BW62" i="34" s="1"/>
  <c r="BV48" i="34"/>
  <c r="BV62" i="34" s="1"/>
  <c r="BU48" i="34"/>
  <c r="BU62" i="34" s="1"/>
  <c r="BT48" i="34"/>
  <c r="BT62" i="34" s="1"/>
  <c r="BS48" i="34"/>
  <c r="BS62" i="34" s="1"/>
  <c r="BR48" i="34"/>
  <c r="BR62" i="34" s="1"/>
  <c r="BQ48" i="34"/>
  <c r="BQ62" i="34" s="1"/>
  <c r="BP48" i="34"/>
  <c r="BP62" i="34" s="1"/>
  <c r="BO48" i="34"/>
  <c r="BO62" i="34" s="1"/>
  <c r="BN48" i="34"/>
  <c r="BN62" i="34" s="1"/>
  <c r="BM48" i="34"/>
  <c r="BM62" i="34" s="1"/>
  <c r="BL48" i="34"/>
  <c r="BL62" i="34" s="1"/>
  <c r="BK48" i="34"/>
  <c r="BK62" i="34" s="1"/>
  <c r="BJ48" i="34"/>
  <c r="BJ62" i="34" s="1"/>
  <c r="BI48" i="34"/>
  <c r="BI62" i="34" s="1"/>
  <c r="BH48" i="34"/>
  <c r="BH62" i="34" s="1"/>
  <c r="BG48" i="34"/>
  <c r="BG62" i="34" s="1"/>
  <c r="BF48" i="34"/>
  <c r="BF62" i="34" s="1"/>
  <c r="BE48" i="34"/>
  <c r="BE62" i="34" s="1"/>
  <c r="BD48" i="34"/>
  <c r="BD62" i="34" s="1"/>
  <c r="BC48" i="34"/>
  <c r="BC62" i="34" s="1"/>
  <c r="BB48" i="34"/>
  <c r="BB62" i="34" s="1"/>
  <c r="BA48" i="34"/>
  <c r="BA62" i="34" s="1"/>
  <c r="AZ48" i="34"/>
  <c r="AZ62" i="34" s="1"/>
  <c r="AY48" i="34"/>
  <c r="AY62" i="34" s="1"/>
  <c r="AX48" i="34"/>
  <c r="AX62" i="34" s="1"/>
  <c r="AW48" i="34"/>
  <c r="AW62" i="34" s="1"/>
  <c r="AV48" i="34"/>
  <c r="AV62" i="34" s="1"/>
  <c r="AU48" i="34"/>
  <c r="AU62" i="34" s="1"/>
  <c r="AT48" i="34"/>
  <c r="AT62" i="34" s="1"/>
  <c r="AS48" i="34"/>
  <c r="AS62" i="34" s="1"/>
  <c r="AR48" i="34"/>
  <c r="AR62" i="34" s="1"/>
  <c r="AQ48" i="34"/>
  <c r="AQ62" i="34" s="1"/>
  <c r="AP48" i="34"/>
  <c r="AP62" i="34" s="1"/>
  <c r="AO48" i="34"/>
  <c r="AO62" i="34" s="1"/>
  <c r="AN48" i="34"/>
  <c r="AN62" i="34" s="1"/>
  <c r="AM48" i="34"/>
  <c r="AM62" i="34" s="1"/>
  <c r="AL48" i="34"/>
  <c r="AL62" i="34" s="1"/>
  <c r="AK48" i="34"/>
  <c r="AK62" i="34" s="1"/>
  <c r="AJ48" i="34"/>
  <c r="AJ62" i="34" s="1"/>
  <c r="AI48" i="34"/>
  <c r="AI62" i="34" s="1"/>
  <c r="AH48" i="34"/>
  <c r="AH62" i="34" s="1"/>
  <c r="AG48" i="34"/>
  <c r="AG62" i="34" s="1"/>
  <c r="AF48" i="34"/>
  <c r="AF62" i="34" s="1"/>
  <c r="AE48" i="34"/>
  <c r="AE62" i="34" s="1"/>
  <c r="AD48" i="34"/>
  <c r="AD62" i="34" s="1"/>
  <c r="AC48" i="34"/>
  <c r="AC62" i="34" s="1"/>
  <c r="AB48" i="34"/>
  <c r="AB62" i="34" s="1"/>
  <c r="AA48" i="34"/>
  <c r="AA62" i="34" s="1"/>
  <c r="Z48" i="34"/>
  <c r="Z62" i="34" s="1"/>
  <c r="Y48" i="34"/>
  <c r="Y62" i="34" s="1"/>
  <c r="X48" i="34"/>
  <c r="X62" i="34" s="1"/>
  <c r="W48" i="34"/>
  <c r="W62" i="34" s="1"/>
  <c r="V48" i="34"/>
  <c r="V62" i="34" s="1"/>
  <c r="U48" i="34"/>
  <c r="U62" i="34" s="1"/>
  <c r="T48" i="34"/>
  <c r="T62" i="34" s="1"/>
  <c r="S48" i="34"/>
  <c r="S62" i="34" s="1"/>
  <c r="R48" i="34"/>
  <c r="R62" i="34" s="1"/>
  <c r="Q48" i="34"/>
  <c r="Q62" i="34" s="1"/>
  <c r="P48" i="34"/>
  <c r="P62" i="34" s="1"/>
  <c r="O48" i="34"/>
  <c r="O62" i="34" s="1"/>
  <c r="N48" i="34"/>
  <c r="N62" i="34" s="1"/>
  <c r="M48" i="34"/>
  <c r="M62" i="34" s="1"/>
  <c r="L48" i="34"/>
  <c r="L62" i="34" s="1"/>
  <c r="K48" i="34"/>
  <c r="K62" i="34" s="1"/>
  <c r="J48" i="34"/>
  <c r="J62" i="34" s="1"/>
  <c r="I48" i="34"/>
  <c r="I62" i="34" s="1"/>
  <c r="H48" i="34"/>
  <c r="H62" i="34" s="1"/>
  <c r="G48" i="34"/>
  <c r="G62" i="34" s="1"/>
  <c r="F48" i="34"/>
  <c r="F62" i="34" s="1"/>
  <c r="E48" i="34"/>
  <c r="E62" i="34" s="1"/>
  <c r="D48" i="34"/>
  <c r="D62" i="34" s="1"/>
  <c r="C48" i="34"/>
  <c r="CE48" i="34" s="1"/>
  <c r="CE47" i="34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B2" i="30"/>
  <c r="BA2" i="30"/>
  <c r="AX2" i="30"/>
  <c r="AW2" i="30"/>
  <c r="AV2" i="30"/>
  <c r="AU2" i="30"/>
  <c r="AT2" i="30"/>
  <c r="AS2" i="30"/>
  <c r="AR2" i="30"/>
  <c r="AQ2" i="30"/>
  <c r="AP2" i="30"/>
  <c r="AO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3" i="8"/>
  <c r="C82" i="8"/>
  <c r="C79" i="8"/>
  <c r="C78" i="8"/>
  <c r="C77" i="8"/>
  <c r="C73" i="8"/>
  <c r="C72" i="8"/>
  <c r="C71" i="8"/>
  <c r="C67" i="8"/>
  <c r="C66" i="8"/>
  <c r="C65" i="8"/>
  <c r="C64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C9" i="6"/>
  <c r="E8" i="6"/>
  <c r="D8" i="6"/>
  <c r="C8" i="6"/>
  <c r="E7" i="6"/>
  <c r="D7" i="6"/>
  <c r="C7" i="6"/>
  <c r="F3" i="6"/>
  <c r="A3" i="6"/>
  <c r="C39" i="5"/>
  <c r="C38" i="5"/>
  <c r="C33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D381" i="24"/>
  <c r="D360" i="24"/>
  <c r="D340" i="24"/>
  <c r="C86" i="8" s="1"/>
  <c r="D339" i="24"/>
  <c r="D329" i="24"/>
  <c r="C74" i="8" s="1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52" i="24"/>
  <c r="D245" i="24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CE92" i="24"/>
  <c r="AZ91" i="24"/>
  <c r="CE90" i="24"/>
  <c r="CF90" i="2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9" i="24" s="1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E69" i="24" s="1"/>
  <c r="I371" i="32" s="1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O48" i="31" s="1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H612" i="24" s="1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E52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X85" i="24" s="1"/>
  <c r="BW48" i="24"/>
  <c r="BW62" i="24" s="1"/>
  <c r="BV48" i="24"/>
  <c r="BV62" i="24" s="1"/>
  <c r="BU48" i="24"/>
  <c r="BU62" i="24" s="1"/>
  <c r="BU85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M85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E85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H51" i="31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O85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G85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Y85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Q85" i="24" s="1"/>
  <c r="P48" i="24"/>
  <c r="P62" i="24" s="1"/>
  <c r="O48" i="24"/>
  <c r="O62" i="24" s="1"/>
  <c r="N48" i="24"/>
  <c r="N62" i="24" s="1"/>
  <c r="M48" i="24"/>
  <c r="M62" i="24" s="1"/>
  <c r="L48" i="24"/>
  <c r="L62" i="24" s="1"/>
  <c r="L85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D85" i="24" s="1"/>
  <c r="C48" i="24"/>
  <c r="C62" i="24" s="1"/>
  <c r="CE47" i="24"/>
  <c r="D13" i="7" l="1"/>
  <c r="C365" i="24"/>
  <c r="BQ2" i="30"/>
  <c r="D383" i="24"/>
  <c r="C137" i="8" s="1"/>
  <c r="CE89" i="34"/>
  <c r="K612" i="34" s="1"/>
  <c r="D258" i="34"/>
  <c r="D308" i="34"/>
  <c r="D352" i="34" s="1"/>
  <c r="E380" i="34"/>
  <c r="CC52" i="34"/>
  <c r="CC67" i="34" s="1"/>
  <c r="CC85" i="34" s="1"/>
  <c r="C620" i="34" s="1"/>
  <c r="BU52" i="34"/>
  <c r="BU67" i="34" s="1"/>
  <c r="BM52" i="34"/>
  <c r="BM67" i="34" s="1"/>
  <c r="BE52" i="34"/>
  <c r="BE67" i="34" s="1"/>
  <c r="AW52" i="34"/>
  <c r="AW67" i="34" s="1"/>
  <c r="AO52" i="34"/>
  <c r="AO67" i="34" s="1"/>
  <c r="AG52" i="34"/>
  <c r="AG67" i="34" s="1"/>
  <c r="Y52" i="34"/>
  <c r="Y67" i="34" s="1"/>
  <c r="Q52" i="34"/>
  <c r="Q67" i="34" s="1"/>
  <c r="Q85" i="34" s="1"/>
  <c r="C682" i="34" s="1"/>
  <c r="I52" i="34"/>
  <c r="I67" i="34" s="1"/>
  <c r="BF52" i="34"/>
  <c r="BF67" i="34" s="1"/>
  <c r="CB52" i="34"/>
  <c r="CB67" i="34" s="1"/>
  <c r="BT52" i="34"/>
  <c r="BT67" i="34" s="1"/>
  <c r="BL52" i="34"/>
  <c r="BL67" i="34" s="1"/>
  <c r="BD52" i="34"/>
  <c r="BD67" i="34" s="1"/>
  <c r="AV52" i="34"/>
  <c r="AV67" i="34" s="1"/>
  <c r="AV85" i="34" s="1"/>
  <c r="AN52" i="34"/>
  <c r="AN67" i="34" s="1"/>
  <c r="AN85" i="34" s="1"/>
  <c r="C705" i="34" s="1"/>
  <c r="AF52" i="34"/>
  <c r="AF67" i="34" s="1"/>
  <c r="X52" i="34"/>
  <c r="X67" i="34" s="1"/>
  <c r="P52" i="34"/>
  <c r="P67" i="34" s="1"/>
  <c r="H52" i="34"/>
  <c r="H67" i="34" s="1"/>
  <c r="AX52" i="34"/>
  <c r="AX67" i="34" s="1"/>
  <c r="CA52" i="34"/>
  <c r="CA67" i="34" s="1"/>
  <c r="BS52" i="34"/>
  <c r="BS67" i="34" s="1"/>
  <c r="BS85" i="34" s="1"/>
  <c r="C639" i="34" s="1"/>
  <c r="BK52" i="34"/>
  <c r="BK67" i="34" s="1"/>
  <c r="BK85" i="34" s="1"/>
  <c r="C635" i="34" s="1"/>
  <c r="BC52" i="34"/>
  <c r="BC67" i="34" s="1"/>
  <c r="AU52" i="34"/>
  <c r="AU67" i="34" s="1"/>
  <c r="AM52" i="34"/>
  <c r="AM67" i="34" s="1"/>
  <c r="AE52" i="34"/>
  <c r="AE67" i="34" s="1"/>
  <c r="W52" i="34"/>
  <c r="W67" i="34" s="1"/>
  <c r="O52" i="34"/>
  <c r="O67" i="34" s="1"/>
  <c r="G52" i="34"/>
  <c r="G67" i="34" s="1"/>
  <c r="G85" i="34" s="1"/>
  <c r="C672" i="34" s="1"/>
  <c r="CD52" i="34"/>
  <c r="AH52" i="34"/>
  <c r="AH67" i="34" s="1"/>
  <c r="J52" i="34"/>
  <c r="J67" i="34" s="1"/>
  <c r="BZ52" i="34"/>
  <c r="BZ67" i="34" s="1"/>
  <c r="BR52" i="34"/>
  <c r="BR67" i="34" s="1"/>
  <c r="BJ52" i="34"/>
  <c r="BJ67" i="34" s="1"/>
  <c r="BB52" i="34"/>
  <c r="BB67" i="34" s="1"/>
  <c r="BB85" i="34" s="1"/>
  <c r="AT52" i="34"/>
  <c r="AT67" i="34" s="1"/>
  <c r="AT85" i="34" s="1"/>
  <c r="AL52" i="34"/>
  <c r="AL67" i="34" s="1"/>
  <c r="AL85" i="34" s="1"/>
  <c r="AD52" i="34"/>
  <c r="AD67" i="34" s="1"/>
  <c r="AD85" i="34" s="1"/>
  <c r="V52" i="34"/>
  <c r="V67" i="34" s="1"/>
  <c r="N52" i="34"/>
  <c r="N67" i="34" s="1"/>
  <c r="F52" i="34"/>
  <c r="F67" i="34" s="1"/>
  <c r="Z52" i="34"/>
  <c r="Z67" i="34" s="1"/>
  <c r="BY52" i="34"/>
  <c r="BY67" i="34" s="1"/>
  <c r="BY85" i="34" s="1"/>
  <c r="BQ52" i="34"/>
  <c r="BQ67" i="34" s="1"/>
  <c r="BQ85" i="34" s="1"/>
  <c r="BI52" i="34"/>
  <c r="BI67" i="34" s="1"/>
  <c r="BI85" i="34" s="1"/>
  <c r="BA52" i="34"/>
  <c r="BA67" i="34" s="1"/>
  <c r="BA85" i="34" s="1"/>
  <c r="AS52" i="34"/>
  <c r="AS67" i="34" s="1"/>
  <c r="AS85" i="34" s="1"/>
  <c r="AK52" i="34"/>
  <c r="AK67" i="34" s="1"/>
  <c r="AK85" i="34" s="1"/>
  <c r="AC52" i="34"/>
  <c r="AC67" i="34" s="1"/>
  <c r="AC85" i="34" s="1"/>
  <c r="U52" i="34"/>
  <c r="U67" i="34" s="1"/>
  <c r="U85" i="34" s="1"/>
  <c r="M52" i="34"/>
  <c r="M67" i="34" s="1"/>
  <c r="M85" i="34" s="1"/>
  <c r="E52" i="34"/>
  <c r="E67" i="34" s="1"/>
  <c r="E85" i="34" s="1"/>
  <c r="BX52" i="34"/>
  <c r="BX67" i="34" s="1"/>
  <c r="BX85" i="34" s="1"/>
  <c r="BP52" i="34"/>
  <c r="BP67" i="34" s="1"/>
  <c r="BP85" i="34" s="1"/>
  <c r="BH52" i="34"/>
  <c r="BH67" i="34" s="1"/>
  <c r="BH85" i="34" s="1"/>
  <c r="AZ52" i="34"/>
  <c r="AZ67" i="34" s="1"/>
  <c r="AZ85" i="34" s="1"/>
  <c r="AR52" i="34"/>
  <c r="AR67" i="34" s="1"/>
  <c r="AR85" i="34" s="1"/>
  <c r="AJ52" i="34"/>
  <c r="AJ67" i="34" s="1"/>
  <c r="AJ85" i="34" s="1"/>
  <c r="AB52" i="34"/>
  <c r="AB67" i="34" s="1"/>
  <c r="AB85" i="34" s="1"/>
  <c r="C693" i="34" s="1"/>
  <c r="T52" i="34"/>
  <c r="T67" i="34" s="1"/>
  <c r="T85" i="34" s="1"/>
  <c r="L52" i="34"/>
  <c r="L67" i="34" s="1"/>
  <c r="L85" i="34" s="1"/>
  <c r="D52" i="34"/>
  <c r="D67" i="34" s="1"/>
  <c r="D85" i="34" s="1"/>
  <c r="BN52" i="34"/>
  <c r="BN67" i="34" s="1"/>
  <c r="R52" i="34"/>
  <c r="R67" i="34" s="1"/>
  <c r="BW52" i="34"/>
  <c r="BW67" i="34" s="1"/>
  <c r="BW85" i="34" s="1"/>
  <c r="BO52" i="34"/>
  <c r="BO67" i="34" s="1"/>
  <c r="BO85" i="34" s="1"/>
  <c r="BG52" i="34"/>
  <c r="BG67" i="34" s="1"/>
  <c r="BG85" i="34" s="1"/>
  <c r="AY52" i="34"/>
  <c r="AY67" i="34" s="1"/>
  <c r="AY85" i="34" s="1"/>
  <c r="AQ52" i="34"/>
  <c r="AQ67" i="34" s="1"/>
  <c r="AQ85" i="34" s="1"/>
  <c r="AI52" i="34"/>
  <c r="AI67" i="34" s="1"/>
  <c r="AI85" i="34" s="1"/>
  <c r="C700" i="34" s="1"/>
  <c r="AA52" i="34"/>
  <c r="AA67" i="34" s="1"/>
  <c r="S52" i="34"/>
  <c r="S67" i="34" s="1"/>
  <c r="S85" i="34" s="1"/>
  <c r="K52" i="34"/>
  <c r="K67" i="34" s="1"/>
  <c r="K85" i="34" s="1"/>
  <c r="C52" i="34"/>
  <c r="BV52" i="34"/>
  <c r="BV67" i="34" s="1"/>
  <c r="AP52" i="34"/>
  <c r="AP67" i="34" s="1"/>
  <c r="AP85" i="34" s="1"/>
  <c r="C707" i="34" s="1"/>
  <c r="AA85" i="34"/>
  <c r="C692" i="34" s="1"/>
  <c r="O85" i="34"/>
  <c r="C680" i="34" s="1"/>
  <c r="W85" i="34"/>
  <c r="C688" i="34" s="1"/>
  <c r="AE85" i="34"/>
  <c r="C696" i="34" s="1"/>
  <c r="AM85" i="34"/>
  <c r="C704" i="34" s="1"/>
  <c r="AU85" i="34"/>
  <c r="C712" i="34" s="1"/>
  <c r="BC85" i="34"/>
  <c r="C633" i="34" s="1"/>
  <c r="CA85" i="34"/>
  <c r="C647" i="34" s="1"/>
  <c r="BJ85" i="34"/>
  <c r="H85" i="34"/>
  <c r="C673" i="34" s="1"/>
  <c r="P85" i="34"/>
  <c r="C681" i="34" s="1"/>
  <c r="X85" i="34"/>
  <c r="C689" i="34" s="1"/>
  <c r="AF85" i="34"/>
  <c r="C697" i="34" s="1"/>
  <c r="BD85" i="34"/>
  <c r="C624" i="34" s="1"/>
  <c r="BL85" i="34"/>
  <c r="C637" i="34" s="1"/>
  <c r="BT85" i="34"/>
  <c r="C640" i="34" s="1"/>
  <c r="CB85" i="34"/>
  <c r="C622" i="34" s="1"/>
  <c r="F85" i="34"/>
  <c r="BR85" i="34"/>
  <c r="I85" i="34"/>
  <c r="C674" i="34" s="1"/>
  <c r="Y85" i="34"/>
  <c r="C690" i="34" s="1"/>
  <c r="AG85" i="34"/>
  <c r="C698" i="34" s="1"/>
  <c r="AO85" i="34"/>
  <c r="C706" i="34" s="1"/>
  <c r="AW85" i="34"/>
  <c r="C631" i="34" s="1"/>
  <c r="BE85" i="34"/>
  <c r="C614" i="34" s="1"/>
  <c r="BM85" i="34"/>
  <c r="C638" i="34" s="1"/>
  <c r="BU85" i="34"/>
  <c r="C641" i="34" s="1"/>
  <c r="N85" i="34"/>
  <c r="C679" i="34" s="1"/>
  <c r="BZ85" i="34"/>
  <c r="C646" i="34" s="1"/>
  <c r="D350" i="34"/>
  <c r="J85" i="34"/>
  <c r="C675" i="34" s="1"/>
  <c r="R85" i="34"/>
  <c r="C683" i="34" s="1"/>
  <c r="Z85" i="34"/>
  <c r="C691" i="34" s="1"/>
  <c r="AH85" i="34"/>
  <c r="C699" i="34" s="1"/>
  <c r="AX85" i="34"/>
  <c r="C616" i="34" s="1"/>
  <c r="BF85" i="34"/>
  <c r="C629" i="34" s="1"/>
  <c r="BN85" i="34"/>
  <c r="C619" i="34" s="1"/>
  <c r="BV85" i="34"/>
  <c r="C642" i="34" s="1"/>
  <c r="V85" i="34"/>
  <c r="C687" i="34" s="1"/>
  <c r="CD85" i="34"/>
  <c r="B94" i="15" s="1"/>
  <c r="D612" i="34"/>
  <c r="C62" i="34"/>
  <c r="G612" i="34"/>
  <c r="B26" i="15"/>
  <c r="H26" i="15" s="1"/>
  <c r="I26" i="15" s="1"/>
  <c r="B90" i="15"/>
  <c r="B92" i="15"/>
  <c r="H7" i="31"/>
  <c r="H12" i="32"/>
  <c r="H85" i="24"/>
  <c r="H23" i="31"/>
  <c r="C108" i="32"/>
  <c r="X85" i="24"/>
  <c r="H39" i="31"/>
  <c r="E172" i="32"/>
  <c r="AN85" i="24"/>
  <c r="H55" i="31"/>
  <c r="G236" i="32"/>
  <c r="BD85" i="24"/>
  <c r="H71" i="31"/>
  <c r="I300" i="32"/>
  <c r="BT85" i="24"/>
  <c r="M77" i="31"/>
  <c r="H337" i="32"/>
  <c r="D117" i="32"/>
  <c r="C690" i="24"/>
  <c r="C37" i="15"/>
  <c r="G37" i="15" s="1"/>
  <c r="M6" i="31"/>
  <c r="G17" i="32"/>
  <c r="M22" i="31"/>
  <c r="I81" i="32"/>
  <c r="M46" i="31"/>
  <c r="E209" i="32"/>
  <c r="M78" i="31"/>
  <c r="I337" i="32"/>
  <c r="H17" i="31"/>
  <c r="D76" i="32"/>
  <c r="R85" i="24"/>
  <c r="H33" i="31"/>
  <c r="F140" i="32"/>
  <c r="AH85" i="24"/>
  <c r="H57" i="31"/>
  <c r="I236" i="32"/>
  <c r="BF85" i="24"/>
  <c r="H73" i="31"/>
  <c r="D332" i="32"/>
  <c r="BV85" i="24"/>
  <c r="M15" i="31"/>
  <c r="I49" i="32"/>
  <c r="M31" i="31"/>
  <c r="D145" i="32"/>
  <c r="M47" i="31"/>
  <c r="F209" i="32"/>
  <c r="M63" i="31"/>
  <c r="H273" i="32"/>
  <c r="M71" i="31"/>
  <c r="I305" i="32"/>
  <c r="H2" i="31"/>
  <c r="C12" i="32"/>
  <c r="CE62" i="24"/>
  <c r="I364" i="32" s="1"/>
  <c r="H10" i="31"/>
  <c r="D44" i="32"/>
  <c r="K85" i="24"/>
  <c r="H18" i="31"/>
  <c r="E76" i="32"/>
  <c r="S85" i="24"/>
  <c r="H26" i="31"/>
  <c r="F108" i="32"/>
  <c r="AA85" i="24"/>
  <c r="H34" i="31"/>
  <c r="G140" i="32"/>
  <c r="AI85" i="24"/>
  <c r="H42" i="31"/>
  <c r="H172" i="32"/>
  <c r="AQ85" i="24"/>
  <c r="H50" i="31"/>
  <c r="I204" i="32"/>
  <c r="AY85" i="24"/>
  <c r="H58" i="31"/>
  <c r="C268" i="32"/>
  <c r="BG85" i="24"/>
  <c r="H66" i="31"/>
  <c r="D300" i="32"/>
  <c r="BO85" i="24"/>
  <c r="H74" i="31"/>
  <c r="E332" i="32"/>
  <c r="BW85" i="24"/>
  <c r="E53" i="32"/>
  <c r="C24" i="15"/>
  <c r="G24" i="15" s="1"/>
  <c r="C677" i="24"/>
  <c r="E149" i="32"/>
  <c r="C45" i="15"/>
  <c r="G45" i="15" s="1"/>
  <c r="C698" i="24"/>
  <c r="F341" i="32"/>
  <c r="C88" i="15"/>
  <c r="G88" i="15" s="1"/>
  <c r="C644" i="24"/>
  <c r="M61" i="31"/>
  <c r="F273" i="32"/>
  <c r="M33" i="31"/>
  <c r="F145" i="32"/>
  <c r="M41" i="31"/>
  <c r="G177" i="32"/>
  <c r="M57" i="31"/>
  <c r="I241" i="32"/>
  <c r="M65" i="31"/>
  <c r="C305" i="32"/>
  <c r="H245" i="32"/>
  <c r="C69" i="15"/>
  <c r="G69" i="15" s="1"/>
  <c r="C614" i="24"/>
  <c r="M25" i="31"/>
  <c r="E113" i="32"/>
  <c r="H20" i="31"/>
  <c r="G76" i="32"/>
  <c r="U85" i="24"/>
  <c r="H44" i="31"/>
  <c r="C204" i="32"/>
  <c r="AS85" i="24"/>
  <c r="H60" i="31"/>
  <c r="E268" i="32"/>
  <c r="BI85" i="24"/>
  <c r="M10" i="31"/>
  <c r="D49" i="32"/>
  <c r="M34" i="31"/>
  <c r="G145" i="32"/>
  <c r="M42" i="31"/>
  <c r="H177" i="32"/>
  <c r="M50" i="31"/>
  <c r="I209" i="32"/>
  <c r="M58" i="31"/>
  <c r="C273" i="32"/>
  <c r="M66" i="31"/>
  <c r="D305" i="32"/>
  <c r="M74" i="31"/>
  <c r="E337" i="32"/>
  <c r="C85" i="32"/>
  <c r="C682" i="24"/>
  <c r="C29" i="15"/>
  <c r="G29" i="15" s="1"/>
  <c r="M38" i="31"/>
  <c r="D177" i="32"/>
  <c r="H12" i="31"/>
  <c r="F44" i="32"/>
  <c r="M85" i="24"/>
  <c r="H28" i="31"/>
  <c r="H108" i="32"/>
  <c r="AC85" i="24"/>
  <c r="H52" i="31"/>
  <c r="D236" i="32"/>
  <c r="BA85" i="24"/>
  <c r="H68" i="31"/>
  <c r="F300" i="32"/>
  <c r="BQ85" i="24"/>
  <c r="H5" i="31"/>
  <c r="F12" i="32"/>
  <c r="F85" i="24"/>
  <c r="H21" i="31"/>
  <c r="H76" i="32"/>
  <c r="V85" i="24"/>
  <c r="H37" i="31"/>
  <c r="C172" i="32"/>
  <c r="AL85" i="24"/>
  <c r="H53" i="31"/>
  <c r="E236" i="32"/>
  <c r="BB85" i="24"/>
  <c r="H69" i="31"/>
  <c r="G300" i="32"/>
  <c r="BR85" i="24"/>
  <c r="M19" i="31"/>
  <c r="F81" i="32"/>
  <c r="M59" i="31"/>
  <c r="D273" i="32"/>
  <c r="H15" i="31"/>
  <c r="I44" i="32"/>
  <c r="P85" i="24"/>
  <c r="H31" i="31"/>
  <c r="D140" i="32"/>
  <c r="AF85" i="24"/>
  <c r="H47" i="31"/>
  <c r="F204" i="32"/>
  <c r="AV85" i="24"/>
  <c r="H63" i="31"/>
  <c r="H268" i="32"/>
  <c r="BL85" i="24"/>
  <c r="M13" i="31"/>
  <c r="G49" i="32"/>
  <c r="M37" i="31"/>
  <c r="C177" i="32"/>
  <c r="D21" i="32"/>
  <c r="C16" i="15"/>
  <c r="G16" i="15" s="1"/>
  <c r="C669" i="24"/>
  <c r="H80" i="31"/>
  <c r="D364" i="32"/>
  <c r="CC85" i="24"/>
  <c r="M14" i="31"/>
  <c r="H49" i="32"/>
  <c r="M30" i="31"/>
  <c r="C145" i="32"/>
  <c r="M62" i="31"/>
  <c r="G273" i="32"/>
  <c r="M70" i="31"/>
  <c r="H305" i="32"/>
  <c r="H9" i="31"/>
  <c r="C44" i="32"/>
  <c r="J85" i="24"/>
  <c r="H25" i="31"/>
  <c r="E108" i="32"/>
  <c r="Z85" i="24"/>
  <c r="H41" i="31"/>
  <c r="G172" i="32"/>
  <c r="AP85" i="24"/>
  <c r="H49" i="31"/>
  <c r="H204" i="32"/>
  <c r="AX85" i="24"/>
  <c r="H65" i="31"/>
  <c r="C300" i="32"/>
  <c r="BN85" i="24"/>
  <c r="M7" i="31"/>
  <c r="H17" i="32"/>
  <c r="M23" i="31"/>
  <c r="C113" i="32"/>
  <c r="M39" i="31"/>
  <c r="E177" i="32"/>
  <c r="M55" i="31"/>
  <c r="G241" i="32"/>
  <c r="M79" i="31"/>
  <c r="C369" i="32"/>
  <c r="H4" i="31"/>
  <c r="E12" i="32"/>
  <c r="E85" i="24"/>
  <c r="H36" i="31"/>
  <c r="I140" i="32"/>
  <c r="AK85" i="24"/>
  <c r="H13" i="31"/>
  <c r="G44" i="32"/>
  <c r="N85" i="24"/>
  <c r="H29" i="31"/>
  <c r="I108" i="32"/>
  <c r="AD85" i="24"/>
  <c r="H45" i="31"/>
  <c r="D204" i="32"/>
  <c r="AT85" i="24"/>
  <c r="H61" i="31"/>
  <c r="F268" i="32"/>
  <c r="BJ85" i="24"/>
  <c r="H77" i="31"/>
  <c r="H332" i="32"/>
  <c r="BZ85" i="24"/>
  <c r="M43" i="31"/>
  <c r="I177" i="32"/>
  <c r="M4" i="31"/>
  <c r="E17" i="32"/>
  <c r="M28" i="31"/>
  <c r="H113" i="32"/>
  <c r="M52" i="31"/>
  <c r="D241" i="32"/>
  <c r="M60" i="31"/>
  <c r="E273" i="32"/>
  <c r="M68" i="31"/>
  <c r="F305" i="32"/>
  <c r="W85" i="24"/>
  <c r="I277" i="32"/>
  <c r="C77" i="15"/>
  <c r="G77" i="15" s="1"/>
  <c r="C638" i="24"/>
  <c r="I378" i="32"/>
  <c r="K612" i="24"/>
  <c r="H19" i="31"/>
  <c r="F76" i="32"/>
  <c r="H67" i="31"/>
  <c r="E300" i="32"/>
  <c r="AE47" i="31"/>
  <c r="F218" i="32"/>
  <c r="M8" i="31"/>
  <c r="I17" i="32"/>
  <c r="M16" i="31"/>
  <c r="C81" i="32"/>
  <c r="M24" i="31"/>
  <c r="D113" i="32"/>
  <c r="M32" i="31"/>
  <c r="E145" i="32"/>
  <c r="M40" i="31"/>
  <c r="F177" i="32"/>
  <c r="M48" i="31"/>
  <c r="G209" i="32"/>
  <c r="M56" i="31"/>
  <c r="H241" i="32"/>
  <c r="M64" i="31"/>
  <c r="I273" i="32"/>
  <c r="M72" i="31"/>
  <c r="C337" i="32"/>
  <c r="M80" i="31"/>
  <c r="D369" i="32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AZ85" i="24"/>
  <c r="AE8" i="31"/>
  <c r="I26" i="32"/>
  <c r="AE16" i="31"/>
  <c r="C90" i="32"/>
  <c r="AE24" i="31"/>
  <c r="D122" i="32"/>
  <c r="AE32" i="31"/>
  <c r="E154" i="32"/>
  <c r="AE40" i="31"/>
  <c r="F186" i="32"/>
  <c r="AA2" i="28"/>
  <c r="D9" i="6"/>
  <c r="C220" i="24"/>
  <c r="D16" i="6" s="1"/>
  <c r="AT2" i="28"/>
  <c r="E15" i="6"/>
  <c r="D220" i="24"/>
  <c r="E16" i="6" s="1"/>
  <c r="BC2" i="30"/>
  <c r="C84" i="8"/>
  <c r="L612" i="24"/>
  <c r="H35" i="31"/>
  <c r="H140" i="32"/>
  <c r="M9" i="31"/>
  <c r="C49" i="32"/>
  <c r="M45" i="31"/>
  <c r="D209" i="32"/>
  <c r="O9" i="31"/>
  <c r="C51" i="32"/>
  <c r="O41" i="31"/>
  <c r="G179" i="32"/>
  <c r="E371" i="32"/>
  <c r="C615" i="24"/>
  <c r="T85" i="24"/>
  <c r="C85" i="15"/>
  <c r="G85" i="15" s="1"/>
  <c r="C341" i="32"/>
  <c r="AE31" i="31"/>
  <c r="D154" i="32"/>
  <c r="H76" i="31"/>
  <c r="G332" i="32"/>
  <c r="H78" i="31"/>
  <c r="I332" i="32"/>
  <c r="CA85" i="24"/>
  <c r="C67" i="24"/>
  <c r="C85" i="24" s="1"/>
  <c r="M11" i="31"/>
  <c r="E49" i="32"/>
  <c r="M20" i="31"/>
  <c r="G81" i="32"/>
  <c r="M29" i="31"/>
  <c r="I113" i="32"/>
  <c r="M75" i="31"/>
  <c r="F33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AK2" i="30"/>
  <c r="C60" i="8"/>
  <c r="D324" i="24"/>
  <c r="C85" i="8"/>
  <c r="D341" i="24"/>
  <c r="C87" i="8" s="1"/>
  <c r="H3" i="31"/>
  <c r="D12" i="32"/>
  <c r="H43" i="31"/>
  <c r="I172" i="32"/>
  <c r="M18" i="31"/>
  <c r="E81" i="32"/>
  <c r="M73" i="31"/>
  <c r="D337" i="32"/>
  <c r="O65" i="31"/>
  <c r="C307" i="32"/>
  <c r="H14" i="31"/>
  <c r="H44" i="32"/>
  <c r="H54" i="31"/>
  <c r="F236" i="32"/>
  <c r="BC85" i="24"/>
  <c r="M49" i="31"/>
  <c r="H209" i="32"/>
  <c r="O12" i="31"/>
  <c r="F51" i="32"/>
  <c r="O60" i="31"/>
  <c r="E275" i="32"/>
  <c r="AE10" i="31"/>
  <c r="D58" i="32"/>
  <c r="AE42" i="31"/>
  <c r="H186" i="32"/>
  <c r="D22" i="7"/>
  <c r="D258" i="24"/>
  <c r="CP2" i="30"/>
  <c r="D416" i="24"/>
  <c r="G211" i="32"/>
  <c r="C236" i="32"/>
  <c r="H75" i="31"/>
  <c r="F332" i="32"/>
  <c r="H30" i="31"/>
  <c r="C140" i="32"/>
  <c r="AE85" i="24"/>
  <c r="H62" i="31"/>
  <c r="G268" i="32"/>
  <c r="BK85" i="24"/>
  <c r="M12" i="31"/>
  <c r="F49" i="32"/>
  <c r="M76" i="31"/>
  <c r="G337" i="32"/>
  <c r="O28" i="31"/>
  <c r="H115" i="32"/>
  <c r="O44" i="31"/>
  <c r="C211" i="32"/>
  <c r="O68" i="31"/>
  <c r="F307" i="32"/>
  <c r="AR85" i="24"/>
  <c r="AE26" i="31"/>
  <c r="F122" i="32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O85" i="24"/>
  <c r="BY85" i="24"/>
  <c r="E220" i="24"/>
  <c r="C83" i="32"/>
  <c r="M36" i="31"/>
  <c r="I145" i="32"/>
  <c r="O49" i="31"/>
  <c r="H211" i="32"/>
  <c r="H6" i="31"/>
  <c r="G12" i="32"/>
  <c r="H38" i="31"/>
  <c r="D172" i="32"/>
  <c r="AM85" i="24"/>
  <c r="H70" i="31"/>
  <c r="H300" i="32"/>
  <c r="BS85" i="24"/>
  <c r="M3" i="31"/>
  <c r="D17" i="32"/>
  <c r="M67" i="31"/>
  <c r="E305" i="32"/>
  <c r="O20" i="31"/>
  <c r="G83" i="32"/>
  <c r="O52" i="31"/>
  <c r="D243" i="32"/>
  <c r="AE18" i="31"/>
  <c r="E90" i="32"/>
  <c r="H8" i="31"/>
  <c r="I12" i="32"/>
  <c r="H24" i="31"/>
  <c r="D108" i="32"/>
  <c r="H40" i="31"/>
  <c r="F172" i="32"/>
  <c r="H56" i="31"/>
  <c r="H236" i="32"/>
  <c r="H72" i="31"/>
  <c r="C332" i="32"/>
  <c r="M51" i="31"/>
  <c r="C241" i="32"/>
  <c r="M69" i="31"/>
  <c r="G305" i="32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G85" i="24"/>
  <c r="AJ85" i="24"/>
  <c r="BP85" i="24"/>
  <c r="C16" i="8"/>
  <c r="D308" i="24"/>
  <c r="CE48" i="24"/>
  <c r="H27" i="31"/>
  <c r="G108" i="32"/>
  <c r="H59" i="31"/>
  <c r="D268" i="32"/>
  <c r="M27" i="31"/>
  <c r="G113" i="32"/>
  <c r="M54" i="31"/>
  <c r="F241" i="32"/>
  <c r="O17" i="31"/>
  <c r="D83" i="32"/>
  <c r="O33" i="31"/>
  <c r="F147" i="32"/>
  <c r="O73" i="31"/>
  <c r="D339" i="32"/>
  <c r="F181" i="32"/>
  <c r="C53" i="15"/>
  <c r="G53" i="15" s="1"/>
  <c r="C706" i="24"/>
  <c r="AE7" i="31"/>
  <c r="H26" i="32"/>
  <c r="AE15" i="31"/>
  <c r="I58" i="32"/>
  <c r="AE23" i="31"/>
  <c r="C122" i="32"/>
  <c r="AE39" i="31"/>
  <c r="E186" i="32"/>
  <c r="G28" i="4"/>
  <c r="E28" i="4"/>
  <c r="E233" i="24"/>
  <c r="F32" i="6" s="1"/>
  <c r="H22" i="31"/>
  <c r="I76" i="32"/>
  <c r="H46" i="31"/>
  <c r="E204" i="32"/>
  <c r="AU85" i="24"/>
  <c r="H79" i="31"/>
  <c r="C364" i="32"/>
  <c r="CB85" i="24"/>
  <c r="M21" i="31"/>
  <c r="H81" i="32"/>
  <c r="O4" i="31"/>
  <c r="E19" i="32"/>
  <c r="O36" i="31"/>
  <c r="I147" i="32"/>
  <c r="O76" i="31"/>
  <c r="G339" i="32"/>
  <c r="AE2" i="31"/>
  <c r="C26" i="32"/>
  <c r="AE34" i="31"/>
  <c r="G154" i="32"/>
  <c r="AL2" i="30"/>
  <c r="C61" i="8"/>
  <c r="BK2" i="30"/>
  <c r="I362" i="32"/>
  <c r="H16" i="31"/>
  <c r="C76" i="32"/>
  <c r="H32" i="31"/>
  <c r="E140" i="32"/>
  <c r="H48" i="31"/>
  <c r="G204" i="32"/>
  <c r="H64" i="31"/>
  <c r="I268" i="32"/>
  <c r="M5" i="31"/>
  <c r="F17" i="32"/>
  <c r="I85" i="24"/>
  <c r="AW85" i="24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I382" i="32"/>
  <c r="I612" i="24"/>
  <c r="G10" i="4"/>
  <c r="H11" i="31"/>
  <c r="E44" i="32"/>
  <c r="O25" i="31"/>
  <c r="E115" i="32"/>
  <c r="O57" i="31"/>
  <c r="I243" i="32"/>
  <c r="I366" i="32"/>
  <c r="F612" i="24"/>
  <c r="M17" i="31"/>
  <c r="D81" i="32"/>
  <c r="M26" i="31"/>
  <c r="F113" i="32"/>
  <c r="M35" i="31"/>
  <c r="H145" i="32"/>
  <c r="M44" i="31"/>
  <c r="C209" i="32"/>
  <c r="M53" i="31"/>
  <c r="E241" i="32"/>
  <c r="O8" i="31"/>
  <c r="I19" i="32"/>
  <c r="O24" i="31"/>
  <c r="D115" i="32"/>
  <c r="O32" i="31"/>
  <c r="E147" i="32"/>
  <c r="O40" i="31"/>
  <c r="F179" i="32"/>
  <c r="O56" i="31"/>
  <c r="H243" i="32"/>
  <c r="O64" i="31"/>
  <c r="I275" i="32"/>
  <c r="O72" i="31"/>
  <c r="C339" i="32"/>
  <c r="O80" i="31"/>
  <c r="D371" i="32"/>
  <c r="AB85" i="24"/>
  <c r="BH85" i="24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I383" i="32"/>
  <c r="J612" i="24"/>
  <c r="BP2" i="30"/>
  <c r="C119" i="8"/>
  <c r="C641" i="24"/>
  <c r="AY2" i="30"/>
  <c r="C80" i="8"/>
  <c r="C113" i="8"/>
  <c r="D12" i="33"/>
  <c r="AS2" i="28"/>
  <c r="D15" i="6"/>
  <c r="AZ2" i="30"/>
  <c r="C81" i="8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AH51" i="31"/>
  <c r="C253" i="32"/>
  <c r="G19" i="4"/>
  <c r="E19" i="4"/>
  <c r="AM2" i="30"/>
  <c r="C62" i="8"/>
  <c r="DF2" i="30"/>
  <c r="C170" i="8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E91" i="24"/>
  <c r="CF2" i="28"/>
  <c r="D5" i="7"/>
  <c r="AN2" i="30"/>
  <c r="C63" i="8"/>
  <c r="E380" i="24"/>
  <c r="F420" i="24"/>
  <c r="BN2" i="30" l="1"/>
  <c r="C117" i="8"/>
  <c r="D366" i="24"/>
  <c r="C636" i="34"/>
  <c r="B72" i="15"/>
  <c r="C669" i="34"/>
  <c r="B16" i="15"/>
  <c r="H16" i="15" s="1"/>
  <c r="I16" i="15" s="1"/>
  <c r="B80" i="15"/>
  <c r="C621" i="34"/>
  <c r="C695" i="34"/>
  <c r="B42" i="15"/>
  <c r="C684" i="34"/>
  <c r="B31" i="15"/>
  <c r="C708" i="34"/>
  <c r="B55" i="15"/>
  <c r="C677" i="34"/>
  <c r="B24" i="15"/>
  <c r="C644" i="34"/>
  <c r="B88" i="15"/>
  <c r="C703" i="34"/>
  <c r="B50" i="15"/>
  <c r="C702" i="34"/>
  <c r="B49" i="15"/>
  <c r="C713" i="34"/>
  <c r="B60" i="15"/>
  <c r="C618" i="34"/>
  <c r="B71" i="15"/>
  <c r="C678" i="34"/>
  <c r="B25" i="15"/>
  <c r="C645" i="34"/>
  <c r="B89" i="15"/>
  <c r="C632" i="34"/>
  <c r="B66" i="15"/>
  <c r="C685" i="34"/>
  <c r="B32" i="15"/>
  <c r="B81" i="15"/>
  <c r="C623" i="34"/>
  <c r="C627" i="34"/>
  <c r="B79" i="15"/>
  <c r="C701" i="34"/>
  <c r="B48" i="15"/>
  <c r="C686" i="34"/>
  <c r="B33" i="15"/>
  <c r="C628" i="34"/>
  <c r="B64" i="15"/>
  <c r="C625" i="34"/>
  <c r="B63" i="15"/>
  <c r="C670" i="34"/>
  <c r="B17" i="15"/>
  <c r="C711" i="34"/>
  <c r="B58" i="15"/>
  <c r="C676" i="34"/>
  <c r="B23" i="15"/>
  <c r="C643" i="34"/>
  <c r="B87" i="15"/>
  <c r="C709" i="34"/>
  <c r="B56" i="15"/>
  <c r="C694" i="34"/>
  <c r="B41" i="15"/>
  <c r="D615" i="34"/>
  <c r="C671" i="34"/>
  <c r="B18" i="15"/>
  <c r="C630" i="34"/>
  <c r="B65" i="15"/>
  <c r="C710" i="34"/>
  <c r="B57" i="15"/>
  <c r="B47" i="15"/>
  <c r="B40" i="15"/>
  <c r="C67" i="34"/>
  <c r="CE67" i="34" s="1"/>
  <c r="CE52" i="34"/>
  <c r="B82" i="15"/>
  <c r="C626" i="34"/>
  <c r="B34" i="15"/>
  <c r="F34" i="15" s="1"/>
  <c r="B39" i="15"/>
  <c r="H39" i="15" s="1"/>
  <c r="I39" i="15" s="1"/>
  <c r="B74" i="15"/>
  <c r="C617" i="34"/>
  <c r="C634" i="34"/>
  <c r="B73" i="15"/>
  <c r="CE62" i="34"/>
  <c r="C85" i="34"/>
  <c r="F26" i="15"/>
  <c r="B28" i="15"/>
  <c r="F39" i="15"/>
  <c r="C15" i="15"/>
  <c r="G15" i="15" s="1"/>
  <c r="C668" i="24"/>
  <c r="C21" i="32"/>
  <c r="CE85" i="24"/>
  <c r="B22" i="15"/>
  <c r="C68" i="8"/>
  <c r="D350" i="24"/>
  <c r="H277" i="32"/>
  <c r="C76" i="15"/>
  <c r="G76" i="15" s="1"/>
  <c r="C637" i="24"/>
  <c r="G309" i="32"/>
  <c r="C82" i="15"/>
  <c r="G82" i="15" s="1"/>
  <c r="C626" i="24"/>
  <c r="F53" i="32"/>
  <c r="C25" i="15"/>
  <c r="G25" i="15" s="1"/>
  <c r="C678" i="24"/>
  <c r="G21" i="32"/>
  <c r="C19" i="15"/>
  <c r="G19" i="15" s="1"/>
  <c r="C672" i="24"/>
  <c r="C167" i="8"/>
  <c r="D26" i="33"/>
  <c r="E414" i="24"/>
  <c r="I117" i="32"/>
  <c r="C42" i="15"/>
  <c r="G42" i="15" s="1"/>
  <c r="C695" i="24"/>
  <c r="I53" i="32"/>
  <c r="C28" i="15"/>
  <c r="G28" i="15" s="1"/>
  <c r="C681" i="24"/>
  <c r="H85" i="32"/>
  <c r="C34" i="15"/>
  <c r="G34" i="15" s="1"/>
  <c r="C687" i="24"/>
  <c r="C213" i="32"/>
  <c r="C57" i="15"/>
  <c r="G57" i="15" s="1"/>
  <c r="C710" i="24"/>
  <c r="D615" i="24"/>
  <c r="F117" i="32"/>
  <c r="C39" i="15"/>
  <c r="G39" i="15" s="1"/>
  <c r="C692" i="24"/>
  <c r="D85" i="32"/>
  <c r="C30" i="15"/>
  <c r="G30" i="15" s="1"/>
  <c r="C683" i="24"/>
  <c r="I309" i="32"/>
  <c r="C84" i="15"/>
  <c r="G84" i="15" s="1"/>
  <c r="C640" i="24"/>
  <c r="B37" i="15"/>
  <c r="B29" i="15"/>
  <c r="B78" i="15"/>
  <c r="B85" i="15"/>
  <c r="B21" i="15"/>
  <c r="B67" i="15"/>
  <c r="B70" i="15"/>
  <c r="H64" i="15"/>
  <c r="I64" i="15" s="1"/>
  <c r="F64" i="15"/>
  <c r="C149" i="32"/>
  <c r="C696" i="24"/>
  <c r="C43" i="15"/>
  <c r="G43" i="15" s="1"/>
  <c r="E21" i="32"/>
  <c r="C17" i="15"/>
  <c r="G17" i="15" s="1"/>
  <c r="C670" i="24"/>
  <c r="H213" i="32"/>
  <c r="C62" i="15"/>
  <c r="C616" i="24"/>
  <c r="C65" i="15"/>
  <c r="G65" i="15" s="1"/>
  <c r="D245" i="32"/>
  <c r="C630" i="24"/>
  <c r="D309" i="32"/>
  <c r="C79" i="15"/>
  <c r="G79" i="15" s="1"/>
  <c r="C627" i="24"/>
  <c r="C117" i="32"/>
  <c r="C36" i="15"/>
  <c r="G36" i="15" s="1"/>
  <c r="C689" i="24"/>
  <c r="F16" i="6"/>
  <c r="F234" i="24"/>
  <c r="M2" i="31"/>
  <c r="C17" i="32"/>
  <c r="CE67" i="24"/>
  <c r="I369" i="32" s="1"/>
  <c r="I85" i="32"/>
  <c r="C35" i="15"/>
  <c r="G35" i="15" s="1"/>
  <c r="C688" i="24"/>
  <c r="C74" i="15"/>
  <c r="G74" i="15" s="1"/>
  <c r="F277" i="32"/>
  <c r="C617" i="24"/>
  <c r="C53" i="32"/>
  <c r="C22" i="15"/>
  <c r="G22" i="15" s="1"/>
  <c r="C675" i="24"/>
  <c r="F213" i="32"/>
  <c r="C60" i="15"/>
  <c r="C713" i="24"/>
  <c r="E245" i="32"/>
  <c r="C66" i="15"/>
  <c r="G66" i="15" s="1"/>
  <c r="C632" i="24"/>
  <c r="H181" i="32"/>
  <c r="C55" i="15"/>
  <c r="G55" i="15" s="1"/>
  <c r="C708" i="24"/>
  <c r="I245" i="32"/>
  <c r="C70" i="15"/>
  <c r="G70" i="15" s="1"/>
  <c r="C629" i="24"/>
  <c r="B86" i="15"/>
  <c r="C373" i="32"/>
  <c r="C92" i="15"/>
  <c r="G92" i="15" s="1"/>
  <c r="C622" i="24"/>
  <c r="B75" i="15"/>
  <c r="B77" i="15"/>
  <c r="B59" i="15"/>
  <c r="B62" i="15"/>
  <c r="B54" i="15"/>
  <c r="G213" i="32"/>
  <c r="C61" i="15"/>
  <c r="C631" i="24"/>
  <c r="G341" i="32"/>
  <c r="C89" i="15"/>
  <c r="G89" i="15" s="1"/>
  <c r="C645" i="24"/>
  <c r="I181" i="32"/>
  <c r="C56" i="15"/>
  <c r="G56" i="15" s="1"/>
  <c r="C709" i="24"/>
  <c r="I341" i="32"/>
  <c r="C91" i="15"/>
  <c r="G91" i="15" s="1"/>
  <c r="C647" i="24"/>
  <c r="G53" i="32"/>
  <c r="C26" i="15"/>
  <c r="G26" i="15" s="1"/>
  <c r="C679" i="24"/>
  <c r="F21" i="32"/>
  <c r="C18" i="15"/>
  <c r="G18" i="15" s="1"/>
  <c r="C671" i="24"/>
  <c r="G85" i="32"/>
  <c r="C33" i="15"/>
  <c r="G33" i="15" s="1"/>
  <c r="C686" i="24"/>
  <c r="C31" i="15"/>
  <c r="G31" i="15" s="1"/>
  <c r="C684" i="24"/>
  <c r="E85" i="32"/>
  <c r="G245" i="32"/>
  <c r="C68" i="15"/>
  <c r="G68" i="15" s="1"/>
  <c r="C624" i="24"/>
  <c r="H341" i="32"/>
  <c r="C90" i="15"/>
  <c r="G90" i="15" s="1"/>
  <c r="C646" i="24"/>
  <c r="C63" i="15"/>
  <c r="G63" i="15" s="1"/>
  <c r="C625" i="24"/>
  <c r="I213" i="32"/>
  <c r="D341" i="32"/>
  <c r="C86" i="15"/>
  <c r="G86" i="15" s="1"/>
  <c r="C642" i="24"/>
  <c r="I381" i="32"/>
  <c r="G612" i="24"/>
  <c r="CF91" i="24"/>
  <c r="G117" i="32"/>
  <c r="C40" i="15"/>
  <c r="G40" i="15" s="1"/>
  <c r="C693" i="24"/>
  <c r="B68" i="15"/>
  <c r="E213" i="32"/>
  <c r="C712" i="24"/>
  <c r="C59" i="15"/>
  <c r="G59" i="15" s="1"/>
  <c r="B69" i="15"/>
  <c r="B15" i="15"/>
  <c r="B51" i="15"/>
  <c r="B36" i="15"/>
  <c r="B61" i="15"/>
  <c r="B76" i="15"/>
  <c r="B43" i="15"/>
  <c r="B46" i="15"/>
  <c r="I21" i="32"/>
  <c r="C674" i="24"/>
  <c r="C21" i="15"/>
  <c r="G21" i="15" s="1"/>
  <c r="C50" i="8"/>
  <c r="F309" i="24"/>
  <c r="D352" i="24"/>
  <c r="C103" i="8" s="1"/>
  <c r="H53" i="32"/>
  <c r="C27" i="15"/>
  <c r="G27" i="15" s="1"/>
  <c r="C680" i="24"/>
  <c r="F85" i="32"/>
  <c r="C32" i="15"/>
  <c r="G32" i="15" s="1"/>
  <c r="C685" i="24"/>
  <c r="C245" i="32"/>
  <c r="C64" i="15"/>
  <c r="G64" i="15" s="1"/>
  <c r="C628" i="24"/>
  <c r="G181" i="32"/>
  <c r="C54" i="15"/>
  <c r="G54" i="15" s="1"/>
  <c r="C707" i="24"/>
  <c r="H117" i="32"/>
  <c r="C41" i="15"/>
  <c r="G41" i="15" s="1"/>
  <c r="C694" i="24"/>
  <c r="C277" i="32"/>
  <c r="C71" i="15"/>
  <c r="G71" i="15" s="1"/>
  <c r="C618" i="24"/>
  <c r="H21" i="32"/>
  <c r="C20" i="15"/>
  <c r="G20" i="15" s="1"/>
  <c r="C673" i="24"/>
  <c r="B20" i="15"/>
  <c r="B19" i="15"/>
  <c r="D181" i="32"/>
  <c r="C704" i="24"/>
  <c r="C51" i="15"/>
  <c r="G51" i="15" s="1"/>
  <c r="B35" i="15"/>
  <c r="D213" i="32"/>
  <c r="C58" i="15"/>
  <c r="G58" i="15" s="1"/>
  <c r="C711" i="24"/>
  <c r="D373" i="32"/>
  <c r="C93" i="15"/>
  <c r="G93" i="15" s="1"/>
  <c r="C620" i="24"/>
  <c r="D149" i="32"/>
  <c r="C44" i="15"/>
  <c r="G44" i="15" s="1"/>
  <c r="C697" i="24"/>
  <c r="C181" i="32"/>
  <c r="C50" i="15"/>
  <c r="G50" i="15" s="1"/>
  <c r="C703" i="24"/>
  <c r="E277" i="32"/>
  <c r="C73" i="15"/>
  <c r="G73" i="15" s="1"/>
  <c r="C634" i="24"/>
  <c r="G149" i="32"/>
  <c r="C47" i="15"/>
  <c r="G47" i="15" s="1"/>
  <c r="C700" i="24"/>
  <c r="F149" i="32"/>
  <c r="C46" i="15"/>
  <c r="G46" i="15" s="1"/>
  <c r="C699" i="24"/>
  <c r="B83" i="15"/>
  <c r="D277" i="32"/>
  <c r="C72" i="15"/>
  <c r="G72" i="15" s="1"/>
  <c r="C636" i="24"/>
  <c r="H149" i="32"/>
  <c r="C48" i="15"/>
  <c r="G48" i="15" s="1"/>
  <c r="C701" i="24"/>
  <c r="E117" i="32"/>
  <c r="C38" i="15"/>
  <c r="G38" i="15" s="1"/>
  <c r="C691" i="24"/>
  <c r="B93" i="15"/>
  <c r="B84" i="15"/>
  <c r="B53" i="15"/>
  <c r="B44" i="15"/>
  <c r="B38" i="15"/>
  <c r="H309" i="32"/>
  <c r="C83" i="15"/>
  <c r="G83" i="15" s="1"/>
  <c r="C639" i="24"/>
  <c r="B52" i="15"/>
  <c r="B45" i="15"/>
  <c r="B91" i="15"/>
  <c r="B27" i="15"/>
  <c r="B30" i="15"/>
  <c r="E373" i="32"/>
  <c r="C94" i="15"/>
  <c r="G94" i="15" s="1"/>
  <c r="E309" i="32"/>
  <c r="C80" i="15"/>
  <c r="G80" i="15" s="1"/>
  <c r="C621" i="24"/>
  <c r="G277" i="32"/>
  <c r="C75" i="15"/>
  <c r="G75" i="15" s="1"/>
  <c r="C635" i="24"/>
  <c r="F245" i="32"/>
  <c r="C67" i="15"/>
  <c r="G67" i="15" s="1"/>
  <c r="C633" i="24"/>
  <c r="I149" i="32"/>
  <c r="C49" i="15"/>
  <c r="G49" i="15" s="1"/>
  <c r="C702" i="24"/>
  <c r="C309" i="32"/>
  <c r="C619" i="24"/>
  <c r="C78" i="15"/>
  <c r="G78" i="15" s="1"/>
  <c r="F309" i="32"/>
  <c r="C81" i="15"/>
  <c r="G81" i="15" s="1"/>
  <c r="C623" i="24"/>
  <c r="E341" i="32"/>
  <c r="C87" i="15"/>
  <c r="G87" i="15" s="1"/>
  <c r="C643" i="24"/>
  <c r="D53" i="32"/>
  <c r="C23" i="15"/>
  <c r="G23" i="15" s="1"/>
  <c r="C676" i="24"/>
  <c r="E181" i="32"/>
  <c r="C52" i="15"/>
  <c r="G52" i="15" s="1"/>
  <c r="C705" i="24"/>
  <c r="C715" i="24" l="1"/>
  <c r="C648" i="34"/>
  <c r="M716" i="34" s="1"/>
  <c r="H65" i="15"/>
  <c r="I65" i="15" s="1"/>
  <c r="C120" i="8"/>
  <c r="D367" i="24"/>
  <c r="H58" i="15"/>
  <c r="I58" i="15" s="1"/>
  <c r="F58" i="15"/>
  <c r="H42" i="15"/>
  <c r="I42" i="15" s="1"/>
  <c r="F42" i="15"/>
  <c r="F63" i="15"/>
  <c r="H63" i="15" s="1"/>
  <c r="I63" i="15" s="1"/>
  <c r="F33" i="15"/>
  <c r="H33" i="15" s="1"/>
  <c r="I33" i="15" s="1"/>
  <c r="F16" i="15"/>
  <c r="H56" i="15"/>
  <c r="I56" i="15" s="1"/>
  <c r="F56" i="15"/>
  <c r="F17" i="15"/>
  <c r="F48" i="15"/>
  <c r="H48" i="15" s="1"/>
  <c r="I48" i="15" s="1"/>
  <c r="F24" i="15"/>
  <c r="H24" i="15"/>
  <c r="I24" i="15" s="1"/>
  <c r="H41" i="15"/>
  <c r="I41" i="15" s="1"/>
  <c r="F41" i="15"/>
  <c r="H18" i="15"/>
  <c r="I18" i="15" s="1"/>
  <c r="F18" i="15"/>
  <c r="H47" i="15"/>
  <c r="I47" i="15" s="1"/>
  <c r="F47" i="15"/>
  <c r="D710" i="34"/>
  <c r="D702" i="34"/>
  <c r="D694" i="34"/>
  <c r="D686" i="34"/>
  <c r="D678" i="34"/>
  <c r="D670" i="34"/>
  <c r="D647" i="34"/>
  <c r="D646" i="34"/>
  <c r="D645" i="34"/>
  <c r="D716" i="34"/>
  <c r="D707" i="34"/>
  <c r="D699" i="34"/>
  <c r="D691" i="34"/>
  <c r="D683" i="34"/>
  <c r="D675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712" i="34"/>
  <c r="D704" i="34"/>
  <c r="D696" i="34"/>
  <c r="D688" i="34"/>
  <c r="D680" i="34"/>
  <c r="D672" i="34"/>
  <c r="D709" i="34"/>
  <c r="D701" i="34"/>
  <c r="D693" i="34"/>
  <c r="D685" i="34"/>
  <c r="D677" i="34"/>
  <c r="D669" i="34"/>
  <c r="D706" i="34"/>
  <c r="D698" i="34"/>
  <c r="D690" i="34"/>
  <c r="D682" i="34"/>
  <c r="D674" i="34"/>
  <c r="D711" i="34"/>
  <c r="D703" i="34"/>
  <c r="D695" i="34"/>
  <c r="D687" i="34"/>
  <c r="D679" i="34"/>
  <c r="D671" i="34"/>
  <c r="D708" i="34"/>
  <c r="D700" i="34"/>
  <c r="D692" i="34"/>
  <c r="D684" i="34"/>
  <c r="D676" i="34"/>
  <c r="D668" i="34"/>
  <c r="D627" i="34"/>
  <c r="D681" i="34"/>
  <c r="D616" i="34"/>
  <c r="D697" i="34"/>
  <c r="D623" i="34"/>
  <c r="D619" i="34"/>
  <c r="D673" i="34"/>
  <c r="D625" i="34"/>
  <c r="D713" i="34"/>
  <c r="D628" i="34"/>
  <c r="D622" i="34"/>
  <c r="D618" i="34"/>
  <c r="D689" i="34"/>
  <c r="D629" i="34"/>
  <c r="D626" i="34"/>
  <c r="D621" i="34"/>
  <c r="D617" i="34"/>
  <c r="D620" i="34"/>
  <c r="D705" i="34"/>
  <c r="D624" i="34"/>
  <c r="C668" i="34"/>
  <c r="C715" i="34" s="1"/>
  <c r="CE85" i="34"/>
  <c r="C716" i="34" s="1"/>
  <c r="H49" i="15"/>
  <c r="I49" i="15" s="1"/>
  <c r="F49" i="15"/>
  <c r="H55" i="15"/>
  <c r="I55" i="15" s="1"/>
  <c r="F55" i="15"/>
  <c r="H34" i="15"/>
  <c r="I34" i="15" s="1"/>
  <c r="H57" i="15"/>
  <c r="I57" i="15" s="1"/>
  <c r="F57" i="15"/>
  <c r="F23" i="15"/>
  <c r="H23" i="15"/>
  <c r="I23" i="15" s="1"/>
  <c r="H25" i="15"/>
  <c r="I25" i="15" s="1"/>
  <c r="F25" i="15"/>
  <c r="H50" i="15"/>
  <c r="I50" i="15" s="1"/>
  <c r="F50" i="15"/>
  <c r="H28" i="15"/>
  <c r="I28" i="15" s="1"/>
  <c r="F28" i="15"/>
  <c r="F53" i="15"/>
  <c r="H35" i="15"/>
  <c r="I35" i="15" s="1"/>
  <c r="F35" i="15"/>
  <c r="F15" i="15"/>
  <c r="H15" i="15"/>
  <c r="I15" i="15" s="1"/>
  <c r="H59" i="15"/>
  <c r="I59" i="15" s="1"/>
  <c r="F59" i="15"/>
  <c r="D709" i="24"/>
  <c r="D701" i="24"/>
  <c r="D693" i="24"/>
  <c r="D711" i="24"/>
  <c r="D703" i="24"/>
  <c r="D695" i="24"/>
  <c r="D687" i="24"/>
  <c r="D679" i="24"/>
  <c r="D671" i="24"/>
  <c r="D625" i="24"/>
  <c r="D716" i="24"/>
  <c r="D707" i="24"/>
  <c r="D699" i="24"/>
  <c r="D691" i="24"/>
  <c r="D683" i="24"/>
  <c r="D702" i="24"/>
  <c r="D688" i="24"/>
  <c r="D647" i="24"/>
  <c r="D638" i="24"/>
  <c r="D630" i="24"/>
  <c r="D627" i="24"/>
  <c r="D622" i="24"/>
  <c r="D710" i="24"/>
  <c r="D696" i="24"/>
  <c r="D689" i="24"/>
  <c r="D686" i="24"/>
  <c r="D685" i="24"/>
  <c r="D684" i="24"/>
  <c r="D677" i="24"/>
  <c r="D672" i="24"/>
  <c r="D639" i="24"/>
  <c r="D631" i="24"/>
  <c r="D617" i="24"/>
  <c r="D704" i="24"/>
  <c r="D697" i="24"/>
  <c r="D690" i="24"/>
  <c r="D682" i="24"/>
  <c r="D681" i="24"/>
  <c r="D676" i="24"/>
  <c r="D640" i="24"/>
  <c r="D632" i="24"/>
  <c r="D621" i="24"/>
  <c r="D713" i="24"/>
  <c r="D700" i="24"/>
  <c r="D643" i="24"/>
  <c r="D635" i="24"/>
  <c r="D708" i="24"/>
  <c r="D674" i="24"/>
  <c r="D669" i="24"/>
  <c r="D645" i="24"/>
  <c r="D644" i="24"/>
  <c r="D636" i="24"/>
  <c r="D629" i="24"/>
  <c r="D619" i="24"/>
  <c r="D694" i="24"/>
  <c r="D678" i="24"/>
  <c r="D628" i="24"/>
  <c r="D623" i="24"/>
  <c r="D706" i="24"/>
  <c r="D680" i="24"/>
  <c r="D626" i="24"/>
  <c r="D624" i="24"/>
  <c r="D712" i="24"/>
  <c r="D673" i="24"/>
  <c r="D646" i="24"/>
  <c r="D637" i="24"/>
  <c r="D634" i="24"/>
  <c r="D620" i="24"/>
  <c r="D616" i="24"/>
  <c r="D705" i="24"/>
  <c r="D675" i="24"/>
  <c r="D618" i="24"/>
  <c r="D668" i="24"/>
  <c r="D633" i="24"/>
  <c r="D698" i="24"/>
  <c r="D692" i="24"/>
  <c r="D670" i="24"/>
  <c r="D642" i="24"/>
  <c r="D641" i="24"/>
  <c r="H27" i="15"/>
  <c r="I27" i="15" s="1"/>
  <c r="F27" i="15"/>
  <c r="C648" i="24"/>
  <c r="M716" i="24" s="1"/>
  <c r="H52" i="15"/>
  <c r="I52" i="15" s="1"/>
  <c r="F52" i="15"/>
  <c r="H22" i="15"/>
  <c r="I22" i="15" s="1"/>
  <c r="F22" i="15"/>
  <c r="H30" i="15"/>
  <c r="I30" i="15" s="1"/>
  <c r="F30" i="15"/>
  <c r="F69" i="15"/>
  <c r="H69" i="15" s="1"/>
  <c r="I69" i="15" s="1"/>
  <c r="H29" i="15"/>
  <c r="I29" i="15" s="1"/>
  <c r="F29" i="15"/>
  <c r="H36" i="15"/>
  <c r="I36" i="15" s="1"/>
  <c r="F36" i="15"/>
  <c r="H54" i="15"/>
  <c r="I54" i="15" s="1"/>
  <c r="F54" i="15"/>
  <c r="I373" i="32"/>
  <c r="C716" i="24"/>
  <c r="H46" i="15"/>
  <c r="I46" i="15" s="1"/>
  <c r="F46" i="15"/>
  <c r="F45" i="15"/>
  <c r="H45" i="15" s="1"/>
  <c r="I45" i="15" s="1"/>
  <c r="H19" i="15"/>
  <c r="I19" i="15" s="1"/>
  <c r="F19" i="15"/>
  <c r="H21" i="15"/>
  <c r="I21" i="15" s="1"/>
  <c r="F21" i="15"/>
  <c r="F37" i="15"/>
  <c r="H37" i="15" s="1"/>
  <c r="I37" i="15" s="1"/>
  <c r="H38" i="15"/>
  <c r="I38" i="15" s="1"/>
  <c r="F38" i="15"/>
  <c r="H44" i="15"/>
  <c r="I44" i="15" s="1"/>
  <c r="F44" i="15"/>
  <c r="F43" i="15"/>
  <c r="H43" i="15" s="1"/>
  <c r="I43" i="15" s="1"/>
  <c r="H51" i="15"/>
  <c r="I51" i="15" s="1"/>
  <c r="F51" i="15"/>
  <c r="E623" i="24"/>
  <c r="H20" i="15"/>
  <c r="I20" i="15" s="1"/>
  <c r="F20" i="15"/>
  <c r="H53" i="15" l="1"/>
  <c r="I53" i="15" s="1"/>
  <c r="H17" i="15"/>
  <c r="I17" i="15" s="1"/>
  <c r="C121" i="8"/>
  <c r="D384" i="24"/>
  <c r="D715" i="34"/>
  <c r="E623" i="34"/>
  <c r="E612" i="34"/>
  <c r="E716" i="24"/>
  <c r="D715" i="24"/>
  <c r="E612" i="24"/>
  <c r="E684" i="24" s="1"/>
  <c r="C138" i="8" l="1"/>
  <c r="D417" i="24"/>
  <c r="E716" i="34"/>
  <c r="E707" i="34"/>
  <c r="E699" i="34"/>
  <c r="E691" i="34"/>
  <c r="E683" i="34"/>
  <c r="E675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712" i="34"/>
  <c r="E704" i="34"/>
  <c r="E696" i="34"/>
  <c r="E688" i="34"/>
  <c r="E680" i="34"/>
  <c r="E672" i="34"/>
  <c r="E709" i="34"/>
  <c r="E701" i="34"/>
  <c r="E693" i="34"/>
  <c r="E685" i="34"/>
  <c r="E677" i="34"/>
  <c r="E669" i="34"/>
  <c r="E706" i="34"/>
  <c r="E698" i="34"/>
  <c r="E690" i="34"/>
  <c r="E682" i="34"/>
  <c r="E674" i="34"/>
  <c r="E711" i="34"/>
  <c r="E703" i="34"/>
  <c r="E695" i="34"/>
  <c r="E687" i="34"/>
  <c r="E679" i="34"/>
  <c r="E671" i="34"/>
  <c r="E708" i="34"/>
  <c r="E700" i="34"/>
  <c r="E692" i="34"/>
  <c r="E684" i="34"/>
  <c r="E676" i="34"/>
  <c r="E668" i="34"/>
  <c r="E713" i="34"/>
  <c r="E705" i="34"/>
  <c r="E697" i="34"/>
  <c r="E689" i="34"/>
  <c r="E681" i="34"/>
  <c r="E673" i="34"/>
  <c r="E686" i="34"/>
  <c r="E625" i="34"/>
  <c r="E702" i="34"/>
  <c r="E647" i="34"/>
  <c r="E628" i="34"/>
  <c r="E627" i="34"/>
  <c r="E678" i="34"/>
  <c r="E646" i="34"/>
  <c r="E645" i="34"/>
  <c r="E629" i="34"/>
  <c r="E626" i="34"/>
  <c r="E694" i="34"/>
  <c r="E624" i="34"/>
  <c r="E670" i="34"/>
  <c r="E710" i="34"/>
  <c r="E624" i="24"/>
  <c r="F624" i="24" s="1"/>
  <c r="E702" i="24"/>
  <c r="E679" i="24"/>
  <c r="E640" i="24"/>
  <c r="E710" i="24"/>
  <c r="E695" i="24"/>
  <c r="E627" i="24"/>
  <c r="E680" i="24"/>
  <c r="E693" i="24"/>
  <c r="E681" i="24"/>
  <c r="E672" i="24"/>
  <c r="E688" i="24"/>
  <c r="E692" i="24"/>
  <c r="E709" i="24"/>
  <c r="E639" i="24"/>
  <c r="E630" i="24"/>
  <c r="E643" i="24"/>
  <c r="E713" i="24"/>
  <c r="E629" i="24"/>
  <c r="E707" i="24"/>
  <c r="E682" i="24"/>
  <c r="E677" i="24"/>
  <c r="E696" i="24"/>
  <c r="E700" i="24"/>
  <c r="E642" i="24"/>
  <c r="E636" i="24"/>
  <c r="E704" i="24"/>
  <c r="E670" i="24"/>
  <c r="E638" i="24"/>
  <c r="E646" i="24"/>
  <c r="E644" i="24"/>
  <c r="E641" i="24"/>
  <c r="E697" i="24"/>
  <c r="E686" i="24"/>
  <c r="E712" i="24"/>
  <c r="E690" i="24"/>
  <c r="E675" i="24"/>
  <c r="E685" i="24"/>
  <c r="E635" i="24"/>
  <c r="E647" i="24"/>
  <c r="E673" i="24"/>
  <c r="E645" i="24"/>
  <c r="E671" i="24"/>
  <c r="E711" i="24"/>
  <c r="E687" i="24"/>
  <c r="E628" i="24"/>
  <c r="E698" i="24"/>
  <c r="E637" i="24"/>
  <c r="E683" i="24"/>
  <c r="E708" i="24"/>
  <c r="E626" i="24"/>
  <c r="E691" i="24"/>
  <c r="E678" i="24"/>
  <c r="E669" i="24"/>
  <c r="E705" i="24"/>
  <c r="E625" i="24"/>
  <c r="E689" i="24"/>
  <c r="E668" i="24"/>
  <c r="E706" i="24"/>
  <c r="E633" i="24"/>
  <c r="E699" i="24"/>
  <c r="E634" i="24"/>
  <c r="E694" i="24"/>
  <c r="E674" i="24"/>
  <c r="E632" i="24"/>
  <c r="E631" i="24"/>
  <c r="E703" i="24"/>
  <c r="E676" i="24"/>
  <c r="E701" i="24"/>
  <c r="F711" i="24" l="1"/>
  <c r="F703" i="24"/>
  <c r="F695" i="24"/>
  <c r="F713" i="24"/>
  <c r="F705" i="24"/>
  <c r="F697" i="24"/>
  <c r="F689" i="24"/>
  <c r="F681" i="24"/>
  <c r="F673" i="24"/>
  <c r="F709" i="24"/>
  <c r="F701" i="24"/>
  <c r="F693" i="24"/>
  <c r="F685" i="24"/>
  <c r="F696" i="24"/>
  <c r="F684" i="24"/>
  <c r="F683" i="24"/>
  <c r="F682" i="24"/>
  <c r="F640" i="24"/>
  <c r="F632" i="24"/>
  <c r="F704" i="24"/>
  <c r="F690" i="24"/>
  <c r="F676" i="24"/>
  <c r="F671" i="24"/>
  <c r="F641" i="24"/>
  <c r="F633" i="24"/>
  <c r="F712" i="24"/>
  <c r="F698" i="24"/>
  <c r="F691" i="24"/>
  <c r="F680" i="24"/>
  <c r="F675" i="24"/>
  <c r="F670" i="24"/>
  <c r="F642" i="24"/>
  <c r="F634" i="24"/>
  <c r="F628" i="24"/>
  <c r="F626" i="24"/>
  <c r="F716" i="24"/>
  <c r="F708" i="24"/>
  <c r="F694" i="24"/>
  <c r="F678" i="24"/>
  <c r="F646" i="24"/>
  <c r="F637" i="24"/>
  <c r="F702" i="24"/>
  <c r="F668" i="24"/>
  <c r="F647" i="24"/>
  <c r="F638" i="24"/>
  <c r="F630" i="24"/>
  <c r="F627" i="24"/>
  <c r="F706" i="24"/>
  <c r="F700" i="24"/>
  <c r="F669" i="24"/>
  <c r="F643" i="24"/>
  <c r="F631" i="24"/>
  <c r="F699" i="24"/>
  <c r="F687" i="24"/>
  <c r="F677" i="24"/>
  <c r="F692" i="24"/>
  <c r="F679" i="24"/>
  <c r="F645" i="24"/>
  <c r="F639" i="24"/>
  <c r="F636" i="24"/>
  <c r="F686" i="24"/>
  <c r="F672" i="24"/>
  <c r="F625" i="24"/>
  <c r="F688" i="24"/>
  <c r="F644" i="24"/>
  <c r="F710" i="24"/>
  <c r="F707" i="24"/>
  <c r="F674" i="24"/>
  <c r="F635" i="24"/>
  <c r="F629" i="24"/>
  <c r="C168" i="8"/>
  <c r="D421" i="24"/>
  <c r="E715" i="34"/>
  <c r="F624" i="34"/>
  <c r="E715" i="24"/>
  <c r="F715" i="24" l="1"/>
  <c r="G625" i="24"/>
  <c r="C172" i="8"/>
  <c r="D424" i="24"/>
  <c r="C177" i="8" s="1"/>
  <c r="F712" i="34"/>
  <c r="F704" i="34"/>
  <c r="F696" i="34"/>
  <c r="F688" i="34"/>
  <c r="F680" i="34"/>
  <c r="F672" i="34"/>
  <c r="F709" i="34"/>
  <c r="F701" i="34"/>
  <c r="F693" i="34"/>
  <c r="F685" i="34"/>
  <c r="F677" i="34"/>
  <c r="F669" i="34"/>
  <c r="F706" i="34"/>
  <c r="F698" i="34"/>
  <c r="F690" i="34"/>
  <c r="F682" i="34"/>
  <c r="F674" i="34"/>
  <c r="F711" i="34"/>
  <c r="F703" i="34"/>
  <c r="F695" i="34"/>
  <c r="F687" i="34"/>
  <c r="F679" i="34"/>
  <c r="F671" i="34"/>
  <c r="F708" i="34"/>
  <c r="F700" i="34"/>
  <c r="F692" i="34"/>
  <c r="F684" i="34"/>
  <c r="F676" i="34"/>
  <c r="F668" i="34"/>
  <c r="F713" i="34"/>
  <c r="F705" i="34"/>
  <c r="F697" i="34"/>
  <c r="F689" i="34"/>
  <c r="F681" i="34"/>
  <c r="F673" i="34"/>
  <c r="F710" i="34"/>
  <c r="F702" i="34"/>
  <c r="F694" i="34"/>
  <c r="F686" i="34"/>
  <c r="F678" i="34"/>
  <c r="F670" i="34"/>
  <c r="F647" i="34"/>
  <c r="F646" i="34"/>
  <c r="F645" i="34"/>
  <c r="F629" i="34"/>
  <c r="F716" i="34"/>
  <c r="F641" i="34"/>
  <c r="F633" i="34"/>
  <c r="F625" i="34"/>
  <c r="F642" i="34"/>
  <c r="F691" i="34"/>
  <c r="F640" i="34"/>
  <c r="F632" i="34"/>
  <c r="F628" i="34"/>
  <c r="F675" i="34"/>
  <c r="F639" i="34"/>
  <c r="F631" i="34"/>
  <c r="F707" i="34"/>
  <c r="F638" i="34"/>
  <c r="F630" i="34"/>
  <c r="F626" i="34"/>
  <c r="F683" i="34"/>
  <c r="F637" i="34"/>
  <c r="F644" i="34"/>
  <c r="F636" i="34"/>
  <c r="F634" i="34"/>
  <c r="F699" i="34"/>
  <c r="F643" i="34"/>
  <c r="F635" i="34"/>
  <c r="F627" i="34"/>
  <c r="G708" i="24" l="1"/>
  <c r="G700" i="24"/>
  <c r="G692" i="24"/>
  <c r="G710" i="24"/>
  <c r="G702" i="24"/>
  <c r="G694" i="24"/>
  <c r="G686" i="24"/>
  <c r="G678" i="24"/>
  <c r="G670" i="24"/>
  <c r="G647" i="24"/>
  <c r="G646" i="24"/>
  <c r="G645" i="24"/>
  <c r="G629" i="24"/>
  <c r="G626" i="24"/>
  <c r="G706" i="24"/>
  <c r="G698" i="24"/>
  <c r="G690" i="24"/>
  <c r="G682" i="24"/>
  <c r="G711" i="24"/>
  <c r="G704" i="24"/>
  <c r="G697" i="24"/>
  <c r="G681" i="24"/>
  <c r="G676" i="24"/>
  <c r="G671" i="24"/>
  <c r="G641" i="24"/>
  <c r="G633" i="24"/>
  <c r="G712" i="24"/>
  <c r="G705" i="24"/>
  <c r="G691" i="24"/>
  <c r="G680" i="24"/>
  <c r="G675" i="24"/>
  <c r="G642" i="24"/>
  <c r="G634" i="24"/>
  <c r="G628" i="24"/>
  <c r="G713" i="24"/>
  <c r="G699" i="24"/>
  <c r="G643" i="24"/>
  <c r="G635" i="24"/>
  <c r="G716" i="24"/>
  <c r="G701" i="24"/>
  <c r="G673" i="24"/>
  <c r="G668" i="24"/>
  <c r="G638" i="24"/>
  <c r="G630" i="24"/>
  <c r="G627" i="24"/>
  <c r="G709" i="24"/>
  <c r="G695" i="24"/>
  <c r="G688" i="24"/>
  <c r="G687" i="24"/>
  <c r="G677" i="24"/>
  <c r="G672" i="24"/>
  <c r="G639" i="24"/>
  <c r="G631" i="24"/>
  <c r="G703" i="24"/>
  <c r="G685" i="24"/>
  <c r="G640" i="24"/>
  <c r="G637" i="24"/>
  <c r="G696" i="24"/>
  <c r="G693" i="24"/>
  <c r="G684" i="24"/>
  <c r="G679" i="24"/>
  <c r="G636" i="24"/>
  <c r="G689" i="24"/>
  <c r="G707" i="24"/>
  <c r="G674" i="24"/>
  <c r="G683" i="24"/>
  <c r="G644" i="24"/>
  <c r="G632" i="24"/>
  <c r="G669" i="24"/>
  <c r="F715" i="34"/>
  <c r="G625" i="34"/>
  <c r="G715" i="24" l="1"/>
  <c r="H628" i="24"/>
  <c r="G709" i="34"/>
  <c r="G701" i="34"/>
  <c r="G693" i="34"/>
  <c r="G685" i="34"/>
  <c r="G677" i="34"/>
  <c r="G669" i="34"/>
  <c r="G706" i="34"/>
  <c r="G698" i="34"/>
  <c r="G690" i="34"/>
  <c r="G682" i="34"/>
  <c r="G674" i="34"/>
  <c r="G711" i="34"/>
  <c r="G703" i="34"/>
  <c r="G695" i="34"/>
  <c r="G687" i="34"/>
  <c r="G679" i="34"/>
  <c r="G671" i="34"/>
  <c r="G708" i="34"/>
  <c r="G700" i="34"/>
  <c r="G692" i="34"/>
  <c r="G684" i="34"/>
  <c r="G676" i="34"/>
  <c r="G668" i="34"/>
  <c r="G713" i="34"/>
  <c r="G705" i="34"/>
  <c r="G697" i="34"/>
  <c r="G689" i="34"/>
  <c r="G681" i="34"/>
  <c r="G673" i="34"/>
  <c r="G710" i="34"/>
  <c r="G702" i="34"/>
  <c r="G694" i="34"/>
  <c r="G686" i="34"/>
  <c r="G678" i="34"/>
  <c r="G670" i="34"/>
  <c r="G647" i="34"/>
  <c r="G646" i="34"/>
  <c r="G645" i="34"/>
  <c r="G629" i="34"/>
  <c r="G716" i="34"/>
  <c r="G707" i="34"/>
  <c r="G699" i="34"/>
  <c r="G691" i="34"/>
  <c r="G683" i="34"/>
  <c r="G675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632" i="34"/>
  <c r="G631" i="34"/>
  <c r="G630" i="34"/>
  <c r="G680" i="34"/>
  <c r="G628" i="34"/>
  <c r="G696" i="34"/>
  <c r="G626" i="34"/>
  <c r="G672" i="34"/>
  <c r="G712" i="34"/>
  <c r="G704" i="34"/>
  <c r="G688" i="34"/>
  <c r="G627" i="34"/>
  <c r="H713" i="24" l="1"/>
  <c r="H705" i="24"/>
  <c r="H697" i="24"/>
  <c r="H689" i="24"/>
  <c r="H716" i="24"/>
  <c r="H707" i="24"/>
  <c r="H699" i="24"/>
  <c r="H691" i="24"/>
  <c r="H683" i="24"/>
  <c r="H67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711" i="24"/>
  <c r="H703" i="24"/>
  <c r="H695" i="24"/>
  <c r="H687" i="24"/>
  <c r="H712" i="24"/>
  <c r="H690" i="24"/>
  <c r="H680" i="24"/>
  <c r="H698" i="24"/>
  <c r="H670" i="24"/>
  <c r="H706" i="24"/>
  <c r="H692" i="24"/>
  <c r="H679" i="24"/>
  <c r="H674" i="24"/>
  <c r="H669" i="24"/>
  <c r="H709" i="24"/>
  <c r="H702" i="24"/>
  <c r="H688" i="24"/>
  <c r="H677" i="24"/>
  <c r="H672" i="24"/>
  <c r="H647" i="24"/>
  <c r="H710" i="24"/>
  <c r="H696" i="24"/>
  <c r="H686" i="24"/>
  <c r="H685" i="24"/>
  <c r="H684" i="24"/>
  <c r="H671" i="24"/>
  <c r="H693" i="24"/>
  <c r="H682" i="24"/>
  <c r="H673" i="24"/>
  <c r="H646" i="24"/>
  <c r="H694" i="24"/>
  <c r="H708" i="24"/>
  <c r="H668" i="24"/>
  <c r="H645" i="24"/>
  <c r="H700" i="24"/>
  <c r="H681" i="24"/>
  <c r="H704" i="24"/>
  <c r="H701" i="24"/>
  <c r="H629" i="24"/>
  <c r="H678" i="24"/>
  <c r="H676" i="24"/>
  <c r="G715" i="34"/>
  <c r="H628" i="34"/>
  <c r="H715" i="24" l="1"/>
  <c r="I629" i="24"/>
  <c r="H706" i="34"/>
  <c r="H698" i="34"/>
  <c r="H690" i="34"/>
  <c r="H682" i="34"/>
  <c r="H674" i="34"/>
  <c r="H711" i="34"/>
  <c r="H703" i="34"/>
  <c r="H695" i="34"/>
  <c r="H687" i="34"/>
  <c r="H679" i="34"/>
  <c r="H671" i="34"/>
  <c r="H708" i="34"/>
  <c r="H700" i="34"/>
  <c r="H692" i="34"/>
  <c r="H684" i="34"/>
  <c r="H676" i="34"/>
  <c r="H668" i="34"/>
  <c r="H713" i="34"/>
  <c r="H705" i="34"/>
  <c r="H697" i="34"/>
  <c r="H689" i="34"/>
  <c r="H681" i="34"/>
  <c r="H673" i="34"/>
  <c r="H710" i="34"/>
  <c r="H702" i="34"/>
  <c r="H694" i="34"/>
  <c r="H686" i="34"/>
  <c r="H678" i="34"/>
  <c r="H670" i="34"/>
  <c r="H647" i="34"/>
  <c r="H646" i="34"/>
  <c r="H645" i="34"/>
  <c r="H629" i="34"/>
  <c r="H716" i="34"/>
  <c r="H707" i="34"/>
  <c r="H699" i="34"/>
  <c r="H691" i="34"/>
  <c r="H683" i="34"/>
  <c r="H67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712" i="34"/>
  <c r="H704" i="34"/>
  <c r="H696" i="34"/>
  <c r="H688" i="34"/>
  <c r="H680" i="34"/>
  <c r="H672" i="34"/>
  <c r="H709" i="34"/>
  <c r="H669" i="34"/>
  <c r="H685" i="34"/>
  <c r="H701" i="34"/>
  <c r="H677" i="34"/>
  <c r="H693" i="34"/>
  <c r="I710" i="24" l="1"/>
  <c r="I702" i="24"/>
  <c r="I694" i="24"/>
  <c r="I712" i="24"/>
  <c r="I704" i="24"/>
  <c r="I696" i="24"/>
  <c r="I688" i="24"/>
  <c r="I680" i="24"/>
  <c r="I672" i="24"/>
  <c r="I708" i="24"/>
  <c r="I700" i="24"/>
  <c r="I692" i="24"/>
  <c r="I684" i="24"/>
  <c r="I705" i="24"/>
  <c r="I698" i="24"/>
  <c r="I691" i="24"/>
  <c r="I675" i="24"/>
  <c r="I670" i="24"/>
  <c r="I642" i="24"/>
  <c r="I634" i="24"/>
  <c r="I713" i="24"/>
  <c r="I706" i="24"/>
  <c r="I699" i="24"/>
  <c r="I679" i="24"/>
  <c r="I674" i="24"/>
  <c r="I669" i="24"/>
  <c r="I643" i="24"/>
  <c r="I635" i="24"/>
  <c r="I707" i="24"/>
  <c r="I693" i="24"/>
  <c r="I645" i="24"/>
  <c r="I644" i="24"/>
  <c r="I636" i="24"/>
  <c r="I716" i="24"/>
  <c r="I695" i="24"/>
  <c r="I687" i="24"/>
  <c r="I686" i="24"/>
  <c r="I685" i="24"/>
  <c r="I639" i="24"/>
  <c r="I631" i="24"/>
  <c r="I703" i="24"/>
  <c r="I689" i="24"/>
  <c r="I683" i="24"/>
  <c r="I682" i="24"/>
  <c r="I681" i="24"/>
  <c r="I676" i="24"/>
  <c r="I671" i="24"/>
  <c r="I640" i="24"/>
  <c r="I632" i="24"/>
  <c r="I709" i="24"/>
  <c r="I673" i="24"/>
  <c r="I646" i="24"/>
  <c r="I637" i="24"/>
  <c r="I690" i="24"/>
  <c r="I697" i="24"/>
  <c r="I677" i="24"/>
  <c r="I668" i="24"/>
  <c r="I711" i="24"/>
  <c r="I633" i="24"/>
  <c r="I630" i="24"/>
  <c r="I701" i="24"/>
  <c r="I678" i="24"/>
  <c r="I647" i="24"/>
  <c r="I641" i="24"/>
  <c r="I638" i="24"/>
  <c r="H715" i="34"/>
  <c r="I629" i="34"/>
  <c r="I715" i="24" l="1"/>
  <c r="J630" i="24"/>
  <c r="I711" i="34"/>
  <c r="I703" i="34"/>
  <c r="I695" i="34"/>
  <c r="I687" i="34"/>
  <c r="I679" i="34"/>
  <c r="I671" i="34"/>
  <c r="I708" i="34"/>
  <c r="I700" i="34"/>
  <c r="I692" i="34"/>
  <c r="I684" i="34"/>
  <c r="I676" i="34"/>
  <c r="I668" i="34"/>
  <c r="I713" i="34"/>
  <c r="I705" i="34"/>
  <c r="I697" i="34"/>
  <c r="I689" i="34"/>
  <c r="I681" i="34"/>
  <c r="I673" i="34"/>
  <c r="I710" i="34"/>
  <c r="I702" i="34"/>
  <c r="I694" i="34"/>
  <c r="I686" i="34"/>
  <c r="I678" i="34"/>
  <c r="I670" i="34"/>
  <c r="I647" i="34"/>
  <c r="I646" i="34"/>
  <c r="I645" i="34"/>
  <c r="I716" i="34"/>
  <c r="I707" i="34"/>
  <c r="I699" i="34"/>
  <c r="I691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712" i="34"/>
  <c r="I704" i="34"/>
  <c r="I696" i="34"/>
  <c r="I688" i="34"/>
  <c r="I680" i="34"/>
  <c r="I672" i="34"/>
  <c r="I709" i="34"/>
  <c r="I701" i="34"/>
  <c r="I693" i="34"/>
  <c r="I685" i="34"/>
  <c r="I677" i="34"/>
  <c r="I669" i="34"/>
  <c r="I674" i="34"/>
  <c r="I690" i="34"/>
  <c r="I706" i="34"/>
  <c r="I682" i="34"/>
  <c r="I698" i="34"/>
  <c r="J716" i="24" l="1"/>
  <c r="J707" i="24"/>
  <c r="J699" i="24"/>
  <c r="J691" i="24"/>
  <c r="J709" i="24"/>
  <c r="J701" i="24"/>
  <c r="J693" i="24"/>
  <c r="J685" i="24"/>
  <c r="J677" i="24"/>
  <c r="J669" i="24"/>
  <c r="J713" i="24"/>
  <c r="J705" i="24"/>
  <c r="J697" i="24"/>
  <c r="J689" i="24"/>
  <c r="J681" i="24"/>
  <c r="J706" i="24"/>
  <c r="J679" i="24"/>
  <c r="J674" i="24"/>
  <c r="J643" i="24"/>
  <c r="J635" i="24"/>
  <c r="J692" i="24"/>
  <c r="J645" i="24"/>
  <c r="J644" i="24"/>
  <c r="J636" i="24"/>
  <c r="J700" i="24"/>
  <c r="J678" i="24"/>
  <c r="J673" i="24"/>
  <c r="J668" i="24"/>
  <c r="J646" i="24"/>
  <c r="J637" i="24"/>
  <c r="J710" i="24"/>
  <c r="J703" i="24"/>
  <c r="J696" i="24"/>
  <c r="J684" i="24"/>
  <c r="J683" i="24"/>
  <c r="J682" i="24"/>
  <c r="J676" i="24"/>
  <c r="J671" i="24"/>
  <c r="J640" i="24"/>
  <c r="J632" i="24"/>
  <c r="J711" i="24"/>
  <c r="J704" i="24"/>
  <c r="J690" i="24"/>
  <c r="J641" i="24"/>
  <c r="J633" i="24"/>
  <c r="J634" i="24"/>
  <c r="J631" i="24"/>
  <c r="J712" i="24"/>
  <c r="J687" i="24"/>
  <c r="J675" i="24"/>
  <c r="J680" i="24"/>
  <c r="J708" i="24"/>
  <c r="J702" i="24"/>
  <c r="J670" i="24"/>
  <c r="J642" i="24"/>
  <c r="J639" i="24"/>
  <c r="J698" i="24"/>
  <c r="J695" i="24"/>
  <c r="J686" i="24"/>
  <c r="J672" i="24"/>
  <c r="J647" i="24"/>
  <c r="J638" i="24"/>
  <c r="J694" i="24"/>
  <c r="J688" i="24"/>
  <c r="I715" i="34"/>
  <c r="J630" i="34"/>
  <c r="J715" i="24" l="1"/>
  <c r="K644" i="24"/>
  <c r="L647" i="24"/>
  <c r="J708" i="34"/>
  <c r="J700" i="34"/>
  <c r="J692" i="34"/>
  <c r="J684" i="34"/>
  <c r="J676" i="34"/>
  <c r="J668" i="34"/>
  <c r="J713" i="34"/>
  <c r="J705" i="34"/>
  <c r="J697" i="34"/>
  <c r="J689" i="34"/>
  <c r="J681" i="34"/>
  <c r="J673" i="34"/>
  <c r="J710" i="34"/>
  <c r="J702" i="34"/>
  <c r="J694" i="34"/>
  <c r="J686" i="34"/>
  <c r="J678" i="34"/>
  <c r="J670" i="34"/>
  <c r="J647" i="34"/>
  <c r="J646" i="34"/>
  <c r="J645" i="34"/>
  <c r="J716" i="34"/>
  <c r="J707" i="34"/>
  <c r="J699" i="34"/>
  <c r="J691" i="34"/>
  <c r="J683" i="34"/>
  <c r="J675" i="34"/>
  <c r="J644" i="34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J712" i="34"/>
  <c r="J704" i="34"/>
  <c r="J696" i="34"/>
  <c r="J688" i="34"/>
  <c r="J680" i="34"/>
  <c r="J672" i="34"/>
  <c r="J709" i="34"/>
  <c r="J701" i="34"/>
  <c r="J693" i="34"/>
  <c r="J685" i="34"/>
  <c r="J677" i="34"/>
  <c r="J669" i="34"/>
  <c r="J706" i="34"/>
  <c r="J698" i="34"/>
  <c r="J690" i="34"/>
  <c r="J682" i="34"/>
  <c r="J674" i="34"/>
  <c r="J703" i="34"/>
  <c r="J679" i="34"/>
  <c r="J695" i="34"/>
  <c r="J671" i="34"/>
  <c r="J711" i="34"/>
  <c r="J687" i="34"/>
  <c r="L709" i="24" l="1"/>
  <c r="L701" i="24"/>
  <c r="L693" i="24"/>
  <c r="L711" i="24"/>
  <c r="L703" i="24"/>
  <c r="L695" i="24"/>
  <c r="L687" i="24"/>
  <c r="L679" i="24"/>
  <c r="L671" i="24"/>
  <c r="L716" i="24"/>
  <c r="L707" i="24"/>
  <c r="L699" i="24"/>
  <c r="L691" i="24"/>
  <c r="L683" i="24"/>
  <c r="L700" i="24"/>
  <c r="L678" i="24"/>
  <c r="L673" i="24"/>
  <c r="L668" i="24"/>
  <c r="L708" i="24"/>
  <c r="L694" i="24"/>
  <c r="L677" i="24"/>
  <c r="L672" i="24"/>
  <c r="L704" i="24"/>
  <c r="L697" i="24"/>
  <c r="L690" i="24"/>
  <c r="L680" i="24"/>
  <c r="L675" i="24"/>
  <c r="L670" i="24"/>
  <c r="L712" i="24"/>
  <c r="L705" i="24"/>
  <c r="L698" i="24"/>
  <c r="L682" i="24"/>
  <c r="L702" i="24"/>
  <c r="L696" i="24"/>
  <c r="L684" i="24"/>
  <c r="L692" i="24"/>
  <c r="L689" i="24"/>
  <c r="L686" i="24"/>
  <c r="L681" i="24"/>
  <c r="L674" i="24"/>
  <c r="L676" i="24"/>
  <c r="L710" i="24"/>
  <c r="L688" i="24"/>
  <c r="L706" i="24"/>
  <c r="L685" i="24"/>
  <c r="L669" i="24"/>
  <c r="L713" i="24"/>
  <c r="K712" i="24"/>
  <c r="M712" i="24" s="1"/>
  <c r="E215" i="32" s="1"/>
  <c r="K704" i="24"/>
  <c r="M704" i="24" s="1"/>
  <c r="D183" i="32" s="1"/>
  <c r="K696" i="24"/>
  <c r="M696" i="24" s="1"/>
  <c r="C151" i="32" s="1"/>
  <c r="K688" i="24"/>
  <c r="M688" i="24" s="1"/>
  <c r="I87" i="32" s="1"/>
  <c r="K706" i="24"/>
  <c r="M706" i="24" s="1"/>
  <c r="F183" i="32" s="1"/>
  <c r="K698" i="24"/>
  <c r="M698" i="24" s="1"/>
  <c r="E151" i="32" s="1"/>
  <c r="K690" i="24"/>
  <c r="M690" i="24" s="1"/>
  <c r="D119" i="32" s="1"/>
  <c r="K682" i="24"/>
  <c r="M682" i="24" s="1"/>
  <c r="C87" i="32" s="1"/>
  <c r="K674" i="24"/>
  <c r="M674" i="24" s="1"/>
  <c r="I23" i="32" s="1"/>
  <c r="K710" i="24"/>
  <c r="M710" i="24" s="1"/>
  <c r="C215" i="32" s="1"/>
  <c r="K702" i="24"/>
  <c r="M702" i="24" s="1"/>
  <c r="I151" i="32" s="1"/>
  <c r="K694" i="24"/>
  <c r="M694" i="24" s="1"/>
  <c r="H119" i="32" s="1"/>
  <c r="K686" i="24"/>
  <c r="M686" i="24" s="1"/>
  <c r="G87" i="32" s="1"/>
  <c r="K713" i="24"/>
  <c r="M713" i="24" s="1"/>
  <c r="F215" i="32" s="1"/>
  <c r="K699" i="24"/>
  <c r="M699" i="24" s="1"/>
  <c r="F151" i="32" s="1"/>
  <c r="K692" i="24"/>
  <c r="M692" i="24" s="1"/>
  <c r="K669" i="24"/>
  <c r="M669" i="24" s="1"/>
  <c r="D23" i="32" s="1"/>
  <c r="K707" i="24"/>
  <c r="M707" i="24" s="1"/>
  <c r="G183" i="32" s="1"/>
  <c r="K700" i="24"/>
  <c r="M700" i="24" s="1"/>
  <c r="G151" i="32" s="1"/>
  <c r="K693" i="24"/>
  <c r="M693" i="24" s="1"/>
  <c r="K678" i="24"/>
  <c r="M678" i="24" s="1"/>
  <c r="F55" i="32" s="1"/>
  <c r="K673" i="24"/>
  <c r="M673" i="24" s="1"/>
  <c r="H23" i="32" s="1"/>
  <c r="K668" i="24"/>
  <c r="K716" i="24"/>
  <c r="K708" i="24"/>
  <c r="M708" i="24" s="1"/>
  <c r="H183" i="32" s="1"/>
  <c r="K701" i="24"/>
  <c r="M701" i="24" s="1"/>
  <c r="H151" i="32" s="1"/>
  <c r="K711" i="24"/>
  <c r="M711" i="24" s="1"/>
  <c r="D215" i="32" s="1"/>
  <c r="K689" i="24"/>
  <c r="M689" i="24" s="1"/>
  <c r="C119" i="32" s="1"/>
  <c r="K681" i="24"/>
  <c r="M681" i="24" s="1"/>
  <c r="I55" i="32" s="1"/>
  <c r="K697" i="24"/>
  <c r="M697" i="24" s="1"/>
  <c r="D151" i="32" s="1"/>
  <c r="K680" i="24"/>
  <c r="M680" i="24" s="1"/>
  <c r="H55" i="32" s="1"/>
  <c r="K675" i="24"/>
  <c r="M675" i="24" s="1"/>
  <c r="C55" i="32" s="1"/>
  <c r="K670" i="24"/>
  <c r="M670" i="24" s="1"/>
  <c r="E23" i="32" s="1"/>
  <c r="K687" i="24"/>
  <c r="M687" i="24" s="1"/>
  <c r="H87" i="32" s="1"/>
  <c r="K677" i="24"/>
  <c r="M677" i="24" s="1"/>
  <c r="E55" i="32" s="1"/>
  <c r="K709" i="24"/>
  <c r="M709" i="24" s="1"/>
  <c r="I183" i="32" s="1"/>
  <c r="K685" i="24"/>
  <c r="M685" i="24" s="1"/>
  <c r="F87" i="32" s="1"/>
  <c r="K671" i="24"/>
  <c r="M671" i="24" s="1"/>
  <c r="F23" i="32" s="1"/>
  <c r="K705" i="24"/>
  <c r="M705" i="24" s="1"/>
  <c r="E183" i="32" s="1"/>
  <c r="K684" i="24"/>
  <c r="M684" i="24" s="1"/>
  <c r="E87" i="32" s="1"/>
  <c r="K679" i="24"/>
  <c r="M679" i="24" s="1"/>
  <c r="K703" i="24"/>
  <c r="M703" i="24" s="1"/>
  <c r="C183" i="32" s="1"/>
  <c r="K695" i="24"/>
  <c r="M695" i="24" s="1"/>
  <c r="I119" i="32" s="1"/>
  <c r="K672" i="24"/>
  <c r="M672" i="24" s="1"/>
  <c r="G23" i="32" s="1"/>
  <c r="K683" i="24"/>
  <c r="M683" i="24" s="1"/>
  <c r="D87" i="32" s="1"/>
  <c r="K676" i="24"/>
  <c r="M676" i="24" s="1"/>
  <c r="D55" i="32" s="1"/>
  <c r="K691" i="24"/>
  <c r="M691" i="24" s="1"/>
  <c r="J715" i="34"/>
  <c r="L647" i="34"/>
  <c r="K644" i="34"/>
  <c r="E119" i="32" l="1"/>
  <c r="K715" i="24"/>
  <c r="M668" i="24"/>
  <c r="G119" i="32"/>
  <c r="F119" i="32"/>
  <c r="L715" i="24"/>
  <c r="K713" i="34"/>
  <c r="K705" i="34"/>
  <c r="K697" i="34"/>
  <c r="K689" i="34"/>
  <c r="K681" i="34"/>
  <c r="K673" i="34"/>
  <c r="K710" i="34"/>
  <c r="K702" i="34"/>
  <c r="K694" i="34"/>
  <c r="K686" i="34"/>
  <c r="K678" i="34"/>
  <c r="K670" i="34"/>
  <c r="K716" i="34"/>
  <c r="K707" i="34"/>
  <c r="K699" i="34"/>
  <c r="K691" i="34"/>
  <c r="K683" i="34"/>
  <c r="K675" i="34"/>
  <c r="K712" i="34"/>
  <c r="K704" i="34"/>
  <c r="K696" i="34"/>
  <c r="K688" i="34"/>
  <c r="K680" i="34"/>
  <c r="K672" i="34"/>
  <c r="K709" i="34"/>
  <c r="K701" i="34"/>
  <c r="K693" i="34"/>
  <c r="K685" i="34"/>
  <c r="K677" i="34"/>
  <c r="K669" i="34"/>
  <c r="K706" i="34"/>
  <c r="K698" i="34"/>
  <c r="K690" i="34"/>
  <c r="K682" i="34"/>
  <c r="K674" i="34"/>
  <c r="K711" i="34"/>
  <c r="K703" i="34"/>
  <c r="K695" i="34"/>
  <c r="K687" i="34"/>
  <c r="K679" i="34"/>
  <c r="K671" i="34"/>
  <c r="K668" i="34"/>
  <c r="K708" i="34"/>
  <c r="K684" i="34"/>
  <c r="K692" i="34"/>
  <c r="K700" i="34"/>
  <c r="K676" i="34"/>
  <c r="L710" i="34"/>
  <c r="M710" i="34" s="1"/>
  <c r="L702" i="34"/>
  <c r="M702" i="34" s="1"/>
  <c r="L694" i="34"/>
  <c r="L686" i="34"/>
  <c r="M686" i="34" s="1"/>
  <c r="L678" i="34"/>
  <c r="L670" i="34"/>
  <c r="M670" i="34" s="1"/>
  <c r="L716" i="34"/>
  <c r="L707" i="34"/>
  <c r="M707" i="34" s="1"/>
  <c r="L699" i="34"/>
  <c r="M699" i="34" s="1"/>
  <c r="L691" i="34"/>
  <c r="M691" i="34" s="1"/>
  <c r="L683" i="34"/>
  <c r="L675" i="34"/>
  <c r="M675" i="34" s="1"/>
  <c r="L712" i="34"/>
  <c r="L704" i="34"/>
  <c r="M704" i="34" s="1"/>
  <c r="L696" i="34"/>
  <c r="M696" i="34" s="1"/>
  <c r="L688" i="34"/>
  <c r="M688" i="34" s="1"/>
  <c r="L680" i="34"/>
  <c r="M680" i="34" s="1"/>
  <c r="L672" i="34"/>
  <c r="M672" i="34" s="1"/>
  <c r="L709" i="34"/>
  <c r="L701" i="34"/>
  <c r="M701" i="34" s="1"/>
  <c r="L693" i="34"/>
  <c r="L685" i="34"/>
  <c r="M685" i="34" s="1"/>
  <c r="L677" i="34"/>
  <c r="M677" i="34" s="1"/>
  <c r="L669" i="34"/>
  <c r="M669" i="34" s="1"/>
  <c r="L706" i="34"/>
  <c r="M706" i="34" s="1"/>
  <c r="L698" i="34"/>
  <c r="M698" i="34" s="1"/>
  <c r="L690" i="34"/>
  <c r="L682" i="34"/>
  <c r="M682" i="34" s="1"/>
  <c r="L674" i="34"/>
  <c r="L711" i="34"/>
  <c r="M711" i="34" s="1"/>
  <c r="L703" i="34"/>
  <c r="M703" i="34" s="1"/>
  <c r="L695" i="34"/>
  <c r="M695" i="34" s="1"/>
  <c r="L687" i="34"/>
  <c r="M687" i="34" s="1"/>
  <c r="L679" i="34"/>
  <c r="M679" i="34" s="1"/>
  <c r="L671" i="34"/>
  <c r="L708" i="34"/>
  <c r="M708" i="34" s="1"/>
  <c r="L700" i="34"/>
  <c r="L692" i="34"/>
  <c r="M692" i="34" s="1"/>
  <c r="L684" i="34"/>
  <c r="M684" i="34" s="1"/>
  <c r="L676" i="34"/>
  <c r="M676" i="34" s="1"/>
  <c r="L668" i="34"/>
  <c r="L697" i="34"/>
  <c r="M697" i="34" s="1"/>
  <c r="L673" i="34"/>
  <c r="L713" i="34"/>
  <c r="L689" i="34"/>
  <c r="M689" i="34" s="1"/>
  <c r="L705" i="34"/>
  <c r="M705" i="34" s="1"/>
  <c r="L681" i="34"/>
  <c r="M681" i="34" s="1"/>
  <c r="M715" i="24" l="1"/>
  <c r="C23" i="32"/>
  <c r="L715" i="34"/>
  <c r="M668" i="34"/>
  <c r="M700" i="34"/>
  <c r="M674" i="34"/>
  <c r="M693" i="34"/>
  <c r="M712" i="34"/>
  <c r="M678" i="34"/>
  <c r="M713" i="34"/>
  <c r="M673" i="34"/>
  <c r="M671" i="34"/>
  <c r="M690" i="34"/>
  <c r="M709" i="34"/>
  <c r="M683" i="34"/>
  <c r="M694" i="34"/>
  <c r="K715" i="34"/>
  <c r="M715" i="34" l="1"/>
</calcChain>
</file>

<file path=xl/sharedStrings.xml><?xml version="1.0" encoding="utf-8"?>
<sst xmlns="http://schemas.openxmlformats.org/spreadsheetml/2006/main" count="4855" uniqueCount="1379">
  <si>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</si>
  <si>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</si>
  <si>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</si>
  <si>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</si>
  <si>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</si>
  <si>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</si>
  <si>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</si>
  <si>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</si>
  <si>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</si>
  <si>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</si>
  <si>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</si>
  <si>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</si>
  <si>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</si>
  <si>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</si>
  <si>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</si>
  <si>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</si>
  <si>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</si>
  <si>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</si>
  <si>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</si>
  <si>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</si>
  <si>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</si>
  <si>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</si>
  <si>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</si>
  <si>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</si>
  <si>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</si>
  <si>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</si>
  <si>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</si>
  <si>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</si>
  <si>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</si>
  <si>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</si>
  <si>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</si>
  <si>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</si>
  <si>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</si>
  <si>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</si>
  <si>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</si>
  <si>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</si>
  <si>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</si>
  <si>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</si>
  <si>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</si>
  <si>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</si>
  <si>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</si>
  <si>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</si>
  <si>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</si>
  <si>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</si>
  <si>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</si>
  <si>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</si>
  <si>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</si>
  <si>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</si>
  <si>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</si>
  <si>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</si>
  <si>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</si>
  <si>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</si>
  <si>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</si>
  <si>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</si>
  <si>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</si>
  <si>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</si>
  <si>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</si>
  <si>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</si>
  <si>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</si>
  <si>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</si>
  <si>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</si>
  <si>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</si>
  <si>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</si>
  <si>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</si>
  <si>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</si>
  <si>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</si>
  <si>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</si>
  <si>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</si>
  <si>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</si>
  <si>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</si>
  <si>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</si>
  <si>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</si>
  <si>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</si>
  <si>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</si>
  <si>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</si>
  <si>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</si>
  <si>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</si>
  <si>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</si>
  <si>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</si>
  <si>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</si>
  <si>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</si>
  <si>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</si>
  <si>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</si>
  <si>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</si>
  <si>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</si>
  <si>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</si>
  <si>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</si>
  <si>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</si>
  <si>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</si>
  <si>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</si>
  <si>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</si>
  <si>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</si>
  <si>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</si>
  <si>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</si>
  <si>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</si>
  <si>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</si>
  <si>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</si>
  <si>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</si>
  <si>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</si>
  <si>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</si>
  <si>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</si>
  <si>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</si>
  <si>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</si>
  <si>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</si>
  <si>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</si>
  <si>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</si>
  <si>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</si>
  <si>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</si>
  <si>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</si>
  <si>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</si>
  <si>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</si>
  <si>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</si>
  <si>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</si>
  <si>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</si>
  <si>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</si>
  <si>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</si>
  <si>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</si>
  <si>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</si>
  <si>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</si>
  <si>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</si>
  <si>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</si>
  <si>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</si>
  <si>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</si>
  <si>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</si>
  <si>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</si>
  <si>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</si>
  <si>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</si>
  <si>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</si>
  <si>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</si>
  <si>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</si>
  <si>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</si>
  <si>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</si>
  <si>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</si>
  <si>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</si>
  <si>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</si>
  <si>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</si>
  <si>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</si>
  <si>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</si>
  <si>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</si>
  <si>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</si>
  <si>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</si>
  <si>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</si>
  <si>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</si>
  <si>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</si>
  <si>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</si>
  <si>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</si>
  <si>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</si>
  <si>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</si>
  <si>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</si>
  <si>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</si>
  <si>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</si>
  <si>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</si>
  <si>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</si>
  <si>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</si>
  <si>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</si>
  <si>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</si>
  <si>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</si>
  <si>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</si>
  <si>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</si>
  <si>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</si>
  <si>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</si>
  <si>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</si>
  <si>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</si>
  <si>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</si>
  <si>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</si>
  <si>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</si>
  <si>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</si>
  <si>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</si>
  <si>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</si>
  <si>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</si>
  <si>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</si>
  <si>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</si>
  <si>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</si>
  <si>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</si>
  <si>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</si>
  <si>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</si>
  <si>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</si>
  <si>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</si>
  <si>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</si>
  <si>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</si>
  <si>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</si>
  <si>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</si>
  <si>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</si>
  <si>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</si>
  <si>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</si>
  <si>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</si>
  <si>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</si>
  <si>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</si>
  <si>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</si>
  <si>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</si>
  <si>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</si>
  <si>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</si>
  <si>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</si>
  <si>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</si>
  <si>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</si>
  <si>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</si>
  <si>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</si>
  <si>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</si>
  <si>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</si>
  <si>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</si>
  <si>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</si>
  <si>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</si>
  <si>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</si>
  <si>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</si>
  <si>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</si>
  <si>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</si>
  <si>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</si>
  <si>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</si>
  <si>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</si>
  <si>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</si>
  <si>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</si>
  <si>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</si>
  <si>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</si>
  <si>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</si>
  <si>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</si>
  <si>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</si>
  <si>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</si>
  <si>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</si>
  <si>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</si>
  <si>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</si>
  <si>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</si>
  <si>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</si>
  <si>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</si>
  <si>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</si>
  <si>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</si>
  <si>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</si>
  <si>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</si>
  <si>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</si>
  <si>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</si>
  <si>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</si>
  <si>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</si>
  <si>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</si>
  <si>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</si>
  <si>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</si>
  <si>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</si>
  <si>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</si>
  <si>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</si>
  <si>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</si>
  <si>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</si>
  <si>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</si>
  <si>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</si>
  <si>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</si>
  <si>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</si>
  <si>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</si>
  <si>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</si>
  <si>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</si>
  <si>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</si>
  <si>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</si>
  <si>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</si>
  <si>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</si>
  <si>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</si>
  <si>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</si>
  <si>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</si>
  <si>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</si>
  <si>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</si>
  <si>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</si>
  <si>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</si>
  <si>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</si>
  <si>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</si>
  <si>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</si>
  <si>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</si>
  <si>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</si>
  <si>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</si>
  <si>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</si>
  <si>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</si>
  <si>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</si>
  <si>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</si>
  <si>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</si>
  <si>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</si>
  <si>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</si>
  <si>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</si>
  <si>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</si>
  <si>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</si>
  <si>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</si>
  <si>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</si>
  <si>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</si>
  <si>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</si>
  <si>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</si>
  <si>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</si>
  <si>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</si>
  <si>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</si>
  <si>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</si>
  <si>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</si>
  <si>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</si>
  <si>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</si>
  <si>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</si>
  <si>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</si>
  <si>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</si>
  <si>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</si>
  <si>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</si>
  <si>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</si>
  <si>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</si>
  <si>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</si>
  <si>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</si>
  <si>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</si>
  <si>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</si>
  <si>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</si>
  <si>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</si>
  <si>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</si>
  <si>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</si>
  <si>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</si>
  <si>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</si>
  <si>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</si>
  <si>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</si>
  <si>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</si>
  <si>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</si>
  <si>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</si>
  <si>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</si>
  <si>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</si>
  <si>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</si>
  <si>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</si>
  <si>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</si>
  <si>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</si>
  <si>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</si>
  <si>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</si>
  <si>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</si>
  <si>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</si>
  <si>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</si>
  <si>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</si>
  <si>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</si>
  <si>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</si>
  <si>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</si>
  <si>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</si>
  <si>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</si>
  <si>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</si>
  <si>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</si>
  <si>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</si>
  <si>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</si>
  <si>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</si>
  <si>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</si>
  <si>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</si>
  <si>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</si>
  <si>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</si>
  <si>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</si>
  <si>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</si>
  <si>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</si>
  <si>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</si>
  <si>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</si>
  <si>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</si>
  <si>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</si>
  <si>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</si>
  <si>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</si>
  <si>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</si>
  <si>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</si>
  <si>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</si>
  <si>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</si>
  <si>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</si>
  <si>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</si>
  <si>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</si>
  <si>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</si>
  <si>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</si>
  <si>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</si>
  <si>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</si>
  <si>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</si>
  <si>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</si>
  <si>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</si>
  <si>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</si>
  <si>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</si>
  <si>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</si>
  <si>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</si>
  <si>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</si>
  <si>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</si>
  <si>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</si>
  <si>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</si>
  <si>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</si>
  <si>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</si>
  <si>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</si>
  <si>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</si>
  <si>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</si>
  <si>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</si>
  <si>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</si>
  <si>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</si>
  <si>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</si>
  <si>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</si>
  <si>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</si>
  <si>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</si>
  <si>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</si>
  <si>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</si>
  <si>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</si>
  <si>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</si>
  <si>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</si>
  <si>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</si>
  <si>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</si>
  <si>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</si>
  <si>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</si>
  <si>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</si>
  <si>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</si>
  <si>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</si>
  <si>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</si>
  <si>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</si>
  <si>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</si>
  <si>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</si>
  <si>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</si>
  <si>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</si>
  <si>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</si>
  <si>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</si>
  <si>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</si>
  <si>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</si>
  <si>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</si>
  <si>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</si>
  <si>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</si>
  <si>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</si>
  <si>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</si>
  <si>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</si>
  <si>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</si>
  <si>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</si>
  <si>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</si>
  <si>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</si>
  <si>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</si>
  <si>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</si>
  <si>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</si>
  <si>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</si>
  <si>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</si>
  <si>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</si>
  <si>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</si>
  <si>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</si>
  <si>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</si>
  <si>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</si>
  <si>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</si>
  <si>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</si>
  <si>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</si>
  <si>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</si>
  <si>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</si>
  <si>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</si>
  <si>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</si>
  <si>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</si>
  <si>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</si>
  <si>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</si>
  <si>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</si>
  <si>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</si>
  <si>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</si>
  <si>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</si>
  <si>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</si>
  <si>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</si>
  <si>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</si>
  <si>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</si>
  <si>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</si>
  <si>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</si>
  <si>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</si>
  <si>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</si>
  <si>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</si>
  <si>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</si>
  <si>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</si>
  <si>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</si>
  <si>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</si>
  <si>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</si>
  <si>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</si>
  <si>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</si>
  <si>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</si>
  <si>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</si>
  <si>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</si>
  <si>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</si>
  <si>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</si>
  <si>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</si>
  <si>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</si>
  <si>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</si>
  <si>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</si>
  <si>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</si>
  <si>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</si>
  <si>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</si>
  <si>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</si>
  <si>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</si>
  <si>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</si>
  <si>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</si>
  <si>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</si>
  <si>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</si>
  <si>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</si>
  <si>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</si>
  <si>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</si>
  <si>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</si>
  <si>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</si>
  <si>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</si>
  <si>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</si>
  <si>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</si>
  <si>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</si>
  <si>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</si>
  <si>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</si>
  <si>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</si>
  <si>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</si>
  <si>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</si>
  <si>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</si>
  <si>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</si>
  <si>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</si>
  <si>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</si>
  <si>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</si>
  <si>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</si>
  <si>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</si>
  <si>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</si>
  <si>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</si>
  <si>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</si>
  <si>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</si>
  <si>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</si>
  <si>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</si>
  <si>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</si>
  <si>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</si>
  <si>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</si>
  <si>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</si>
  <si>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</si>
  <si>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</si>
  <si>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</si>
  <si>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</si>
  <si>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</si>
  <si>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</si>
  <si>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</si>
  <si>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</si>
  <si>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</si>
  <si>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</si>
  <si>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</si>
  <si>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</si>
  <si>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</si>
  <si>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</si>
  <si>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</si>
  <si>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</si>
  <si>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</si>
  <si>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</si>
  <si>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</si>
  <si>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</si>
  <si>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</si>
  <si>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</si>
  <si>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</si>
  <si>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</si>
  <si>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</si>
  <si>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</si>
  <si>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</si>
  <si>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</si>
  <si>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</si>
  <si>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</si>
  <si>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</si>
  <si>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</si>
  <si>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</si>
  <si>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</si>
  <si>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</si>
  <si>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</si>
  <si>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</si>
  <si>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</si>
  <si>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</si>
  <si>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</si>
  <si>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</si>
  <si>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</si>
  <si>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</si>
  <si>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</si>
  <si>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</si>
  <si>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</si>
  <si>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</si>
  <si>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</si>
  <si>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</si>
  <si>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</si>
  <si>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</si>
  <si>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</si>
  <si>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</si>
  <si>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</si>
  <si>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</si>
  <si>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</si>
  <si>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</si>
  <si>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</si>
  <si>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</si>
  <si>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</si>
  <si>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</si>
  <si>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</si>
  <si>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</si>
  <si>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</si>
  <si>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</si>
  <si>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</si>
  <si>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</si>
  <si>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</si>
  <si>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</si>
  <si>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</si>
  <si>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</si>
  <si>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</si>
  <si>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</si>
  <si>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</si>
  <si>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</si>
  <si>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</si>
  <si>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</si>
  <si>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</si>
  <si>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</si>
  <si>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</si>
  <si>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</si>
  <si>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</si>
  <si>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</si>
  <si>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</si>
  <si>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</si>
  <si>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</si>
  <si>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</si>
  <si>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</si>
  <si>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</si>
  <si>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</si>
  <si>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</si>
  <si>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</si>
  <si>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</si>
  <si>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</si>
  <si>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</si>
  <si>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</si>
  <si>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</si>
  <si>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</si>
  <si>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</si>
  <si>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</si>
  <si>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</si>
  <si>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</si>
  <si>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</si>
  <si>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</si>
  <si>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</si>
  <si>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</si>
  <si>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</si>
  <si>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</si>
  <si>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</si>
  <si>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</si>
  <si>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</si>
  <si>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</si>
  <si>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</si>
  <si>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</si>
  <si>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</si>
  <si>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</si>
  <si>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</si>
  <si>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</si>
  <si>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</si>
  <si>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</si>
  <si>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</si>
  <si>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</si>
  <si>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</si>
  <si>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</si>
  <si>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</si>
  <si>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</si>
  <si>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</si>
  <si>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</si>
  <si>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</si>
  <si>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</si>
  <si>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</si>
  <si>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</si>
  <si>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</si>
  <si>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</si>
  <si>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</si>
  <si>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</si>
  <si>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</si>
  <si>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</si>
  <si>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</si>
  <si>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</si>
  <si>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</si>
  <si>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</si>
  <si>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</si>
  <si>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</si>
  <si>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</si>
  <si>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</si>
  <si>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</si>
  <si>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</si>
  <si>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</si>
  <si>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</si>
  <si>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</si>
  <si>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</si>
  <si>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</si>
  <si>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</si>
  <si>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</si>
  <si>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</si>
  <si>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</si>
  <si>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</si>
  <si>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</si>
  <si>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</si>
  <si>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</si>
  <si>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</si>
  <si>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</si>
  <si>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</si>
  <si>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</si>
  <si>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</si>
  <si>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</si>
  <si>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</si>
  <si>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</si>
  <si>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</si>
  <si>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</si>
  <si>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</si>
  <si>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</si>
  <si>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</si>
  <si>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</si>
  <si>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</si>
  <si>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</si>
  <si>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</si>
  <si>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</si>
  <si>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</si>
  <si>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</si>
  <si>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</si>
  <si>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</si>
  <si>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</si>
  <si>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</si>
  <si>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</si>
  <si>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</si>
  <si>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</si>
  <si>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</si>
  <si>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</si>
  <si>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</si>
  <si>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</si>
  <si>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</si>
  <si>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</si>
  <si>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</si>
  <si>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</si>
  <si>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</si>
  <si>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</si>
  <si>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</si>
  <si>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</si>
  <si>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</si>
  <si>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</si>
  <si>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</si>
  <si>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</si>
  <si>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</si>
  <si>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</si>
  <si>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</si>
  <si>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</si>
  <si>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</si>
  <si>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</si>
  <si>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</si>
  <si>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</si>
  <si>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</si>
  <si>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</si>
  <si>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</si>
  <si>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</si>
  <si>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</si>
  <si>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</si>
  <si>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</si>
  <si>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</si>
  <si>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</si>
  <si>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</si>
  <si>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</si>
  <si>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</si>
  <si>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</si>
  <si>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</si>
  <si>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</si>
  <si>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</si>
  <si>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</si>
  <si>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</si>
  <si>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</si>
  <si>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</si>
  <si>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</si>
  <si>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</si>
  <si>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</si>
  <si>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</si>
  <si>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</si>
  <si>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</si>
  <si>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</si>
  <si>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</si>
  <si>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</si>
  <si>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</si>
  <si>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</si>
  <si>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</si>
  <si>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</si>
  <si>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</si>
  <si>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</si>
  <si>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</si>
  <si>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</si>
  <si>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</si>
  <si>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</si>
  <si>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</si>
  <si>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</si>
  <si>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</si>
  <si>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</si>
  <si>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</si>
  <si>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</si>
  <si>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</si>
  <si>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</si>
  <si>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</si>
  <si>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</si>
  <si>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</si>
  <si>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</si>
  <si>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</si>
  <si>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</si>
  <si>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</si>
  <si>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</si>
  <si>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</si>
  <si>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</si>
  <si>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</si>
  <si>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</si>
  <si>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</si>
  <si>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</si>
  <si>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</si>
  <si>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</si>
  <si>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</si>
  <si>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</si>
  <si>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</si>
  <si>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</si>
  <si>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</si>
  <si>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</si>
  <si>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</si>
  <si>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</si>
  <si>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</si>
  <si>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</si>
  <si>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</si>
  <si>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</si>
  <si>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</si>
  <si>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</si>
  <si>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</si>
  <si>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</si>
  <si>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</si>
  <si>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</si>
  <si>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</si>
  <si>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</si>
  <si>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</si>
  <si>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</si>
  <si>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</si>
  <si>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</si>
  <si>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</si>
  <si>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</si>
  <si>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</si>
  <si>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</si>
  <si>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</si>
  <si>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</si>
  <si>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</si>
  <si>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</si>
  <si>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2. For Other Noncategorized Expenses: Report line items and amounts within "Other Noncategorized Expenses" that either have a value of $1,000,000 or more;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</si>
  <si>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</si>
  <si>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</si>
  <si>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</si>
  <si>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</si>
  <si>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</si>
  <si>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</si>
  <si>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</si>
  <si>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</si>
  <si>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</si>
  <si>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</si>
  <si>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</si>
  <si>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</si>
  <si>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</si>
  <si>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</si>
  <si>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</si>
  <si>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</si>
  <si>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</si>
  <si>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</si>
  <si>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</si>
  <si>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</si>
  <si>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</si>
  <si>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</si>
  <si>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</si>
  <si>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</si>
  <si>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</si>
  <si>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</si>
  <si>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</si>
  <si>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</si>
  <si>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</si>
  <si>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</si>
  <si>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</si>
  <si>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</si>
  <si>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</si>
  <si>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</si>
  <si>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</si>
  <si>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</si>
  <si>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</si>
  <si>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</si>
  <si>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</si>
  <si>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</si>
  <si>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</si>
  <si>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</si>
  <si>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</si>
  <si>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</si>
  <si>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</si>
  <si>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</si>
  <si>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</si>
  <si>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</si>
  <si>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</si>
  <si>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</si>
  <si>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</si>
  <si>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</si>
  <si>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</si>
  <si>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</si>
  <si>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</si>
  <si>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</si>
  <si>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</si>
  <si>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</si>
  <si>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</si>
  <si>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</si>
  <si>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</si>
  <si>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</si>
  <si>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</si>
  <si>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</si>
  <si>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</si>
  <si>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</si>
  <si>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</si>
  <si>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</si>
  <si>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</si>
  <si>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</si>
  <si>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</si>
  <si>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</si>
  <si>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</si>
  <si>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</si>
  <si>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</si>
  <si>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</si>
  <si>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</si>
  <si>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</si>
  <si>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</si>
  <si>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</si>
  <si>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</si>
  <si>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</si>
  <si>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</si>
  <si>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</si>
  <si>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</si>
  <si>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</si>
  <si>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</si>
  <si>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</si>
  <si>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</si>
  <si>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</si>
  <si>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</si>
  <si>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</si>
  <si>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</si>
  <si>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</si>
  <si>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</si>
  <si>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</si>
  <si>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</si>
  <si>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</si>
  <si>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</si>
  <si>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</si>
  <si>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</si>
  <si>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</si>
  <si>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</si>
  <si>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</si>
  <si>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</si>
  <si>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</si>
  <si>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</si>
  <si>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</si>
  <si>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</si>
  <si>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</si>
  <si>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</si>
  <si>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</si>
  <si>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</si>
  <si>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</si>
  <si>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</si>
  <si>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</si>
  <si>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</si>
  <si>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</si>
  <si>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</si>
  <si>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</si>
  <si>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</si>
  <si>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</si>
  <si>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</si>
  <si>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</si>
  <si>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</si>
  <si>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</si>
  <si>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</si>
  <si>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</si>
  <si>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</si>
  <si>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</si>
  <si>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</si>
  <si>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</si>
  <si>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</si>
  <si>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</si>
  <si>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</si>
  <si>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</si>
  <si>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</si>
  <si>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</si>
  <si>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</si>
  <si>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</si>
  <si>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</si>
  <si>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</si>
  <si>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</si>
  <si>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</si>
  <si>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</si>
  <si>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</si>
  <si>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</si>
  <si>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</si>
  <si>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</si>
  <si>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</si>
  <si>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</si>
  <si>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</si>
  <si>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</si>
  <si>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</si>
  <si>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</si>
  <si>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</si>
  <si>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</si>
  <si>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</si>
  <si>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</si>
  <si>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</si>
  <si>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</si>
  <si>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</si>
  <si>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</si>
  <si>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</si>
  <si>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</si>
  <si>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</si>
  <si>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</si>
  <si>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</si>
  <si>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</si>
  <si>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</si>
  <si>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</si>
  <si>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</si>
  <si>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</si>
  <si>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</si>
  <si>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</si>
  <si>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</si>
  <si>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</si>
  <si>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</si>
  <si>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</si>
  <si>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</si>
  <si>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</si>
  <si>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</si>
  <si>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</si>
  <si>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</si>
  <si>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</si>
  <si>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</si>
  <si>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</si>
  <si>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</si>
  <si>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</si>
  <si>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</si>
  <si>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</si>
  <si>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</si>
  <si>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</si>
  <si>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</si>
  <si>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</si>
  <si>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</si>
  <si>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</si>
  <si>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</si>
  <si>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</si>
  <si>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</si>
  <si>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</si>
  <si>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</si>
  <si>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</si>
  <si>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</si>
  <si>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</si>
  <si>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</si>
  <si>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</si>
  <si>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</si>
  <si>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</si>
  <si>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</si>
  <si>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</si>
  <si>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</si>
  <si>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</si>
  <si>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</si>
  <si>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</si>
  <si>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</si>
  <si>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</si>
  <si>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</si>
  <si>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</si>
  <si>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</si>
  <si>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</si>
  <si>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</si>
  <si>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</si>
  <si>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</si>
  <si>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</si>
  <si>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</si>
  <si>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</si>
  <si>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</si>
  <si>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</si>
  <si>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</si>
  <si>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</si>
  <si>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</si>
  <si>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</si>
  <si>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</si>
  <si>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</si>
  <si>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</si>
  <si>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</si>
  <si>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</si>
  <si>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</si>
  <si>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</si>
  <si>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</si>
  <si>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</si>
  <si>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</si>
  <si>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</si>
  <si>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</si>
  <si>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</si>
  <si>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</si>
  <si>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</si>
  <si>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</si>
  <si>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</si>
  <si>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</si>
  <si>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</si>
  <si>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</si>
  <si>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</si>
  <si>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</si>
  <si>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</si>
  <si>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</si>
  <si>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</si>
  <si>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</si>
  <si>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</si>
  <si>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</si>
  <si>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</si>
  <si>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</si>
  <si>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</si>
  <si>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</si>
  <si>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</si>
  <si>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</si>
  <si>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</si>
  <si>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</si>
  <si>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</si>
  <si>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</si>
  <si>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</si>
  <si>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</si>
  <si>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</si>
  <si>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</si>
  <si>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</si>
  <si>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</si>
  <si>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</si>
  <si>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</si>
  <si>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</si>
  <si>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</si>
  <si>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</si>
  <si>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</si>
  <si>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</si>
  <si>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</si>
  <si>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</si>
  <si>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</si>
  <si>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</si>
  <si>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</si>
  <si>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</si>
  <si>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</si>
  <si>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</si>
  <si>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</si>
  <si>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</si>
  <si>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</si>
  <si>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</si>
  <si>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</si>
  <si>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</si>
  <si>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</si>
  <si>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</si>
  <si>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</si>
  <si>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</si>
  <si>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</si>
  <si>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</si>
  <si>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</si>
  <si>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</si>
  <si>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</si>
  <si>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</si>
  <si>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</si>
  <si>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</si>
  <si>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</si>
  <si>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</si>
  <si>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</si>
  <si>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</si>
  <si>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</si>
  <si>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</si>
  <si>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</si>
  <si>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</si>
  <si>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</si>
  <si>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</si>
  <si>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</si>
  <si>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</si>
  <si>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</si>
  <si>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</si>
  <si>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</si>
  <si>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</si>
  <si>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</si>
  <si>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</si>
  <si>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</si>
  <si>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</si>
  <si>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</si>
  <si>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</si>
  <si>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</si>
  <si>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</si>
  <si>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</si>
  <si>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</si>
  <si>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</si>
  <si>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</si>
  <si>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</si>
  <si>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</si>
  <si>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</si>
  <si>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</si>
  <si>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</si>
  <si>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</si>
  <si>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</si>
  <si>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</si>
  <si>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</si>
  <si>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</si>
  <si>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</si>
  <si>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</si>
  <si>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</si>
  <si>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</si>
  <si>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</si>
  <si>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</si>
  <si>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</si>
  <si>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</si>
  <si>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</si>
  <si>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</si>
  <si>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</si>
  <si>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</si>
  <si>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</si>
  <si>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</si>
  <si>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</si>
  <si>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</si>
  <si>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</si>
  <si>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</si>
  <si>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</si>
  <si>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</si>
  <si>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</si>
  <si>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</si>
  <si>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</si>
  <si>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</si>
  <si>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</si>
  <si>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</si>
  <si>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</si>
  <si>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</si>
  <si>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</si>
  <si>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</si>
  <si>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</si>
  <si>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</si>
  <si>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</si>
  <si>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</si>
  <si>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</si>
  <si>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</si>
  <si>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</si>
  <si>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</si>
  <si>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</si>
  <si>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</si>
  <si>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</si>
  <si>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</si>
  <si>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</si>
  <si>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</si>
  <si>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</si>
  <si>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</si>
  <si>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</si>
  <si>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</si>
  <si>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</si>
  <si>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</si>
  <si>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</si>
  <si>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</si>
  <si>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</si>
  <si>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</si>
  <si>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</si>
  <si>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</si>
  <si>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</si>
  <si>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</si>
  <si>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</si>
  <si>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</si>
  <si>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</si>
  <si>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</si>
  <si>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</si>
  <si>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</si>
  <si>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</si>
  <si>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</si>
  <si>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</si>
  <si>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</si>
  <si>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</si>
  <si>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</si>
  <si>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</si>
  <si>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</si>
  <si>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</si>
  <si>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</si>
  <si>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</si>
  <si>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</si>
  <si>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</si>
  <si>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</si>
  <si>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</si>
  <si>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</si>
  <si>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</si>
  <si>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</si>
  <si>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</si>
  <si>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</si>
  <si>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</si>
  <si>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</si>
  <si>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</si>
  <si>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</si>
  <si>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</si>
  <si>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</si>
  <si>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</si>
  <si>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</si>
  <si>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</si>
  <si>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</si>
  <si>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</si>
  <si>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</si>
  <si>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</si>
  <si>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</si>
  <si>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</si>
  <si>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</si>
  <si>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</si>
  <si>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</si>
  <si>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</si>
  <si>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</si>
  <si>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</si>
  <si>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</si>
  <si>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</si>
  <si>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</si>
  <si>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</si>
  <si>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</si>
  <si>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</si>
  <si>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</si>
  <si>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</si>
  <si>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</si>
  <si>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</si>
  <si>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</si>
  <si>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</si>
  <si>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</si>
  <si>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</si>
  <si>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</si>
  <si>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</si>
  <si>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</si>
  <si>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</si>
  <si>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</si>
  <si>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</si>
  <si>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</si>
  <si>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</si>
  <si>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</si>
  <si>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</si>
  <si>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</si>
  <si>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</si>
  <si>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</si>
  <si>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</si>
  <si>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</si>
  <si>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</si>
  <si>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</si>
  <si>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</si>
  <si>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</si>
  <si>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</si>
  <si>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</si>
  <si>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</si>
  <si>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</si>
  <si>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</si>
  <si>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</si>
  <si>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</si>
  <si>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</si>
  <si>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</si>
  <si>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</si>
  <si>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</si>
  <si>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</si>
  <si>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</si>
  <si>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</si>
  <si>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</si>
  <si>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</si>
  <si>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</si>
  <si>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</si>
  <si>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</si>
  <si>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</si>
  <si>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</si>
  <si>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</si>
  <si>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</si>
  <si>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</si>
  <si>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</si>
  <si>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</si>
  <si>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</si>
  <si>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</si>
  <si>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</si>
  <si>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</si>
  <si>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</si>
  <si>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</si>
  <si>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</si>
  <si>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</si>
  <si>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</si>
  <si>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</si>
  <si>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</si>
  <si>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</si>
  <si>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</si>
  <si>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</si>
  <si>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</si>
  <si>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</si>
  <si>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</si>
  <si>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</si>
  <si>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</si>
  <si>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</si>
  <si>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</si>
  <si>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</si>
  <si>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</si>
  <si>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</si>
  <si>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</si>
  <si>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</si>
  <si>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</si>
  <si>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</si>
  <si>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</si>
  <si>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</si>
  <si>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</si>
  <si>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</si>
  <si>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E380 of the Data tab if you're required to provide a response.</t>
  </si>
  <si>
    <t>or represent 1% or more of the total revenues. A prompt will appear in Cell E414 of the Data tab if you're required to provide a response.</t>
  </si>
  <si>
    <r>
      <rPr>
        <b/>
        <sz val="11"/>
        <color theme="1"/>
        <rFont val="Calibri"/>
        <family val="2"/>
        <scheme val="minor"/>
      </rP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</si>
  <si>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t>12/31/2023</t>
  </si>
  <si>
    <t>082</t>
  </si>
  <si>
    <t>Garfield County Public Hospital District</t>
  </si>
  <si>
    <t>66 N. Sixth Street</t>
  </si>
  <si>
    <t>Pomeroy, 99347</t>
  </si>
  <si>
    <t>WA</t>
  </si>
  <si>
    <t>Garfield County</t>
  </si>
  <si>
    <t>Mat Slaybaugh and Jayd Keener</t>
  </si>
  <si>
    <t>Stephanie Miller</t>
  </si>
  <si>
    <t>Michael Field</t>
  </si>
  <si>
    <t>509-843-1591</t>
  </si>
  <si>
    <t>Post Employment Employee Benefits</t>
  </si>
  <si>
    <t>Transfers</t>
  </si>
  <si>
    <t xml:space="preserve">smiller@pomeroymd.com </t>
  </si>
  <si>
    <t>Stephanie S. Miller</t>
  </si>
  <si>
    <t>12/31/2024</t>
  </si>
  <si>
    <t xml:space="preserve">Garfield County Public Hospital District </t>
  </si>
  <si>
    <t>Dues/Fees</t>
  </si>
  <si>
    <t>Advertising/Marketing</t>
  </si>
  <si>
    <t>Banks Fees</t>
  </si>
  <si>
    <t>Other Expenses</t>
  </si>
  <si>
    <t>Mat Slaybaugh</t>
  </si>
  <si>
    <t>Postage / Freight</t>
  </si>
  <si>
    <t>updated clinic visits to match the Medicare cost report</t>
  </si>
  <si>
    <t>Jeannette Ring</t>
  </si>
  <si>
    <t>jring@dza.cpa</t>
  </si>
  <si>
    <t>Steven Cannon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</si>
</sst>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3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1"/>
      <color rgb="FF0000FF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29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50" fillId="0" borderId="0" xfId="0" applyFont="1"/>
    <xf numFmtId="0" fontId="51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12" fillId="0" borderId="0" xfId="0" applyFont="1" applyAlignment="1">
      <alignment horizontal="center" vertical="center"/>
    </xf>
    <xf numFmtId="37" fontId="18" fillId="0" borderId="0" xfId="0" applyFont="1" applyProtection="1">
      <protection locked="0"/>
    </xf>
    <xf numFmtId="37" fontId="2" fillId="0" borderId="0" xfId="0" applyFont="1"/>
    <xf numFmtId="38" fontId="2" fillId="0" borderId="0" xfId="0" applyNumberFormat="1" applyFont="1"/>
    <xf numFmtId="37" fontId="2" fillId="0" borderId="0" xfId="0" quotePrefix="1" applyFont="1" applyAlignment="1">
      <alignment vertical="center" readingOrder="1"/>
    </xf>
    <xf numFmtId="37" fontId="2" fillId="0" borderId="0" xfId="0" quotePrefix="1" applyFont="1" applyAlignment="1">
      <alignment horizontal="left"/>
    </xf>
    <xf numFmtId="37" fontId="2" fillId="0" borderId="0" xfId="0" quotePrefix="1" applyFont="1"/>
    <xf numFmtId="37" fontId="2" fillId="0" borderId="0" xfId="0" applyFont="1" applyAlignment="1">
      <alignment vertical="center" readingOrder="1"/>
    </xf>
    <xf numFmtId="37" fontId="16" fillId="30" borderId="0" xfId="0" applyFont="1" applyFill="1"/>
    <xf numFmtId="37" fontId="52" fillId="30" borderId="1" xfId="0" applyFont="1" applyFill="1" applyBorder="1" applyProtection="1">
      <protection locked="0"/>
    </xf>
    <xf numFmtId="2" fontId="16" fillId="30" borderId="0" xfId="0" applyNumberFormat="1" applyFont="1" applyFill="1"/>
    <xf numFmtId="38" fontId="26" fillId="29" borderId="14" xfId="0" quotePrefix="1" applyNumberFormat="1" applyFont="1" applyFill="1" applyBorder="1" applyProtection="1">
      <protection locked="0"/>
    </xf>
    <xf numFmtId="38" fontId="26" fillId="29" borderId="14" xfId="0" applyNumberFormat="1" applyFont="1" applyFill="1" applyBorder="1" applyProtection="1">
      <protection locked="0"/>
    </xf>
    <xf numFmtId="38" fontId="26" fillId="29" borderId="1" xfId="0" quotePrefix="1" applyNumberFormat="1" applyFont="1" applyFill="1" applyBorder="1" applyAlignment="1" applyProtection="1">
      <alignment horizontal="left"/>
      <protection locked="0"/>
    </xf>
    <xf numFmtId="38" fontId="18" fillId="30" borderId="1" xfId="0" applyNumberFormat="1" applyFont="1" applyFill="1" applyBorder="1" applyAlignment="1" applyProtection="1">
      <alignment horizontal="right"/>
      <protection locked="0"/>
    </xf>
    <xf numFmtId="0" fontId="11" fillId="0" borderId="0" xfId="631">
      <alignment vertical="top"/>
      <protection locked="0"/>
    </xf>
    <xf numFmtId="37" fontId="16" fillId="0" borderId="0" xfId="0" applyFont="1" applyProtection="1">
      <protection locked="0"/>
    </xf>
    <xf numFmtId="37" fontId="18" fillId="3" borderId="0" xfId="0" applyFont="1" applyFill="1" applyAlignment="1">
      <alignment horizontal="center" vertical="center"/>
    </xf>
    <xf numFmtId="0" fontId="51" fillId="0" borderId="0" xfId="631" applyFont="1" applyAlignment="1">
      <alignment horizontal="left"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739140</xdr:colOff>
      <xdr:row>1</xdr:row>
      <xdr:rowOff>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774700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815788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3F3E362-07C7-4A70-BE9A-B9BA4C8FB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0"/>
          <a:ext cx="1977838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mailto:smiller@pomeroymd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280" transitionEvaluation="1" transitionEntry="1" codeName="Sheet1">
    <tabColor rgb="FF92D050"/>
    <pageSetUpPr autoPageBreaks="0" fitToPage="1"/>
  </sheetPr>
  <dimension ref="A1:CF716"/>
  <sheetViews>
    <sheetView tabSelected="1" topLeftCell="A280" zoomScaleNormal="100" workbookViewId="0">
      <selection activeCell="H125" sqref="H125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1345</v>
      </c>
    </row>
    <row r="3" spans="1:5" x14ac:dyDescent="0.25">
      <c r="A3" s="56" t="s">
        <v>0</v>
      </c>
      <c r="C3" s="13"/>
    </row>
    <row r="4" spans="1:5" x14ac:dyDescent="0.25">
      <c r="A4" s="56" t="s">
        <v>1</v>
      </c>
      <c r="C4" s="13"/>
    </row>
    <row r="5" spans="1:5" x14ac:dyDescent="0.25">
      <c r="A5" s="11" t="s">
        <v>2</v>
      </c>
    </row>
    <row r="7" spans="1:5" x14ac:dyDescent="0.25">
      <c r="A7" s="304" t="s">
        <v>1344</v>
      </c>
    </row>
    <row r="8" spans="1:5" x14ac:dyDescent="0.25">
      <c r="C8" s="13"/>
    </row>
    <row r="9" spans="1:5" x14ac:dyDescent="0.25">
      <c r="A9" s="56" t="s">
        <v>4</v>
      </c>
      <c r="C9" s="13"/>
    </row>
    <row r="10" spans="1:5" x14ac:dyDescent="0.25">
      <c r="A10" s="11" t="s">
        <v>5</v>
      </c>
      <c r="C10" s="13"/>
    </row>
    <row r="11" spans="1:5" x14ac:dyDescent="0.25">
      <c r="A11" s="14" t="s">
        <v>6</v>
      </c>
      <c r="C11" s="13"/>
    </row>
    <row r="12" spans="1:5" x14ac:dyDescent="0.25">
      <c r="A12" s="12" t="s">
        <v>7</v>
      </c>
      <c r="C12" s="13"/>
    </row>
    <row r="13" spans="1:5" x14ac:dyDescent="0.25">
      <c r="A13" s="11" t="s">
        <v>8</v>
      </c>
      <c r="C13" s="13"/>
    </row>
    <row r="14" spans="1:5" x14ac:dyDescent="0.25">
      <c r="C14" s="13"/>
    </row>
    <row r="15" spans="1:5" x14ac:dyDescent="0.25">
      <c r="A15" s="59" t="s">
        <v>9</v>
      </c>
    </row>
    <row r="16" spans="1:5" x14ac:dyDescent="0.25">
      <c r="A16" s="12" t="s">
        <v>10</v>
      </c>
    </row>
    <row r="17" spans="1:10" x14ac:dyDescent="0.25">
      <c r="A17" s="14" t="s">
        <v>11</v>
      </c>
    </row>
    <row r="18" spans="1:10" ht="14.45" customHeight="1" x14ac:dyDescent="0.25">
      <c r="A18" s="14" t="s">
        <v>12</v>
      </c>
    </row>
    <row r="19" spans="1:10" ht="14.45" customHeight="1" x14ac:dyDescent="0.25">
      <c r="A19" s="14" t="s">
        <v>13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14</v>
      </c>
      <c r="E21" s="58"/>
      <c r="F21" s="58"/>
      <c r="G21" s="58"/>
      <c r="I21" s="58"/>
      <c r="J21" s="58"/>
    </row>
    <row r="22" spans="1:10" ht="16.5" x14ac:dyDescent="0.25">
      <c r="A22" s="14" t="s">
        <v>15</v>
      </c>
      <c r="E22" s="57"/>
      <c r="F22" s="57"/>
      <c r="G22" s="57"/>
      <c r="I22" s="57"/>
      <c r="J22" s="57"/>
    </row>
    <row r="23" spans="1:10" ht="16.5" x14ac:dyDescent="0.25">
      <c r="A23" s="14" t="s">
        <v>16</v>
      </c>
      <c r="E23" s="57"/>
      <c r="F23" s="57"/>
      <c r="G23" s="57"/>
      <c r="I23" s="57"/>
      <c r="J23" s="57"/>
    </row>
    <row r="24" spans="1:10" x14ac:dyDescent="0.25">
      <c r="A24" s="14" t="s">
        <v>17</v>
      </c>
    </row>
    <row r="25" spans="1:10" x14ac:dyDescent="0.25">
      <c r="A25" s="14" t="s">
        <v>18</v>
      </c>
    </row>
    <row r="26" spans="1:10" x14ac:dyDescent="0.25">
      <c r="A26" s="14"/>
    </row>
    <row r="27" spans="1:10" x14ac:dyDescent="0.25">
      <c r="A27" s="12" t="s">
        <v>19</v>
      </c>
      <c r="C27" s="13"/>
    </row>
    <row r="28" spans="1:10" x14ac:dyDescent="0.25">
      <c r="A28" s="14" t="s">
        <v>20</v>
      </c>
      <c r="C28" s="13"/>
    </row>
    <row r="29" spans="1:10" x14ac:dyDescent="0.25">
      <c r="C29" s="13"/>
    </row>
    <row r="30" spans="1:10" x14ac:dyDescent="0.25">
      <c r="A30" s="11" t="s">
        <v>21</v>
      </c>
      <c r="C30" s="266" t="s">
        <v>22</v>
      </c>
      <c r="F30" s="15"/>
    </row>
    <row r="31" spans="1:10" x14ac:dyDescent="0.25">
      <c r="C31" s="13"/>
    </row>
    <row r="32" spans="1:10" x14ac:dyDescent="0.25">
      <c r="A32" s="56" t="s">
        <v>23</v>
      </c>
      <c r="B32" s="58"/>
      <c r="C32" s="58"/>
      <c r="D32" s="58"/>
    </row>
    <row r="33" spans="1:83" x14ac:dyDescent="0.25">
      <c r="A33" s="14" t="s">
        <v>24</v>
      </c>
      <c r="B33" s="58"/>
      <c r="C33" s="58"/>
      <c r="D33" s="58"/>
    </row>
    <row r="34" spans="1:83" ht="16.5" x14ac:dyDescent="0.25">
      <c r="A34" s="14" t="s">
        <v>25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26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1347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28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1348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30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31</v>
      </c>
      <c r="C42" s="13"/>
      <c r="F42" s="15" t="s">
        <v>32</v>
      </c>
    </row>
    <row r="43" spans="1:83" x14ac:dyDescent="0.25">
      <c r="A43" s="15" t="s">
        <v>33</v>
      </c>
      <c r="C43" s="13"/>
    </row>
    <row r="44" spans="1:83" x14ac:dyDescent="0.25">
      <c r="A44" s="16"/>
      <c r="B44" s="16"/>
      <c r="C44" s="17" t="s">
        <v>34</v>
      </c>
      <c r="D44" s="18" t="s">
        <v>35</v>
      </c>
      <c r="E44" s="18" t="s">
        <v>36</v>
      </c>
      <c r="F44" s="18" t="s">
        <v>37</v>
      </c>
      <c r="G44" s="18" t="s">
        <v>38</v>
      </c>
      <c r="H44" s="18" t="s">
        <v>39</v>
      </c>
      <c r="I44" s="18" t="s">
        <v>40</v>
      </c>
      <c r="J44" s="18" t="s">
        <v>41</v>
      </c>
      <c r="K44" s="18" t="s">
        <v>42</v>
      </c>
      <c r="L44" s="18" t="s">
        <v>43</v>
      </c>
      <c r="M44" s="18" t="s">
        <v>44</v>
      </c>
      <c r="N44" s="18" t="s">
        <v>45</v>
      </c>
      <c r="O44" s="18" t="s">
        <v>46</v>
      </c>
      <c r="P44" s="18" t="s">
        <v>47</v>
      </c>
      <c r="Q44" s="18" t="s">
        <v>48</v>
      </c>
      <c r="R44" s="18" t="s">
        <v>49</v>
      </c>
      <c r="S44" s="18" t="s">
        <v>50</v>
      </c>
      <c r="T44" s="18" t="s">
        <v>51</v>
      </c>
      <c r="U44" s="18" t="s">
        <v>52</v>
      </c>
      <c r="V44" s="18" t="s">
        <v>53</v>
      </c>
      <c r="W44" s="18" t="s">
        <v>54</v>
      </c>
      <c r="X44" s="18" t="s">
        <v>55</v>
      </c>
      <c r="Y44" s="18" t="s">
        <v>56</v>
      </c>
      <c r="Z44" s="18" t="s">
        <v>57</v>
      </c>
      <c r="AA44" s="18" t="s">
        <v>58</v>
      </c>
      <c r="AB44" s="18" t="s">
        <v>59</v>
      </c>
      <c r="AC44" s="18" t="s">
        <v>60</v>
      </c>
      <c r="AD44" s="18" t="s">
        <v>61</v>
      </c>
      <c r="AE44" s="18" t="s">
        <v>62</v>
      </c>
      <c r="AF44" s="18" t="s">
        <v>63</v>
      </c>
      <c r="AG44" s="18" t="s">
        <v>64</v>
      </c>
      <c r="AH44" s="18" t="s">
        <v>65</v>
      </c>
      <c r="AI44" s="18" t="s">
        <v>66</v>
      </c>
      <c r="AJ44" s="18" t="s">
        <v>67</v>
      </c>
      <c r="AK44" s="18" t="s">
        <v>68</v>
      </c>
      <c r="AL44" s="18" t="s">
        <v>69</v>
      </c>
      <c r="AM44" s="18" t="s">
        <v>70</v>
      </c>
      <c r="AN44" s="18" t="s">
        <v>71</v>
      </c>
      <c r="AO44" s="18" t="s">
        <v>72</v>
      </c>
      <c r="AP44" s="18" t="s">
        <v>73</v>
      </c>
      <c r="AQ44" s="18" t="s">
        <v>74</v>
      </c>
      <c r="AR44" s="18" t="s">
        <v>75</v>
      </c>
      <c r="AS44" s="18" t="s">
        <v>76</v>
      </c>
      <c r="AT44" s="18" t="s">
        <v>77</v>
      </c>
      <c r="AU44" s="18" t="s">
        <v>78</v>
      </c>
      <c r="AV44" s="18" t="s">
        <v>79</v>
      </c>
      <c r="AW44" s="18" t="s">
        <v>80</v>
      </c>
      <c r="AX44" s="18" t="s">
        <v>81</v>
      </c>
      <c r="AY44" s="18" t="s">
        <v>82</v>
      </c>
      <c r="AZ44" s="18" t="s">
        <v>83</v>
      </c>
      <c r="BA44" s="18" t="s">
        <v>84</v>
      </c>
      <c r="BB44" s="18" t="s">
        <v>85</v>
      </c>
      <c r="BC44" s="18" t="s">
        <v>86</v>
      </c>
      <c r="BD44" s="18" t="s">
        <v>87</v>
      </c>
      <c r="BE44" s="18" t="s">
        <v>88</v>
      </c>
      <c r="BF44" s="18" t="s">
        <v>89</v>
      </c>
      <c r="BG44" s="18" t="s">
        <v>90</v>
      </c>
      <c r="BH44" s="18" t="s">
        <v>91</v>
      </c>
      <c r="BI44" s="18" t="s">
        <v>92</v>
      </c>
      <c r="BJ44" s="18" t="s">
        <v>93</v>
      </c>
      <c r="BK44" s="18" t="s">
        <v>94</v>
      </c>
      <c r="BL44" s="18" t="s">
        <v>95</v>
      </c>
      <c r="BM44" s="18" t="s">
        <v>96</v>
      </c>
      <c r="BN44" s="18" t="s">
        <v>97</v>
      </c>
      <c r="BO44" s="18" t="s">
        <v>98</v>
      </c>
      <c r="BP44" s="18" t="s">
        <v>99</v>
      </c>
      <c r="BQ44" s="18" t="s">
        <v>100</v>
      </c>
      <c r="BR44" s="18" t="s">
        <v>101</v>
      </c>
      <c r="BS44" s="18" t="s">
        <v>102</v>
      </c>
      <c r="BT44" s="18" t="s">
        <v>103</v>
      </c>
      <c r="BU44" s="18" t="s">
        <v>104</v>
      </c>
      <c r="BV44" s="18" t="s">
        <v>105</v>
      </c>
      <c r="BW44" s="18" t="s">
        <v>106</v>
      </c>
      <c r="BX44" s="18" t="s">
        <v>107</v>
      </c>
      <c r="BY44" s="18" t="s">
        <v>108</v>
      </c>
      <c r="BZ44" s="18" t="s">
        <v>109</v>
      </c>
      <c r="CA44" s="18" t="s">
        <v>110</v>
      </c>
      <c r="CB44" s="18" t="s">
        <v>111</v>
      </c>
      <c r="CC44" s="18" t="s">
        <v>112</v>
      </c>
      <c r="CD44" s="18" t="s">
        <v>113</v>
      </c>
      <c r="CE44" s="18" t="s">
        <v>114</v>
      </c>
    </row>
    <row r="45" spans="1:83" x14ac:dyDescent="0.25">
      <c r="A45" s="16"/>
      <c r="B45" s="19" t="s">
        <v>115</v>
      </c>
      <c r="C45" s="17" t="s">
        <v>116</v>
      </c>
      <c r="D45" s="18" t="s">
        <v>117</v>
      </c>
      <c r="E45" s="18" t="s">
        <v>118</v>
      </c>
      <c r="F45" s="18" t="s">
        <v>119</v>
      </c>
      <c r="G45" s="18" t="s">
        <v>120</v>
      </c>
      <c r="H45" s="18" t="s">
        <v>121</v>
      </c>
      <c r="I45" s="18" t="s">
        <v>122</v>
      </c>
      <c r="J45" s="18" t="s">
        <v>123</v>
      </c>
      <c r="K45" s="18" t="s">
        <v>124</v>
      </c>
      <c r="L45" s="18" t="s">
        <v>125</v>
      </c>
      <c r="M45" s="18" t="s">
        <v>126</v>
      </c>
      <c r="N45" s="18" t="s">
        <v>127</v>
      </c>
      <c r="O45" s="18" t="s">
        <v>128</v>
      </c>
      <c r="P45" s="18" t="s">
        <v>129</v>
      </c>
      <c r="Q45" s="18" t="s">
        <v>130</v>
      </c>
      <c r="R45" s="18" t="s">
        <v>131</v>
      </c>
      <c r="S45" s="18" t="s">
        <v>132</v>
      </c>
      <c r="T45" s="18" t="s">
        <v>133</v>
      </c>
      <c r="U45" s="18" t="s">
        <v>134</v>
      </c>
      <c r="V45" s="18" t="s">
        <v>135</v>
      </c>
      <c r="W45" s="18" t="s">
        <v>136</v>
      </c>
      <c r="X45" s="18" t="s">
        <v>137</v>
      </c>
      <c r="Y45" s="18" t="s">
        <v>138</v>
      </c>
      <c r="Z45" s="18" t="s">
        <v>138</v>
      </c>
      <c r="AA45" s="18" t="s">
        <v>139</v>
      </c>
      <c r="AB45" s="18" t="s">
        <v>140</v>
      </c>
      <c r="AC45" s="18" t="s">
        <v>141</v>
      </c>
      <c r="AD45" s="18" t="s">
        <v>142</v>
      </c>
      <c r="AE45" s="18" t="s">
        <v>120</v>
      </c>
      <c r="AF45" s="18" t="s">
        <v>121</v>
      </c>
      <c r="AG45" s="18" t="s">
        <v>143</v>
      </c>
      <c r="AH45" s="18" t="s">
        <v>144</v>
      </c>
      <c r="AI45" s="18" t="s">
        <v>145</v>
      </c>
      <c r="AJ45" s="18" t="s">
        <v>146</v>
      </c>
      <c r="AK45" s="18" t="s">
        <v>147</v>
      </c>
      <c r="AL45" s="18" t="s">
        <v>148</v>
      </c>
      <c r="AM45" s="18" t="s">
        <v>149</v>
      </c>
      <c r="AN45" s="18" t="s">
        <v>135</v>
      </c>
      <c r="AO45" s="18" t="s">
        <v>150</v>
      </c>
      <c r="AP45" s="18" t="s">
        <v>151</v>
      </c>
      <c r="AQ45" s="18" t="s">
        <v>152</v>
      </c>
      <c r="AR45" s="18" t="s">
        <v>153</v>
      </c>
      <c r="AS45" s="18" t="s">
        <v>154</v>
      </c>
      <c r="AT45" s="18" t="s">
        <v>155</v>
      </c>
      <c r="AU45" s="18" t="s">
        <v>156</v>
      </c>
      <c r="AV45" s="18" t="s">
        <v>157</v>
      </c>
      <c r="AW45" s="18" t="s">
        <v>158</v>
      </c>
      <c r="AX45" s="18" t="s">
        <v>159</v>
      </c>
      <c r="AY45" s="18" t="s">
        <v>160</v>
      </c>
      <c r="AZ45" s="18" t="s">
        <v>161</v>
      </c>
      <c r="BA45" s="18" t="s">
        <v>162</v>
      </c>
      <c r="BB45" s="18" t="s">
        <v>163</v>
      </c>
      <c r="BC45" s="18" t="s">
        <v>132</v>
      </c>
      <c r="BD45" s="18" t="s">
        <v>164</v>
      </c>
      <c r="BE45" s="18" t="s">
        <v>165</v>
      </c>
      <c r="BF45" s="18" t="s">
        <v>166</v>
      </c>
      <c r="BG45" s="18" t="s">
        <v>167</v>
      </c>
      <c r="BH45" s="18" t="s">
        <v>168</v>
      </c>
      <c r="BI45" s="18" t="s">
        <v>169</v>
      </c>
      <c r="BJ45" s="18" t="s">
        <v>170</v>
      </c>
      <c r="BK45" s="18" t="s">
        <v>171</v>
      </c>
      <c r="BL45" s="18" t="s">
        <v>172</v>
      </c>
      <c r="BM45" s="18" t="s">
        <v>157</v>
      </c>
      <c r="BN45" s="18" t="s">
        <v>173</v>
      </c>
      <c r="BO45" s="18" t="s">
        <v>174</v>
      </c>
      <c r="BP45" s="18" t="s">
        <v>175</v>
      </c>
      <c r="BQ45" s="18" t="s">
        <v>176</v>
      </c>
      <c r="BR45" s="18" t="s">
        <v>177</v>
      </c>
      <c r="BS45" s="18" t="s">
        <v>178</v>
      </c>
      <c r="BT45" s="18" t="s">
        <v>179</v>
      </c>
      <c r="BU45" s="18" t="s">
        <v>180</v>
      </c>
      <c r="BV45" s="18" t="s">
        <v>180</v>
      </c>
      <c r="BW45" s="18" t="s">
        <v>180</v>
      </c>
      <c r="BX45" s="18" t="s">
        <v>181</v>
      </c>
      <c r="BY45" s="18" t="s">
        <v>182</v>
      </c>
      <c r="BZ45" s="18" t="s">
        <v>183</v>
      </c>
      <c r="CA45" s="18" t="s">
        <v>184</v>
      </c>
      <c r="CB45" s="18" t="s">
        <v>185</v>
      </c>
      <c r="CC45" s="18" t="s">
        <v>157</v>
      </c>
      <c r="CD45" s="18"/>
      <c r="CE45" s="18" t="s">
        <v>186</v>
      </c>
    </row>
    <row r="46" spans="1:83" x14ac:dyDescent="0.25">
      <c r="A46" s="16" t="s">
        <v>9</v>
      </c>
      <c r="B46" s="18" t="s">
        <v>187</v>
      </c>
      <c r="C46" s="17" t="s">
        <v>188</v>
      </c>
      <c r="D46" s="18" t="s">
        <v>188</v>
      </c>
      <c r="E46" s="18" t="s">
        <v>188</v>
      </c>
      <c r="F46" s="18" t="s">
        <v>189</v>
      </c>
      <c r="G46" s="18" t="s">
        <v>190</v>
      </c>
      <c r="H46" s="18" t="s">
        <v>188</v>
      </c>
      <c r="I46" s="18" t="s">
        <v>191</v>
      </c>
      <c r="J46" s="18"/>
      <c r="K46" s="18" t="s">
        <v>182</v>
      </c>
      <c r="L46" s="18" t="s">
        <v>192</v>
      </c>
      <c r="M46" s="18" t="s">
        <v>193</v>
      </c>
      <c r="N46" s="18" t="s">
        <v>194</v>
      </c>
      <c r="O46" s="18" t="s">
        <v>195</v>
      </c>
      <c r="P46" s="18" t="s">
        <v>194</v>
      </c>
      <c r="Q46" s="18" t="s">
        <v>196</v>
      </c>
      <c r="R46" s="18"/>
      <c r="S46" s="18" t="s">
        <v>194</v>
      </c>
      <c r="T46" s="18" t="s">
        <v>197</v>
      </c>
      <c r="U46" s="18"/>
      <c r="V46" s="18" t="s">
        <v>198</v>
      </c>
      <c r="W46" s="18" t="s">
        <v>199</v>
      </c>
      <c r="X46" s="18" t="s">
        <v>200</v>
      </c>
      <c r="Y46" s="18" t="s">
        <v>201</v>
      </c>
      <c r="Z46" s="18" t="s">
        <v>202</v>
      </c>
      <c r="AA46" s="18" t="s">
        <v>203</v>
      </c>
      <c r="AB46" s="18"/>
      <c r="AC46" s="18" t="s">
        <v>197</v>
      </c>
      <c r="AD46" s="18"/>
      <c r="AE46" s="18" t="s">
        <v>197</v>
      </c>
      <c r="AF46" s="18" t="s">
        <v>204</v>
      </c>
      <c r="AG46" s="18" t="s">
        <v>196</v>
      </c>
      <c r="AH46" s="18"/>
      <c r="AI46" s="18" t="s">
        <v>205</v>
      </c>
      <c r="AJ46" s="18"/>
      <c r="AK46" s="18" t="s">
        <v>197</v>
      </c>
      <c r="AL46" s="18" t="s">
        <v>197</v>
      </c>
      <c r="AM46" s="18" t="s">
        <v>197</v>
      </c>
      <c r="AN46" s="18" t="s">
        <v>206</v>
      </c>
      <c r="AO46" s="18" t="s">
        <v>207</v>
      </c>
      <c r="AP46" s="18" t="s">
        <v>146</v>
      </c>
      <c r="AQ46" s="18" t="s">
        <v>208</v>
      </c>
      <c r="AR46" s="18" t="s">
        <v>194</v>
      </c>
      <c r="AS46" s="18"/>
      <c r="AT46" s="18" t="s">
        <v>209</v>
      </c>
      <c r="AU46" s="18" t="s">
        <v>210</v>
      </c>
      <c r="AV46" s="18" t="s">
        <v>211</v>
      </c>
      <c r="AW46" s="18" t="s">
        <v>212</v>
      </c>
      <c r="AX46" s="18" t="s">
        <v>213</v>
      </c>
      <c r="AY46" s="18"/>
      <c r="AZ46" s="18"/>
      <c r="BA46" s="18" t="s">
        <v>214</v>
      </c>
      <c r="BB46" s="18" t="s">
        <v>194</v>
      </c>
      <c r="BC46" s="18" t="s">
        <v>208</v>
      </c>
      <c r="BD46" s="18"/>
      <c r="BE46" s="18"/>
      <c r="BF46" s="18"/>
      <c r="BG46" s="18"/>
      <c r="BH46" s="18" t="s">
        <v>215</v>
      </c>
      <c r="BI46" s="18" t="s">
        <v>194</v>
      </c>
      <c r="BJ46" s="18"/>
      <c r="BK46" s="18" t="s">
        <v>216</v>
      </c>
      <c r="BL46" s="18"/>
      <c r="BM46" s="18" t="s">
        <v>217</v>
      </c>
      <c r="BN46" s="18" t="s">
        <v>218</v>
      </c>
      <c r="BO46" s="18" t="s">
        <v>219</v>
      </c>
      <c r="BP46" s="18" t="s">
        <v>220</v>
      </c>
      <c r="BQ46" s="18" t="s">
        <v>221</v>
      </c>
      <c r="BR46" s="18"/>
      <c r="BS46" s="18" t="s">
        <v>222</v>
      </c>
      <c r="BT46" s="18" t="s">
        <v>194</v>
      </c>
      <c r="BU46" s="18" t="s">
        <v>223</v>
      </c>
      <c r="BV46" s="18" t="s">
        <v>224</v>
      </c>
      <c r="BW46" s="18" t="s">
        <v>225</v>
      </c>
      <c r="BX46" s="18" t="s">
        <v>176</v>
      </c>
      <c r="BY46" s="18" t="s">
        <v>218</v>
      </c>
      <c r="BZ46" s="18" t="s">
        <v>177</v>
      </c>
      <c r="CA46" s="18" t="s">
        <v>226</v>
      </c>
      <c r="CB46" s="18" t="s">
        <v>226</v>
      </c>
      <c r="CC46" s="18" t="s">
        <v>227</v>
      </c>
      <c r="CD46" s="18"/>
      <c r="CE46" s="18" t="s">
        <v>228</v>
      </c>
    </row>
    <row r="47" spans="1:83" x14ac:dyDescent="0.25">
      <c r="A47" s="16" t="s">
        <v>229</v>
      </c>
      <c r="B47" s="272">
        <v>0</v>
      </c>
      <c r="C47" s="273">
        <v>0</v>
      </c>
      <c r="D47" s="273">
        <v>0</v>
      </c>
      <c r="E47" s="273">
        <v>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0</v>
      </c>
      <c r="AC47" s="273">
        <v>0</v>
      </c>
      <c r="AD47" s="273">
        <v>0</v>
      </c>
      <c r="AE47" s="273">
        <v>0</v>
      </c>
      <c r="AF47" s="273">
        <v>0</v>
      </c>
      <c r="AG47" s="273">
        <v>0</v>
      </c>
      <c r="AH47" s="273">
        <v>0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0</v>
      </c>
      <c r="AZ47" s="273">
        <v>0</v>
      </c>
      <c r="BA47" s="273">
        <v>0</v>
      </c>
      <c r="BB47" s="273">
        <v>0</v>
      </c>
      <c r="BC47" s="273">
        <v>0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0</v>
      </c>
      <c r="CD47" s="16"/>
      <c r="CE47" s="25">
        <f>SUM(C47:CC47)</f>
        <v>0</v>
      </c>
    </row>
    <row r="48" spans="1:83" x14ac:dyDescent="0.25">
      <c r="A48" s="25" t="s">
        <v>230</v>
      </c>
      <c r="B48" s="272">
        <v>1855031</v>
      </c>
      <c r="C48" s="25">
        <f t="shared" ref="C48:AH48" si="0">IF($B$48,(ROUND((($B$48/$CE$61)*C61),0)))</f>
        <v>0</v>
      </c>
      <c r="D48" s="25">
        <f t="shared" si="0"/>
        <v>0</v>
      </c>
      <c r="E48" s="25">
        <f t="shared" si="0"/>
        <v>15516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680770</v>
      </c>
      <c r="M48" s="25">
        <f t="shared" si="0"/>
        <v>0</v>
      </c>
      <c r="N48" s="25">
        <f t="shared" si="0"/>
        <v>0</v>
      </c>
      <c r="O48" s="25">
        <f t="shared" si="0"/>
        <v>0</v>
      </c>
      <c r="P48" s="25">
        <f t="shared" si="0"/>
        <v>0</v>
      </c>
      <c r="Q48" s="25">
        <f t="shared" si="0"/>
        <v>0</v>
      </c>
      <c r="R48" s="25">
        <f t="shared" si="0"/>
        <v>0</v>
      </c>
      <c r="S48" s="25">
        <f t="shared" si="0"/>
        <v>15712</v>
      </c>
      <c r="T48" s="25">
        <f t="shared" si="0"/>
        <v>0</v>
      </c>
      <c r="U48" s="25">
        <f t="shared" si="0"/>
        <v>99147</v>
      </c>
      <c r="V48" s="25">
        <f t="shared" si="0"/>
        <v>667</v>
      </c>
      <c r="W48" s="25">
        <f t="shared" si="0"/>
        <v>0</v>
      </c>
      <c r="X48" s="25">
        <f t="shared" si="0"/>
        <v>0</v>
      </c>
      <c r="Y48" s="25">
        <f t="shared" si="0"/>
        <v>112290</v>
      </c>
      <c r="Z48" s="25">
        <f t="shared" si="0"/>
        <v>0</v>
      </c>
      <c r="AA48" s="25">
        <f t="shared" si="0"/>
        <v>0</v>
      </c>
      <c r="AB48" s="25">
        <f t="shared" si="0"/>
        <v>0</v>
      </c>
      <c r="AC48" s="25">
        <f t="shared" si="0"/>
        <v>0</v>
      </c>
      <c r="AD48" s="25">
        <f t="shared" si="0"/>
        <v>936</v>
      </c>
      <c r="AE48" s="25">
        <f t="shared" si="0"/>
        <v>43242</v>
      </c>
      <c r="AF48" s="25">
        <f t="shared" si="0"/>
        <v>0</v>
      </c>
      <c r="AG48" s="25">
        <f t="shared" si="0"/>
        <v>214683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150241</v>
      </c>
      <c r="AK48" s="25">
        <f t="shared" si="1"/>
        <v>0</v>
      </c>
      <c r="AL48" s="25">
        <f t="shared" si="1"/>
        <v>0</v>
      </c>
      <c r="AM48" s="25">
        <f t="shared" si="1"/>
        <v>0</v>
      </c>
      <c r="AN48" s="25">
        <f t="shared" si="1"/>
        <v>0</v>
      </c>
      <c r="AO48" s="25">
        <f t="shared" si="1"/>
        <v>1911</v>
      </c>
      <c r="AP48" s="25">
        <f t="shared" si="1"/>
        <v>0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0</v>
      </c>
      <c r="AW48" s="25">
        <f t="shared" si="1"/>
        <v>0</v>
      </c>
      <c r="AX48" s="25">
        <f t="shared" si="1"/>
        <v>0</v>
      </c>
      <c r="AY48" s="25">
        <f t="shared" si="1"/>
        <v>93322</v>
      </c>
      <c r="AZ48" s="25">
        <f t="shared" si="1"/>
        <v>0</v>
      </c>
      <c r="BA48" s="25">
        <f t="shared" si="1"/>
        <v>14761</v>
      </c>
      <c r="BB48" s="25">
        <f t="shared" si="1"/>
        <v>36120</v>
      </c>
      <c r="BC48" s="25">
        <f t="shared" si="1"/>
        <v>0</v>
      </c>
      <c r="BD48" s="25">
        <f t="shared" si="1"/>
        <v>0</v>
      </c>
      <c r="BE48" s="25">
        <f t="shared" si="1"/>
        <v>46945</v>
      </c>
      <c r="BF48" s="25">
        <f t="shared" si="1"/>
        <v>39845</v>
      </c>
      <c r="BG48" s="25">
        <f t="shared" si="1"/>
        <v>0</v>
      </c>
      <c r="BH48" s="25">
        <f t="shared" si="1"/>
        <v>20354</v>
      </c>
      <c r="BI48" s="25">
        <f t="shared" si="1"/>
        <v>0</v>
      </c>
      <c r="BJ48" s="25">
        <f t="shared" si="1"/>
        <v>70308</v>
      </c>
      <c r="BK48" s="25">
        <f t="shared" si="1"/>
        <v>0</v>
      </c>
      <c r="BL48" s="25">
        <f t="shared" si="1"/>
        <v>0</v>
      </c>
      <c r="BM48" s="25">
        <f t="shared" si="1"/>
        <v>0</v>
      </c>
      <c r="BN48" s="25">
        <f t="shared" si="1"/>
        <v>51771</v>
      </c>
      <c r="BO48" s="25">
        <f t="shared" ref="BO48:CD48" si="2">IF($B$48,(ROUND((($B$48/$CE$61)*BO61),0)))</f>
        <v>0</v>
      </c>
      <c r="BP48" s="25">
        <f t="shared" si="2"/>
        <v>0</v>
      </c>
      <c r="BQ48" s="25">
        <f t="shared" si="2"/>
        <v>0</v>
      </c>
      <c r="BR48" s="25">
        <f t="shared" si="2"/>
        <v>21426</v>
      </c>
      <c r="BS48" s="25">
        <f t="shared" si="2"/>
        <v>0</v>
      </c>
      <c r="BT48" s="25">
        <f t="shared" si="2"/>
        <v>0</v>
      </c>
      <c r="BU48" s="25">
        <f t="shared" si="2"/>
        <v>0</v>
      </c>
      <c r="BV48" s="25">
        <f t="shared" si="2"/>
        <v>77380</v>
      </c>
      <c r="BW48" s="25">
        <f t="shared" si="2"/>
        <v>0</v>
      </c>
      <c r="BX48" s="25">
        <f t="shared" si="2"/>
        <v>0</v>
      </c>
      <c r="BY48" s="25">
        <f t="shared" si="2"/>
        <v>47684</v>
      </c>
      <c r="BZ48" s="25">
        <f t="shared" si="2"/>
        <v>0</v>
      </c>
      <c r="CA48" s="25">
        <f t="shared" si="2"/>
        <v>0</v>
      </c>
      <c r="CB48" s="25">
        <f t="shared" si="2"/>
        <v>0</v>
      </c>
      <c r="CC48" s="25">
        <f t="shared" si="2"/>
        <v>0</v>
      </c>
      <c r="CD48" s="25">
        <f t="shared" si="2"/>
        <v>0</v>
      </c>
      <c r="CE48" s="25">
        <f>SUM(C48:CD48)</f>
        <v>1855031</v>
      </c>
    </row>
    <row r="49" spans="1:83" x14ac:dyDescent="0.25">
      <c r="A49" s="16" t="s">
        <v>231</v>
      </c>
      <c r="B49" s="25">
        <f>B47+B48</f>
        <v>1855031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232</v>
      </c>
      <c r="B51" s="273">
        <v>0</v>
      </c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f>SUM(C51:CD51)</f>
        <v>0</v>
      </c>
    </row>
    <row r="52" spans="1:83" x14ac:dyDescent="0.25">
      <c r="A52" s="31" t="s">
        <v>233</v>
      </c>
      <c r="B52" s="272">
        <v>281086</v>
      </c>
      <c r="C52" s="25">
        <f t="shared" ref="C52:AH52" si="3">IF($B$52,ROUND(($B$52/($CE$90+$CF$90)*C90),0))</f>
        <v>0</v>
      </c>
      <c r="D52" s="25">
        <f t="shared" si="3"/>
        <v>0</v>
      </c>
      <c r="E52" s="25">
        <f t="shared" si="3"/>
        <v>2967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129963</v>
      </c>
      <c r="M52" s="25">
        <f t="shared" si="3"/>
        <v>0</v>
      </c>
      <c r="N52" s="25">
        <f t="shared" si="3"/>
        <v>0</v>
      </c>
      <c r="O52" s="25">
        <f t="shared" si="3"/>
        <v>0</v>
      </c>
      <c r="P52" s="25">
        <f t="shared" si="3"/>
        <v>0</v>
      </c>
      <c r="Q52" s="25">
        <f t="shared" si="3"/>
        <v>0</v>
      </c>
      <c r="R52" s="25">
        <f t="shared" si="3"/>
        <v>0</v>
      </c>
      <c r="S52" s="25">
        <f t="shared" si="3"/>
        <v>3836</v>
      </c>
      <c r="T52" s="25">
        <f t="shared" si="3"/>
        <v>0</v>
      </c>
      <c r="U52" s="25">
        <f t="shared" si="3"/>
        <v>9798</v>
      </c>
      <c r="V52" s="25">
        <f t="shared" si="3"/>
        <v>0</v>
      </c>
      <c r="W52" s="25">
        <f t="shared" si="3"/>
        <v>0</v>
      </c>
      <c r="X52" s="25">
        <f t="shared" si="3"/>
        <v>0</v>
      </c>
      <c r="Y52" s="25">
        <f t="shared" si="3"/>
        <v>5160</v>
      </c>
      <c r="Z52" s="25">
        <f t="shared" si="3"/>
        <v>0</v>
      </c>
      <c r="AA52" s="25">
        <f t="shared" si="3"/>
        <v>0</v>
      </c>
      <c r="AB52" s="25">
        <f t="shared" si="3"/>
        <v>762</v>
      </c>
      <c r="AC52" s="25">
        <f t="shared" si="3"/>
        <v>0</v>
      </c>
      <c r="AD52" s="25">
        <f t="shared" si="3"/>
        <v>0</v>
      </c>
      <c r="AE52" s="25">
        <f t="shared" si="3"/>
        <v>6697</v>
      </c>
      <c r="AF52" s="25">
        <f t="shared" si="3"/>
        <v>0</v>
      </c>
      <c r="AG52" s="25">
        <f t="shared" si="3"/>
        <v>11629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13848</v>
      </c>
      <c r="AK52" s="25">
        <f t="shared" si="4"/>
        <v>0</v>
      </c>
      <c r="AL52" s="25">
        <f t="shared" si="4"/>
        <v>0</v>
      </c>
      <c r="AM52" s="25">
        <f t="shared" si="4"/>
        <v>0</v>
      </c>
      <c r="AN52" s="25">
        <f t="shared" si="4"/>
        <v>0</v>
      </c>
      <c r="AO52" s="25">
        <f t="shared" si="4"/>
        <v>361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0</v>
      </c>
      <c r="AW52" s="25">
        <f t="shared" si="4"/>
        <v>0</v>
      </c>
      <c r="AX52" s="25">
        <f t="shared" si="4"/>
        <v>0</v>
      </c>
      <c r="AY52" s="25">
        <f t="shared" si="4"/>
        <v>15184</v>
      </c>
      <c r="AZ52" s="25">
        <f t="shared" si="4"/>
        <v>0</v>
      </c>
      <c r="BA52" s="25">
        <f t="shared" si="4"/>
        <v>9931</v>
      </c>
      <c r="BB52" s="25">
        <f t="shared" si="4"/>
        <v>0</v>
      </c>
      <c r="BC52" s="25">
        <f t="shared" si="4"/>
        <v>0</v>
      </c>
      <c r="BD52" s="25">
        <f t="shared" si="4"/>
        <v>0</v>
      </c>
      <c r="BE52" s="25">
        <f t="shared" si="4"/>
        <v>20103</v>
      </c>
      <c r="BF52" s="25">
        <f t="shared" si="4"/>
        <v>2379</v>
      </c>
      <c r="BG52" s="25">
        <f t="shared" si="4"/>
        <v>0</v>
      </c>
      <c r="BH52" s="25">
        <f t="shared" si="4"/>
        <v>0</v>
      </c>
      <c r="BI52" s="25">
        <f t="shared" si="4"/>
        <v>0</v>
      </c>
      <c r="BJ52" s="25">
        <f t="shared" si="4"/>
        <v>0</v>
      </c>
      <c r="BK52" s="25">
        <f t="shared" si="4"/>
        <v>0</v>
      </c>
      <c r="BL52" s="25">
        <f t="shared" si="4"/>
        <v>0</v>
      </c>
      <c r="BM52" s="25">
        <f t="shared" si="4"/>
        <v>0</v>
      </c>
      <c r="BN52" s="25">
        <f t="shared" si="4"/>
        <v>43067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0</v>
      </c>
      <c r="BS52" s="25">
        <f t="shared" si="5"/>
        <v>0</v>
      </c>
      <c r="BT52" s="25">
        <f t="shared" si="5"/>
        <v>0</v>
      </c>
      <c r="BU52" s="25">
        <f t="shared" si="5"/>
        <v>0</v>
      </c>
      <c r="BV52" s="25">
        <f t="shared" si="5"/>
        <v>4759</v>
      </c>
      <c r="BW52" s="25">
        <f t="shared" si="5"/>
        <v>0</v>
      </c>
      <c r="BX52" s="25">
        <f t="shared" si="5"/>
        <v>0</v>
      </c>
      <c r="BY52" s="25">
        <f t="shared" si="5"/>
        <v>642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0</v>
      </c>
      <c r="CD52" s="25">
        <f t="shared" si="5"/>
        <v>0</v>
      </c>
      <c r="CE52" s="25">
        <f>SUM(C52:CD52)</f>
        <v>281086</v>
      </c>
    </row>
    <row r="53" spans="1:83" x14ac:dyDescent="0.25">
      <c r="A53" s="16" t="s">
        <v>231</v>
      </c>
      <c r="B53" s="25">
        <f>B51+B52</f>
        <v>281086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234</v>
      </c>
      <c r="B55" s="16"/>
      <c r="C55" s="17" t="s">
        <v>34</v>
      </c>
      <c r="D55" s="18" t="s">
        <v>35</v>
      </c>
      <c r="E55" s="18" t="s">
        <v>36</v>
      </c>
      <c r="F55" s="18" t="s">
        <v>37</v>
      </c>
      <c r="G55" s="18" t="s">
        <v>38</v>
      </c>
      <c r="H55" s="18" t="s">
        <v>39</v>
      </c>
      <c r="I55" s="18" t="s">
        <v>40</v>
      </c>
      <c r="J55" s="18" t="s">
        <v>41</v>
      </c>
      <c r="K55" s="18" t="s">
        <v>42</v>
      </c>
      <c r="L55" s="18" t="s">
        <v>43</v>
      </c>
      <c r="M55" s="18" t="s">
        <v>44</v>
      </c>
      <c r="N55" s="18" t="s">
        <v>45</v>
      </c>
      <c r="O55" s="18" t="s">
        <v>46</v>
      </c>
      <c r="P55" s="18" t="s">
        <v>47</v>
      </c>
      <c r="Q55" s="18" t="s">
        <v>48</v>
      </c>
      <c r="R55" s="18" t="s">
        <v>49</v>
      </c>
      <c r="S55" s="18" t="s">
        <v>50</v>
      </c>
      <c r="T55" s="23" t="s">
        <v>51</v>
      </c>
      <c r="U55" s="18" t="s">
        <v>52</v>
      </c>
      <c r="V55" s="18" t="s">
        <v>53</v>
      </c>
      <c r="W55" s="18" t="s">
        <v>54</v>
      </c>
      <c r="X55" s="18" t="s">
        <v>55</v>
      </c>
      <c r="Y55" s="18" t="s">
        <v>56</v>
      </c>
      <c r="Z55" s="18" t="s">
        <v>57</v>
      </c>
      <c r="AA55" s="18" t="s">
        <v>58</v>
      </c>
      <c r="AB55" s="18" t="s">
        <v>59</v>
      </c>
      <c r="AC55" s="18" t="s">
        <v>60</v>
      </c>
      <c r="AD55" s="18" t="s">
        <v>61</v>
      </c>
      <c r="AE55" s="18" t="s">
        <v>62</v>
      </c>
      <c r="AF55" s="18" t="s">
        <v>63</v>
      </c>
      <c r="AG55" s="18" t="s">
        <v>64</v>
      </c>
      <c r="AH55" s="18" t="s">
        <v>65</v>
      </c>
      <c r="AI55" s="18" t="s">
        <v>66</v>
      </c>
      <c r="AJ55" s="18" t="s">
        <v>67</v>
      </c>
      <c r="AK55" s="18" t="s">
        <v>68</v>
      </c>
      <c r="AL55" s="18" t="s">
        <v>69</v>
      </c>
      <c r="AM55" s="18" t="s">
        <v>70</v>
      </c>
      <c r="AN55" s="18" t="s">
        <v>71</v>
      </c>
      <c r="AO55" s="18" t="s">
        <v>72</v>
      </c>
      <c r="AP55" s="18" t="s">
        <v>73</v>
      </c>
      <c r="AQ55" s="18" t="s">
        <v>74</v>
      </c>
      <c r="AR55" s="18" t="s">
        <v>75</v>
      </c>
      <c r="AS55" s="18" t="s">
        <v>76</v>
      </c>
      <c r="AT55" s="18" t="s">
        <v>77</v>
      </c>
      <c r="AU55" s="18" t="s">
        <v>78</v>
      </c>
      <c r="AV55" s="18" t="s">
        <v>79</v>
      </c>
      <c r="AW55" s="18" t="s">
        <v>80</v>
      </c>
      <c r="AX55" s="18" t="s">
        <v>81</v>
      </c>
      <c r="AY55" s="18" t="s">
        <v>82</v>
      </c>
      <c r="AZ55" s="18" t="s">
        <v>83</v>
      </c>
      <c r="BA55" s="18" t="s">
        <v>84</v>
      </c>
      <c r="BB55" s="18" t="s">
        <v>85</v>
      </c>
      <c r="BC55" s="18" t="s">
        <v>86</v>
      </c>
      <c r="BD55" s="18" t="s">
        <v>87</v>
      </c>
      <c r="BE55" s="18" t="s">
        <v>88</v>
      </c>
      <c r="BF55" s="18" t="s">
        <v>89</v>
      </c>
      <c r="BG55" s="18" t="s">
        <v>90</v>
      </c>
      <c r="BH55" s="18" t="s">
        <v>91</v>
      </c>
      <c r="BI55" s="18" t="s">
        <v>92</v>
      </c>
      <c r="BJ55" s="18" t="s">
        <v>93</v>
      </c>
      <c r="BK55" s="18" t="s">
        <v>94</v>
      </c>
      <c r="BL55" s="18" t="s">
        <v>95</v>
      </c>
      <c r="BM55" s="18" t="s">
        <v>96</v>
      </c>
      <c r="BN55" s="18" t="s">
        <v>97</v>
      </c>
      <c r="BO55" s="18" t="s">
        <v>98</v>
      </c>
      <c r="BP55" s="18" t="s">
        <v>99</v>
      </c>
      <c r="BQ55" s="18" t="s">
        <v>100</v>
      </c>
      <c r="BR55" s="18" t="s">
        <v>101</v>
      </c>
      <c r="BS55" s="18" t="s">
        <v>102</v>
      </c>
      <c r="BT55" s="18" t="s">
        <v>103</v>
      </c>
      <c r="BU55" s="18" t="s">
        <v>104</v>
      </c>
      <c r="BV55" s="18" t="s">
        <v>105</v>
      </c>
      <c r="BW55" s="18" t="s">
        <v>106</v>
      </c>
      <c r="BX55" s="18" t="s">
        <v>107</v>
      </c>
      <c r="BY55" s="18" t="s">
        <v>108</v>
      </c>
      <c r="BZ55" s="18" t="s">
        <v>109</v>
      </c>
      <c r="CA55" s="18" t="s">
        <v>110</v>
      </c>
      <c r="CB55" s="18" t="s">
        <v>111</v>
      </c>
      <c r="CC55" s="18" t="s">
        <v>112</v>
      </c>
      <c r="CD55" s="18" t="s">
        <v>113</v>
      </c>
      <c r="CE55" s="18" t="s">
        <v>114</v>
      </c>
    </row>
    <row r="56" spans="1:83" x14ac:dyDescent="0.25">
      <c r="A56" s="21" t="s">
        <v>235</v>
      </c>
      <c r="B56" s="16"/>
      <c r="C56" s="17" t="s">
        <v>116</v>
      </c>
      <c r="D56" s="18" t="s">
        <v>117</v>
      </c>
      <c r="E56" s="18" t="s">
        <v>118</v>
      </c>
      <c r="F56" s="18" t="s">
        <v>119</v>
      </c>
      <c r="G56" s="18" t="s">
        <v>120</v>
      </c>
      <c r="H56" s="18" t="s">
        <v>121</v>
      </c>
      <c r="I56" s="18" t="s">
        <v>122</v>
      </c>
      <c r="J56" s="18" t="s">
        <v>123</v>
      </c>
      <c r="K56" s="18" t="s">
        <v>124</v>
      </c>
      <c r="L56" s="18" t="s">
        <v>125</v>
      </c>
      <c r="M56" s="18" t="s">
        <v>126</v>
      </c>
      <c r="N56" s="18" t="s">
        <v>127</v>
      </c>
      <c r="O56" s="18" t="s">
        <v>128</v>
      </c>
      <c r="P56" s="18" t="s">
        <v>129</v>
      </c>
      <c r="Q56" s="18" t="s">
        <v>130</v>
      </c>
      <c r="R56" s="18" t="s">
        <v>131</v>
      </c>
      <c r="S56" s="18" t="s">
        <v>132</v>
      </c>
      <c r="T56" s="18" t="s">
        <v>133</v>
      </c>
      <c r="U56" s="18" t="s">
        <v>134</v>
      </c>
      <c r="V56" s="18" t="s">
        <v>135</v>
      </c>
      <c r="W56" s="18" t="s">
        <v>136</v>
      </c>
      <c r="X56" s="18" t="s">
        <v>137</v>
      </c>
      <c r="Y56" s="18" t="s">
        <v>138</v>
      </c>
      <c r="Z56" s="18" t="s">
        <v>138</v>
      </c>
      <c r="AA56" s="18" t="s">
        <v>139</v>
      </c>
      <c r="AB56" s="18" t="s">
        <v>140</v>
      </c>
      <c r="AC56" s="18" t="s">
        <v>141</v>
      </c>
      <c r="AD56" s="18" t="s">
        <v>142</v>
      </c>
      <c r="AE56" s="18" t="s">
        <v>120</v>
      </c>
      <c r="AF56" s="18" t="s">
        <v>121</v>
      </c>
      <c r="AG56" s="18" t="s">
        <v>143</v>
      </c>
      <c r="AH56" s="18" t="s">
        <v>144</v>
      </c>
      <c r="AI56" s="18" t="s">
        <v>145</v>
      </c>
      <c r="AJ56" s="18" t="s">
        <v>146</v>
      </c>
      <c r="AK56" s="18" t="s">
        <v>147</v>
      </c>
      <c r="AL56" s="18" t="s">
        <v>148</v>
      </c>
      <c r="AM56" s="18" t="s">
        <v>149</v>
      </c>
      <c r="AN56" s="18" t="s">
        <v>135</v>
      </c>
      <c r="AO56" s="18" t="s">
        <v>150</v>
      </c>
      <c r="AP56" s="18" t="s">
        <v>151</v>
      </c>
      <c r="AQ56" s="18" t="s">
        <v>152</v>
      </c>
      <c r="AR56" s="18" t="s">
        <v>153</v>
      </c>
      <c r="AS56" s="18" t="s">
        <v>154</v>
      </c>
      <c r="AT56" s="18" t="s">
        <v>155</v>
      </c>
      <c r="AU56" s="18" t="s">
        <v>156</v>
      </c>
      <c r="AV56" s="18" t="s">
        <v>157</v>
      </c>
      <c r="AW56" s="18" t="s">
        <v>158</v>
      </c>
      <c r="AX56" s="18" t="s">
        <v>159</v>
      </c>
      <c r="AY56" s="18" t="s">
        <v>160</v>
      </c>
      <c r="AZ56" s="18" t="s">
        <v>161</v>
      </c>
      <c r="BA56" s="18" t="s">
        <v>162</v>
      </c>
      <c r="BB56" s="18" t="s">
        <v>163</v>
      </c>
      <c r="BC56" s="18" t="s">
        <v>132</v>
      </c>
      <c r="BD56" s="18" t="s">
        <v>164</v>
      </c>
      <c r="BE56" s="18" t="s">
        <v>165</v>
      </c>
      <c r="BF56" s="18" t="s">
        <v>166</v>
      </c>
      <c r="BG56" s="18" t="s">
        <v>167</v>
      </c>
      <c r="BH56" s="18" t="s">
        <v>168</v>
      </c>
      <c r="BI56" s="18" t="s">
        <v>169</v>
      </c>
      <c r="BJ56" s="18" t="s">
        <v>170</v>
      </c>
      <c r="BK56" s="18" t="s">
        <v>171</v>
      </c>
      <c r="BL56" s="18" t="s">
        <v>172</v>
      </c>
      <c r="BM56" s="18" t="s">
        <v>157</v>
      </c>
      <c r="BN56" s="18" t="s">
        <v>173</v>
      </c>
      <c r="BO56" s="18" t="s">
        <v>174</v>
      </c>
      <c r="BP56" s="18" t="s">
        <v>175</v>
      </c>
      <c r="BQ56" s="18" t="s">
        <v>176</v>
      </c>
      <c r="BR56" s="18" t="s">
        <v>177</v>
      </c>
      <c r="BS56" s="18" t="s">
        <v>178</v>
      </c>
      <c r="BT56" s="18" t="s">
        <v>179</v>
      </c>
      <c r="BU56" s="18" t="s">
        <v>180</v>
      </c>
      <c r="BV56" s="18" t="s">
        <v>180</v>
      </c>
      <c r="BW56" s="18" t="s">
        <v>180</v>
      </c>
      <c r="BX56" s="18" t="s">
        <v>181</v>
      </c>
      <c r="BY56" s="18" t="s">
        <v>182</v>
      </c>
      <c r="BZ56" s="18" t="s">
        <v>183</v>
      </c>
      <c r="CA56" s="18" t="s">
        <v>184</v>
      </c>
      <c r="CB56" s="18" t="s">
        <v>185</v>
      </c>
      <c r="CC56" s="18" t="s">
        <v>157</v>
      </c>
      <c r="CD56" s="18" t="s">
        <v>236</v>
      </c>
      <c r="CE56" s="18" t="s">
        <v>186</v>
      </c>
    </row>
    <row r="57" spans="1:83" x14ac:dyDescent="0.25">
      <c r="A57" s="21" t="s">
        <v>237</v>
      </c>
      <c r="B57" s="16"/>
      <c r="C57" s="17" t="s">
        <v>188</v>
      </c>
      <c r="D57" s="18" t="s">
        <v>188</v>
      </c>
      <c r="E57" s="18" t="s">
        <v>188</v>
      </c>
      <c r="F57" s="18" t="s">
        <v>189</v>
      </c>
      <c r="G57" s="18" t="s">
        <v>190</v>
      </c>
      <c r="H57" s="18" t="s">
        <v>188</v>
      </c>
      <c r="I57" s="18" t="s">
        <v>191</v>
      </c>
      <c r="J57" s="18"/>
      <c r="K57" s="18" t="s">
        <v>182</v>
      </c>
      <c r="L57" s="18" t="s">
        <v>192</v>
      </c>
      <c r="M57" s="18" t="s">
        <v>193</v>
      </c>
      <c r="N57" s="18" t="s">
        <v>194</v>
      </c>
      <c r="O57" s="18" t="s">
        <v>195</v>
      </c>
      <c r="P57" s="18" t="s">
        <v>194</v>
      </c>
      <c r="Q57" s="18" t="s">
        <v>196</v>
      </c>
      <c r="R57" s="18"/>
      <c r="S57" s="18" t="s">
        <v>194</v>
      </c>
      <c r="T57" s="18" t="s">
        <v>197</v>
      </c>
      <c r="U57" s="18"/>
      <c r="V57" s="18" t="s">
        <v>198</v>
      </c>
      <c r="W57" s="18" t="s">
        <v>199</v>
      </c>
      <c r="X57" s="18" t="s">
        <v>200</v>
      </c>
      <c r="Y57" s="18" t="s">
        <v>201</v>
      </c>
      <c r="Z57" s="18" t="s">
        <v>202</v>
      </c>
      <c r="AA57" s="18" t="s">
        <v>203</v>
      </c>
      <c r="AB57" s="18"/>
      <c r="AC57" s="18" t="s">
        <v>197</v>
      </c>
      <c r="AD57" s="18"/>
      <c r="AE57" s="18" t="s">
        <v>197</v>
      </c>
      <c r="AF57" s="18" t="s">
        <v>204</v>
      </c>
      <c r="AG57" s="18" t="s">
        <v>196</v>
      </c>
      <c r="AH57" s="18"/>
      <c r="AI57" s="18" t="s">
        <v>205</v>
      </c>
      <c r="AJ57" s="18"/>
      <c r="AK57" s="18" t="s">
        <v>197</v>
      </c>
      <c r="AL57" s="18" t="s">
        <v>197</v>
      </c>
      <c r="AM57" s="18" t="s">
        <v>197</v>
      </c>
      <c r="AN57" s="18" t="s">
        <v>206</v>
      </c>
      <c r="AO57" s="18" t="s">
        <v>207</v>
      </c>
      <c r="AP57" s="18" t="s">
        <v>146</v>
      </c>
      <c r="AQ57" s="18" t="s">
        <v>208</v>
      </c>
      <c r="AR57" s="18" t="s">
        <v>194</v>
      </c>
      <c r="AS57" s="18"/>
      <c r="AT57" s="18" t="s">
        <v>209</v>
      </c>
      <c r="AU57" s="18" t="s">
        <v>210</v>
      </c>
      <c r="AV57" s="18" t="s">
        <v>211</v>
      </c>
      <c r="AW57" s="18" t="s">
        <v>212</v>
      </c>
      <c r="AX57" s="18" t="s">
        <v>213</v>
      </c>
      <c r="AY57" s="18"/>
      <c r="AZ57" s="18"/>
      <c r="BA57" s="18" t="s">
        <v>214</v>
      </c>
      <c r="BB57" s="18" t="s">
        <v>194</v>
      </c>
      <c r="BC57" s="18" t="s">
        <v>208</v>
      </c>
      <c r="BD57" s="18"/>
      <c r="BE57" s="18"/>
      <c r="BF57" s="18"/>
      <c r="BG57" s="18"/>
      <c r="BH57" s="18" t="s">
        <v>215</v>
      </c>
      <c r="BI57" s="18" t="s">
        <v>194</v>
      </c>
      <c r="BJ57" s="18"/>
      <c r="BK57" s="18" t="s">
        <v>216</v>
      </c>
      <c r="BL57" s="18"/>
      <c r="BM57" s="18" t="s">
        <v>217</v>
      </c>
      <c r="BN57" s="18" t="s">
        <v>218</v>
      </c>
      <c r="BO57" s="18" t="s">
        <v>219</v>
      </c>
      <c r="BP57" s="18" t="s">
        <v>220</v>
      </c>
      <c r="BQ57" s="18" t="s">
        <v>221</v>
      </c>
      <c r="BR57" s="18"/>
      <c r="BS57" s="18" t="s">
        <v>222</v>
      </c>
      <c r="BT57" s="18" t="s">
        <v>194</v>
      </c>
      <c r="BU57" s="18" t="s">
        <v>223</v>
      </c>
      <c r="BV57" s="18" t="s">
        <v>224</v>
      </c>
      <c r="BW57" s="18" t="s">
        <v>225</v>
      </c>
      <c r="BX57" s="18" t="s">
        <v>176</v>
      </c>
      <c r="BY57" s="18" t="s">
        <v>218</v>
      </c>
      <c r="BZ57" s="18" t="s">
        <v>177</v>
      </c>
      <c r="CA57" s="18" t="s">
        <v>226</v>
      </c>
      <c r="CB57" s="18" t="s">
        <v>226</v>
      </c>
      <c r="CC57" s="18" t="s">
        <v>227</v>
      </c>
      <c r="CD57" s="18" t="s">
        <v>238</v>
      </c>
      <c r="CE57" s="18" t="s">
        <v>228</v>
      </c>
    </row>
    <row r="58" spans="1:83" x14ac:dyDescent="0.25">
      <c r="A58" s="21" t="s">
        <v>239</v>
      </c>
      <c r="B58" s="16"/>
      <c r="C58" s="17" t="s">
        <v>240</v>
      </c>
      <c r="D58" s="18" t="s">
        <v>240</v>
      </c>
      <c r="E58" s="18" t="s">
        <v>240</v>
      </c>
      <c r="F58" s="18" t="s">
        <v>240</v>
      </c>
      <c r="G58" s="18" t="s">
        <v>240</v>
      </c>
      <c r="H58" s="18" t="s">
        <v>240</v>
      </c>
      <c r="I58" s="18" t="s">
        <v>240</v>
      </c>
      <c r="J58" s="18" t="s">
        <v>241</v>
      </c>
      <c r="K58" s="18" t="s">
        <v>240</v>
      </c>
      <c r="L58" s="18" t="s">
        <v>240</v>
      </c>
      <c r="M58" s="18" t="s">
        <v>240</v>
      </c>
      <c r="N58" s="18" t="s">
        <v>240</v>
      </c>
      <c r="O58" s="18" t="s">
        <v>242</v>
      </c>
      <c r="P58" s="18" t="s">
        <v>243</v>
      </c>
      <c r="Q58" s="18" t="s">
        <v>244</v>
      </c>
      <c r="R58" s="19" t="s">
        <v>245</v>
      </c>
      <c r="S58" s="24" t="s">
        <v>246</v>
      </c>
      <c r="T58" s="24" t="s">
        <v>246</v>
      </c>
      <c r="U58" s="18" t="s">
        <v>247</v>
      </c>
      <c r="V58" s="18" t="s">
        <v>247</v>
      </c>
      <c r="W58" s="18" t="s">
        <v>248</v>
      </c>
      <c r="X58" s="18" t="s">
        <v>249</v>
      </c>
      <c r="Y58" s="18" t="s">
        <v>250</v>
      </c>
      <c r="Z58" s="18" t="s">
        <v>250</v>
      </c>
      <c r="AA58" s="18" t="s">
        <v>250</v>
      </c>
      <c r="AB58" s="24" t="s">
        <v>246</v>
      </c>
      <c r="AC58" s="18" t="s">
        <v>251</v>
      </c>
      <c r="AD58" s="18" t="s">
        <v>252</v>
      </c>
      <c r="AE58" s="18" t="s">
        <v>251</v>
      </c>
      <c r="AF58" s="18" t="s">
        <v>253</v>
      </c>
      <c r="AG58" s="18" t="s">
        <v>253</v>
      </c>
      <c r="AH58" s="18" t="s">
        <v>254</v>
      </c>
      <c r="AI58" s="18" t="s">
        <v>255</v>
      </c>
      <c r="AJ58" s="18" t="s">
        <v>253</v>
      </c>
      <c r="AK58" s="18" t="s">
        <v>251</v>
      </c>
      <c r="AL58" s="18" t="s">
        <v>251</v>
      </c>
      <c r="AM58" s="18" t="s">
        <v>251</v>
      </c>
      <c r="AN58" s="18" t="s">
        <v>242</v>
      </c>
      <c r="AO58" s="18" t="s">
        <v>252</v>
      </c>
      <c r="AP58" s="18" t="s">
        <v>253</v>
      </c>
      <c r="AQ58" s="18" t="s">
        <v>254</v>
      </c>
      <c r="AR58" s="18" t="s">
        <v>253</v>
      </c>
      <c r="AS58" s="18" t="s">
        <v>251</v>
      </c>
      <c r="AT58" s="18" t="s">
        <v>256</v>
      </c>
      <c r="AU58" s="18" t="s">
        <v>253</v>
      </c>
      <c r="AV58" s="24" t="s">
        <v>246</v>
      </c>
      <c r="AW58" s="24" t="s">
        <v>246</v>
      </c>
      <c r="AX58" s="24" t="s">
        <v>246</v>
      </c>
      <c r="AY58" s="18" t="s">
        <v>257</v>
      </c>
      <c r="AZ58" s="18" t="s">
        <v>257</v>
      </c>
      <c r="BA58" s="24" t="s">
        <v>246</v>
      </c>
      <c r="BB58" s="24" t="s">
        <v>246</v>
      </c>
      <c r="BC58" s="24" t="s">
        <v>246</v>
      </c>
      <c r="BD58" s="24" t="s">
        <v>246</v>
      </c>
      <c r="BE58" s="18" t="s">
        <v>258</v>
      </c>
      <c r="BF58" s="24" t="s">
        <v>246</v>
      </c>
      <c r="BG58" s="24" t="s">
        <v>246</v>
      </c>
      <c r="BH58" s="24" t="s">
        <v>246</v>
      </c>
      <c r="BI58" s="24" t="s">
        <v>246</v>
      </c>
      <c r="BJ58" s="24" t="s">
        <v>246</v>
      </c>
      <c r="BK58" s="24" t="s">
        <v>246</v>
      </c>
      <c r="BL58" s="24" t="s">
        <v>246</v>
      </c>
      <c r="BM58" s="24" t="s">
        <v>246</v>
      </c>
      <c r="BN58" s="24" t="s">
        <v>246</v>
      </c>
      <c r="BO58" s="24" t="s">
        <v>246</v>
      </c>
      <c r="BP58" s="24" t="s">
        <v>246</v>
      </c>
      <c r="BQ58" s="24" t="s">
        <v>246</v>
      </c>
      <c r="BR58" s="24" t="s">
        <v>246</v>
      </c>
      <c r="BS58" s="24" t="s">
        <v>246</v>
      </c>
      <c r="BT58" s="24" t="s">
        <v>246</v>
      </c>
      <c r="BU58" s="24" t="s">
        <v>246</v>
      </c>
      <c r="BV58" s="24" t="s">
        <v>246</v>
      </c>
      <c r="BW58" s="24" t="s">
        <v>246</v>
      </c>
      <c r="BX58" s="24" t="s">
        <v>246</v>
      </c>
      <c r="BY58" s="24" t="s">
        <v>246</v>
      </c>
      <c r="BZ58" s="24" t="s">
        <v>246</v>
      </c>
      <c r="CA58" s="24" t="s">
        <v>246</v>
      </c>
      <c r="CB58" s="24" t="s">
        <v>246</v>
      </c>
      <c r="CC58" s="24" t="s">
        <v>246</v>
      </c>
      <c r="CD58" s="24" t="s">
        <v>246</v>
      </c>
      <c r="CE58" s="24" t="s">
        <v>246</v>
      </c>
    </row>
    <row r="59" spans="1:83" x14ac:dyDescent="0.25">
      <c r="A59" s="31" t="s">
        <v>259</v>
      </c>
      <c r="B59" s="25"/>
      <c r="C59" s="273">
        <v>0</v>
      </c>
      <c r="D59" s="273">
        <v>0</v>
      </c>
      <c r="E59" s="273">
        <v>138</v>
      </c>
      <c r="F59" s="273">
        <v>0</v>
      </c>
      <c r="G59" s="273">
        <v>0</v>
      </c>
      <c r="H59" s="273">
        <v>0</v>
      </c>
      <c r="I59" s="273">
        <v>0</v>
      </c>
      <c r="J59" s="273">
        <v>0</v>
      </c>
      <c r="K59" s="273">
        <v>0</v>
      </c>
      <c r="L59" s="273">
        <v>6055</v>
      </c>
      <c r="M59" s="273">
        <v>0</v>
      </c>
      <c r="N59" s="273">
        <v>0</v>
      </c>
      <c r="O59" s="273">
        <v>0</v>
      </c>
      <c r="P59" s="274">
        <v>0</v>
      </c>
      <c r="Q59" s="275">
        <v>0</v>
      </c>
      <c r="R59" s="275">
        <v>0</v>
      </c>
      <c r="S59" s="263">
        <v>0</v>
      </c>
      <c r="T59" s="263">
        <v>0</v>
      </c>
      <c r="U59" s="276">
        <v>3483</v>
      </c>
      <c r="V59" s="275">
        <v>295</v>
      </c>
      <c r="W59" s="275">
        <v>0</v>
      </c>
      <c r="X59" s="275">
        <v>0</v>
      </c>
      <c r="Y59" s="275">
        <v>1481</v>
      </c>
      <c r="Z59" s="275">
        <v>0</v>
      </c>
      <c r="AA59" s="275">
        <v>0</v>
      </c>
      <c r="AB59" s="263">
        <v>0</v>
      </c>
      <c r="AC59" s="275">
        <v>0</v>
      </c>
      <c r="AD59" s="275">
        <v>9</v>
      </c>
      <c r="AE59" s="275">
        <v>2106</v>
      </c>
      <c r="AF59" s="275">
        <v>0</v>
      </c>
      <c r="AG59" s="275">
        <v>965</v>
      </c>
      <c r="AH59" s="275">
        <v>0</v>
      </c>
      <c r="AI59" s="275">
        <v>0</v>
      </c>
      <c r="AJ59" s="275">
        <v>3632</v>
      </c>
      <c r="AK59" s="275">
        <v>0</v>
      </c>
      <c r="AL59" s="275">
        <v>0</v>
      </c>
      <c r="AM59" s="275">
        <v>0</v>
      </c>
      <c r="AN59" s="275">
        <v>0</v>
      </c>
      <c r="AO59" s="275">
        <v>408</v>
      </c>
      <c r="AP59" s="275">
        <v>0</v>
      </c>
      <c r="AQ59" s="275">
        <v>0</v>
      </c>
      <c r="AR59" s="275">
        <v>0</v>
      </c>
      <c r="AS59" s="275">
        <v>0</v>
      </c>
      <c r="AT59" s="275">
        <v>0</v>
      </c>
      <c r="AU59" s="275">
        <v>0</v>
      </c>
      <c r="AV59" s="263">
        <v>0</v>
      </c>
      <c r="AW59" s="263">
        <v>0</v>
      </c>
      <c r="AX59" s="263">
        <v>0</v>
      </c>
      <c r="AY59" s="275">
        <v>19037</v>
      </c>
      <c r="AZ59" s="275">
        <v>0</v>
      </c>
      <c r="BA59" s="263">
        <v>0</v>
      </c>
      <c r="BB59" s="263">
        <v>0</v>
      </c>
      <c r="BC59" s="263">
        <v>0</v>
      </c>
      <c r="BD59" s="263">
        <v>0</v>
      </c>
      <c r="BE59" s="275">
        <v>21029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260</v>
      </c>
      <c r="B60" s="208"/>
      <c r="C60" s="277">
        <v>0</v>
      </c>
      <c r="D60" s="277">
        <v>0</v>
      </c>
      <c r="E60" s="277">
        <v>0.75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32.76</v>
      </c>
      <c r="M60" s="277">
        <v>0</v>
      </c>
      <c r="N60" s="277">
        <v>0</v>
      </c>
      <c r="O60" s="277">
        <v>0</v>
      </c>
      <c r="P60" s="274">
        <v>0</v>
      </c>
      <c r="Q60" s="274">
        <v>0</v>
      </c>
      <c r="R60" s="274">
        <v>0</v>
      </c>
      <c r="S60" s="278">
        <v>0.84</v>
      </c>
      <c r="T60" s="278">
        <v>0</v>
      </c>
      <c r="U60" s="279">
        <v>5.84</v>
      </c>
      <c r="V60" s="274">
        <v>0.03</v>
      </c>
      <c r="W60" s="274">
        <v>0</v>
      </c>
      <c r="X60" s="274">
        <v>0</v>
      </c>
      <c r="Y60" s="274">
        <v>5.33</v>
      </c>
      <c r="Z60" s="274">
        <v>0</v>
      </c>
      <c r="AA60" s="274">
        <v>0</v>
      </c>
      <c r="AB60" s="278">
        <v>0</v>
      </c>
      <c r="AC60" s="274">
        <v>0</v>
      </c>
      <c r="AD60" s="274">
        <v>0.05</v>
      </c>
      <c r="AE60" s="274">
        <v>1.03</v>
      </c>
      <c r="AF60" s="274">
        <v>0</v>
      </c>
      <c r="AG60" s="274">
        <v>2.41</v>
      </c>
      <c r="AH60" s="274">
        <v>0</v>
      </c>
      <c r="AI60" s="274">
        <v>0</v>
      </c>
      <c r="AJ60" s="274">
        <v>5.05</v>
      </c>
      <c r="AK60" s="274">
        <v>0</v>
      </c>
      <c r="AL60" s="274">
        <v>0</v>
      </c>
      <c r="AM60" s="274">
        <v>0</v>
      </c>
      <c r="AN60" s="274">
        <v>0</v>
      </c>
      <c r="AO60" s="274">
        <v>0.09</v>
      </c>
      <c r="AP60" s="274">
        <v>0</v>
      </c>
      <c r="AQ60" s="274">
        <v>0</v>
      </c>
      <c r="AR60" s="274">
        <v>0</v>
      </c>
      <c r="AS60" s="274">
        <v>0</v>
      </c>
      <c r="AT60" s="274">
        <v>0</v>
      </c>
      <c r="AU60" s="274">
        <v>0</v>
      </c>
      <c r="AV60" s="278">
        <v>0</v>
      </c>
      <c r="AW60" s="278">
        <v>0</v>
      </c>
      <c r="AX60" s="278">
        <v>0</v>
      </c>
      <c r="AY60" s="274">
        <v>6.96</v>
      </c>
      <c r="AZ60" s="274">
        <v>0</v>
      </c>
      <c r="BA60" s="278">
        <v>1.19</v>
      </c>
      <c r="BB60" s="278">
        <v>1.82</v>
      </c>
      <c r="BC60" s="278">
        <v>0</v>
      </c>
      <c r="BD60" s="278">
        <v>0</v>
      </c>
      <c r="BE60" s="274">
        <v>2.87</v>
      </c>
      <c r="BF60" s="278">
        <v>3.21</v>
      </c>
      <c r="BG60" s="278">
        <v>0</v>
      </c>
      <c r="BH60" s="278">
        <v>1.01</v>
      </c>
      <c r="BI60" s="278">
        <v>0</v>
      </c>
      <c r="BJ60" s="278">
        <v>2.89</v>
      </c>
      <c r="BK60" s="278">
        <v>0</v>
      </c>
      <c r="BL60" s="278">
        <v>0</v>
      </c>
      <c r="BM60" s="278">
        <v>0</v>
      </c>
      <c r="BN60" s="278">
        <v>1.45</v>
      </c>
      <c r="BO60" s="278">
        <v>0</v>
      </c>
      <c r="BP60" s="278">
        <v>0</v>
      </c>
      <c r="BQ60" s="278">
        <v>0</v>
      </c>
      <c r="BR60" s="278">
        <v>1</v>
      </c>
      <c r="BS60" s="278">
        <v>0</v>
      </c>
      <c r="BT60" s="278">
        <v>0</v>
      </c>
      <c r="BU60" s="278">
        <v>0</v>
      </c>
      <c r="BV60" s="278">
        <v>4.66</v>
      </c>
      <c r="BW60" s="278">
        <v>0</v>
      </c>
      <c r="BX60" s="278">
        <v>0</v>
      </c>
      <c r="BY60" s="278">
        <v>0.71</v>
      </c>
      <c r="BZ60" s="278">
        <v>0</v>
      </c>
      <c r="CA60" s="278">
        <v>0</v>
      </c>
      <c r="CB60" s="278">
        <v>0</v>
      </c>
      <c r="CC60" s="278">
        <v>0</v>
      </c>
      <c r="CD60" s="209" t="s">
        <v>246</v>
      </c>
      <c r="CE60" s="227">
        <f t="shared" ref="CE60:CE68" si="6">SUM(C60:CD60)</f>
        <v>81.949999999999989</v>
      </c>
    </row>
    <row r="61" spans="1:83" x14ac:dyDescent="0.25">
      <c r="A61" s="31" t="s">
        <v>261</v>
      </c>
      <c r="B61" s="16"/>
      <c r="C61" s="273">
        <v>0</v>
      </c>
      <c r="D61" s="273">
        <v>0</v>
      </c>
      <c r="E61" s="273">
        <v>54927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2410011</v>
      </c>
      <c r="M61" s="273">
        <v>0</v>
      </c>
      <c r="N61" s="273">
        <v>0</v>
      </c>
      <c r="O61" s="273">
        <v>0</v>
      </c>
      <c r="P61" s="275">
        <v>0</v>
      </c>
      <c r="Q61" s="275">
        <v>0</v>
      </c>
      <c r="R61" s="275">
        <v>0</v>
      </c>
      <c r="S61" s="280">
        <v>55623</v>
      </c>
      <c r="T61" s="280">
        <v>0</v>
      </c>
      <c r="U61" s="276">
        <v>350991</v>
      </c>
      <c r="V61" s="275">
        <v>2363</v>
      </c>
      <c r="W61" s="275">
        <v>0</v>
      </c>
      <c r="X61" s="275">
        <v>0</v>
      </c>
      <c r="Y61" s="275">
        <v>397519</v>
      </c>
      <c r="Z61" s="275">
        <v>0</v>
      </c>
      <c r="AA61" s="275">
        <v>0</v>
      </c>
      <c r="AB61" s="281">
        <v>0</v>
      </c>
      <c r="AC61" s="275">
        <v>0</v>
      </c>
      <c r="AD61" s="275">
        <v>3315</v>
      </c>
      <c r="AE61" s="275">
        <v>153083</v>
      </c>
      <c r="AF61" s="275">
        <v>0</v>
      </c>
      <c r="AG61" s="275">
        <v>760004</v>
      </c>
      <c r="AH61" s="275">
        <v>0</v>
      </c>
      <c r="AI61" s="275">
        <v>0</v>
      </c>
      <c r="AJ61" s="275">
        <v>531871</v>
      </c>
      <c r="AK61" s="275">
        <v>0</v>
      </c>
      <c r="AL61" s="275">
        <v>0</v>
      </c>
      <c r="AM61" s="275">
        <v>0</v>
      </c>
      <c r="AN61" s="275">
        <v>0</v>
      </c>
      <c r="AO61" s="275">
        <v>6766</v>
      </c>
      <c r="AP61" s="275">
        <v>0</v>
      </c>
      <c r="AQ61" s="275">
        <v>0</v>
      </c>
      <c r="AR61" s="275">
        <v>0</v>
      </c>
      <c r="AS61" s="275">
        <v>0</v>
      </c>
      <c r="AT61" s="275">
        <v>0</v>
      </c>
      <c r="AU61" s="275">
        <v>0</v>
      </c>
      <c r="AV61" s="280">
        <v>0</v>
      </c>
      <c r="AW61" s="280">
        <v>0</v>
      </c>
      <c r="AX61" s="280">
        <v>0</v>
      </c>
      <c r="AY61" s="275">
        <v>330373</v>
      </c>
      <c r="AZ61" s="275">
        <v>0</v>
      </c>
      <c r="BA61" s="280">
        <v>52255</v>
      </c>
      <c r="BB61" s="280">
        <v>127871</v>
      </c>
      <c r="BC61" s="280">
        <v>0</v>
      </c>
      <c r="BD61" s="280">
        <v>0</v>
      </c>
      <c r="BE61" s="275">
        <v>166190</v>
      </c>
      <c r="BF61" s="280">
        <v>141055</v>
      </c>
      <c r="BG61" s="280">
        <v>0</v>
      </c>
      <c r="BH61" s="280">
        <v>72056</v>
      </c>
      <c r="BI61" s="280">
        <v>0</v>
      </c>
      <c r="BJ61" s="280">
        <v>248898</v>
      </c>
      <c r="BK61" s="280">
        <v>0</v>
      </c>
      <c r="BL61" s="280">
        <v>0</v>
      </c>
      <c r="BM61" s="280">
        <v>0</v>
      </c>
      <c r="BN61" s="280">
        <v>183276</v>
      </c>
      <c r="BO61" s="280">
        <v>0</v>
      </c>
      <c r="BP61" s="280">
        <v>0</v>
      </c>
      <c r="BQ61" s="280">
        <v>0</v>
      </c>
      <c r="BR61" s="280">
        <v>75850</v>
      </c>
      <c r="BS61" s="280">
        <v>0</v>
      </c>
      <c r="BT61" s="280">
        <v>0</v>
      </c>
      <c r="BU61" s="280">
        <v>0</v>
      </c>
      <c r="BV61" s="280">
        <v>273935</v>
      </c>
      <c r="BW61" s="280">
        <v>0</v>
      </c>
      <c r="BX61" s="280">
        <v>0</v>
      </c>
      <c r="BY61" s="280">
        <v>168807</v>
      </c>
      <c r="BZ61" s="280">
        <v>0</v>
      </c>
      <c r="CA61" s="280">
        <v>0</v>
      </c>
      <c r="CB61" s="280">
        <v>0</v>
      </c>
      <c r="CC61" s="280">
        <v>0</v>
      </c>
      <c r="CD61" s="24" t="s">
        <v>246</v>
      </c>
      <c r="CE61" s="25">
        <f t="shared" si="6"/>
        <v>6567039</v>
      </c>
    </row>
    <row r="62" spans="1:83" x14ac:dyDescent="0.25">
      <c r="A62" s="31" t="s">
        <v>9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15516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680770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0</v>
      </c>
      <c r="Q62" s="25">
        <f t="shared" si="7"/>
        <v>0</v>
      </c>
      <c r="R62" s="25">
        <f t="shared" si="7"/>
        <v>0</v>
      </c>
      <c r="S62" s="25">
        <f t="shared" si="7"/>
        <v>15712</v>
      </c>
      <c r="T62" s="25">
        <f t="shared" si="7"/>
        <v>0</v>
      </c>
      <c r="U62" s="25">
        <f t="shared" si="7"/>
        <v>99147</v>
      </c>
      <c r="V62" s="25">
        <f t="shared" si="7"/>
        <v>667</v>
      </c>
      <c r="W62" s="25">
        <f t="shared" si="7"/>
        <v>0</v>
      </c>
      <c r="X62" s="25">
        <f t="shared" si="7"/>
        <v>0</v>
      </c>
      <c r="Y62" s="25">
        <f t="shared" si="7"/>
        <v>112290</v>
      </c>
      <c r="Z62" s="25">
        <f t="shared" si="7"/>
        <v>0</v>
      </c>
      <c r="AA62" s="25">
        <f t="shared" si="7"/>
        <v>0</v>
      </c>
      <c r="AB62" s="25">
        <f t="shared" si="7"/>
        <v>0</v>
      </c>
      <c r="AC62" s="25">
        <f t="shared" si="7"/>
        <v>0</v>
      </c>
      <c r="AD62" s="25">
        <f t="shared" si="7"/>
        <v>936</v>
      </c>
      <c r="AE62" s="25">
        <f t="shared" si="7"/>
        <v>43242</v>
      </c>
      <c r="AF62" s="25">
        <f t="shared" si="7"/>
        <v>0</v>
      </c>
      <c r="AG62" s="25">
        <f t="shared" si="7"/>
        <v>214683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150241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1911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0</v>
      </c>
      <c r="AW62" s="25">
        <f t="shared" si="8"/>
        <v>0</v>
      </c>
      <c r="AX62" s="25">
        <f t="shared" si="8"/>
        <v>0</v>
      </c>
      <c r="AY62" s="25">
        <f t="shared" si="8"/>
        <v>93322</v>
      </c>
      <c r="AZ62" s="25">
        <f t="shared" si="8"/>
        <v>0</v>
      </c>
      <c r="BA62" s="25">
        <f t="shared" si="8"/>
        <v>14761</v>
      </c>
      <c r="BB62" s="25">
        <f t="shared" si="8"/>
        <v>36120</v>
      </c>
      <c r="BC62" s="25">
        <f t="shared" si="8"/>
        <v>0</v>
      </c>
      <c r="BD62" s="25">
        <f t="shared" si="8"/>
        <v>0</v>
      </c>
      <c r="BE62" s="25">
        <f t="shared" si="8"/>
        <v>46945</v>
      </c>
      <c r="BF62" s="25">
        <f t="shared" si="8"/>
        <v>39845</v>
      </c>
      <c r="BG62" s="25">
        <f t="shared" si="8"/>
        <v>0</v>
      </c>
      <c r="BH62" s="25">
        <f t="shared" si="8"/>
        <v>20354</v>
      </c>
      <c r="BI62" s="25">
        <f t="shared" si="8"/>
        <v>0</v>
      </c>
      <c r="BJ62" s="25">
        <f t="shared" si="8"/>
        <v>70308</v>
      </c>
      <c r="BK62" s="25">
        <f t="shared" si="8"/>
        <v>0</v>
      </c>
      <c r="BL62" s="25">
        <f t="shared" si="8"/>
        <v>0</v>
      </c>
      <c r="BM62" s="25">
        <f t="shared" si="8"/>
        <v>0</v>
      </c>
      <c r="BN62" s="25">
        <f t="shared" si="8"/>
        <v>51771</v>
      </c>
      <c r="BO62" s="25">
        <f t="shared" ref="BO62:CC62" si="9">ROUND(BO47+BO48,0)</f>
        <v>0</v>
      </c>
      <c r="BP62" s="25">
        <f t="shared" si="9"/>
        <v>0</v>
      </c>
      <c r="BQ62" s="25">
        <f t="shared" si="9"/>
        <v>0</v>
      </c>
      <c r="BR62" s="25">
        <f t="shared" si="9"/>
        <v>21426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77380</v>
      </c>
      <c r="BW62" s="25">
        <f t="shared" si="9"/>
        <v>0</v>
      </c>
      <c r="BX62" s="25">
        <f t="shared" si="9"/>
        <v>0</v>
      </c>
      <c r="BY62" s="25">
        <f t="shared" si="9"/>
        <v>47684</v>
      </c>
      <c r="BZ62" s="25">
        <f t="shared" si="9"/>
        <v>0</v>
      </c>
      <c r="CA62" s="25">
        <f t="shared" si="9"/>
        <v>0</v>
      </c>
      <c r="CB62" s="25">
        <f t="shared" si="9"/>
        <v>0</v>
      </c>
      <c r="CC62" s="25">
        <f t="shared" si="9"/>
        <v>0</v>
      </c>
      <c r="CD62" s="24" t="s">
        <v>246</v>
      </c>
      <c r="CE62" s="25">
        <f t="shared" si="6"/>
        <v>1855031</v>
      </c>
    </row>
    <row r="63" spans="1:83" x14ac:dyDescent="0.25">
      <c r="A63" s="31" t="s">
        <v>262</v>
      </c>
      <c r="B63" s="16"/>
      <c r="C63" s="273">
        <v>0</v>
      </c>
      <c r="D63" s="273">
        <v>0</v>
      </c>
      <c r="E63" s="273">
        <v>20823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913629</v>
      </c>
      <c r="M63" s="273">
        <v>0</v>
      </c>
      <c r="N63" s="273">
        <v>0</v>
      </c>
      <c r="O63" s="273">
        <v>0</v>
      </c>
      <c r="P63" s="275">
        <v>0</v>
      </c>
      <c r="Q63" s="275">
        <v>0</v>
      </c>
      <c r="R63" s="275">
        <v>0</v>
      </c>
      <c r="S63" s="280">
        <v>0</v>
      </c>
      <c r="T63" s="280">
        <v>0</v>
      </c>
      <c r="U63" s="276">
        <v>39798</v>
      </c>
      <c r="V63" s="275">
        <v>4718</v>
      </c>
      <c r="W63" s="275">
        <v>0</v>
      </c>
      <c r="X63" s="275">
        <v>0</v>
      </c>
      <c r="Y63" s="275">
        <v>37455</v>
      </c>
      <c r="Z63" s="275">
        <v>0</v>
      </c>
      <c r="AA63" s="275">
        <v>0</v>
      </c>
      <c r="AB63" s="281">
        <v>277351</v>
      </c>
      <c r="AC63" s="275">
        <v>0</v>
      </c>
      <c r="AD63" s="275">
        <v>134853</v>
      </c>
      <c r="AE63" s="275">
        <v>12524</v>
      </c>
      <c r="AF63" s="275">
        <v>0</v>
      </c>
      <c r="AG63" s="275">
        <v>59140</v>
      </c>
      <c r="AH63" s="275">
        <v>0</v>
      </c>
      <c r="AI63" s="275">
        <v>0</v>
      </c>
      <c r="AJ63" s="275">
        <v>184134</v>
      </c>
      <c r="AK63" s="275">
        <v>0</v>
      </c>
      <c r="AL63" s="275">
        <v>0</v>
      </c>
      <c r="AM63" s="275">
        <v>0</v>
      </c>
      <c r="AN63" s="275">
        <v>0</v>
      </c>
      <c r="AO63" s="275">
        <v>2565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0</v>
      </c>
      <c r="AW63" s="280">
        <v>0</v>
      </c>
      <c r="AX63" s="280">
        <v>0</v>
      </c>
      <c r="AY63" s="275">
        <v>40878</v>
      </c>
      <c r="AZ63" s="275">
        <v>0</v>
      </c>
      <c r="BA63" s="280">
        <v>616</v>
      </c>
      <c r="BB63" s="280">
        <v>0</v>
      </c>
      <c r="BC63" s="280">
        <v>0</v>
      </c>
      <c r="BD63" s="280">
        <v>0</v>
      </c>
      <c r="BE63" s="275">
        <v>4854</v>
      </c>
      <c r="BF63" s="280">
        <v>0</v>
      </c>
      <c r="BG63" s="280">
        <v>0</v>
      </c>
      <c r="BH63" s="280">
        <v>0</v>
      </c>
      <c r="BI63" s="280">
        <v>0</v>
      </c>
      <c r="BJ63" s="280">
        <v>15649</v>
      </c>
      <c r="BK63" s="280">
        <v>0</v>
      </c>
      <c r="BL63" s="280">
        <v>0</v>
      </c>
      <c r="BM63" s="280">
        <v>0</v>
      </c>
      <c r="BN63" s="280">
        <v>269751</v>
      </c>
      <c r="BO63" s="280">
        <v>0</v>
      </c>
      <c r="BP63" s="280">
        <v>0</v>
      </c>
      <c r="BQ63" s="280">
        <v>0</v>
      </c>
      <c r="BR63" s="280">
        <v>32786</v>
      </c>
      <c r="BS63" s="280">
        <v>0</v>
      </c>
      <c r="BT63" s="280">
        <v>0</v>
      </c>
      <c r="BU63" s="280">
        <v>0</v>
      </c>
      <c r="BV63" s="280">
        <v>43367</v>
      </c>
      <c r="BW63" s="280">
        <v>0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246</v>
      </c>
      <c r="CE63" s="25">
        <f t="shared" si="6"/>
        <v>2094891</v>
      </c>
    </row>
    <row r="64" spans="1:83" x14ac:dyDescent="0.25">
      <c r="A64" s="31" t="s">
        <v>263</v>
      </c>
      <c r="B64" s="16"/>
      <c r="C64" s="273">
        <v>0</v>
      </c>
      <c r="D64" s="273">
        <v>0</v>
      </c>
      <c r="E64" s="273">
        <v>3128</v>
      </c>
      <c r="F64" s="273">
        <v>0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137230</v>
      </c>
      <c r="M64" s="273">
        <v>0</v>
      </c>
      <c r="N64" s="273">
        <v>0</v>
      </c>
      <c r="O64" s="273">
        <v>0</v>
      </c>
      <c r="P64" s="275">
        <v>0</v>
      </c>
      <c r="Q64" s="275">
        <v>0</v>
      </c>
      <c r="R64" s="275">
        <v>0</v>
      </c>
      <c r="S64" s="280">
        <v>39534</v>
      </c>
      <c r="T64" s="280">
        <v>0</v>
      </c>
      <c r="U64" s="276">
        <v>236480</v>
      </c>
      <c r="V64" s="275">
        <v>225</v>
      </c>
      <c r="W64" s="275">
        <v>0</v>
      </c>
      <c r="X64" s="275">
        <v>0</v>
      </c>
      <c r="Y64" s="275">
        <v>1787</v>
      </c>
      <c r="Z64" s="275">
        <v>0</v>
      </c>
      <c r="AA64" s="275">
        <v>0</v>
      </c>
      <c r="AB64" s="281">
        <v>227363</v>
      </c>
      <c r="AC64" s="275">
        <v>0</v>
      </c>
      <c r="AD64" s="275">
        <v>3508</v>
      </c>
      <c r="AE64" s="275">
        <v>1246</v>
      </c>
      <c r="AF64" s="275">
        <v>0</v>
      </c>
      <c r="AG64" s="275">
        <v>24066</v>
      </c>
      <c r="AH64" s="275">
        <v>0</v>
      </c>
      <c r="AI64" s="275">
        <v>0</v>
      </c>
      <c r="AJ64" s="275">
        <v>30121</v>
      </c>
      <c r="AK64" s="275">
        <v>0</v>
      </c>
      <c r="AL64" s="275">
        <v>0</v>
      </c>
      <c r="AM64" s="275">
        <v>0</v>
      </c>
      <c r="AN64" s="275">
        <v>0</v>
      </c>
      <c r="AO64" s="275">
        <v>385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0</v>
      </c>
      <c r="AW64" s="280">
        <v>0</v>
      </c>
      <c r="AX64" s="280">
        <v>0</v>
      </c>
      <c r="AY64" s="275">
        <v>99448</v>
      </c>
      <c r="AZ64" s="275">
        <v>0</v>
      </c>
      <c r="BA64" s="280">
        <v>24102</v>
      </c>
      <c r="BB64" s="280">
        <v>4547</v>
      </c>
      <c r="BC64" s="280">
        <v>0</v>
      </c>
      <c r="BD64" s="280">
        <v>0</v>
      </c>
      <c r="BE64" s="275">
        <v>43497</v>
      </c>
      <c r="BF64" s="280">
        <v>16213</v>
      </c>
      <c r="BG64" s="280">
        <v>0</v>
      </c>
      <c r="BH64" s="280">
        <v>15587</v>
      </c>
      <c r="BI64" s="280">
        <v>0</v>
      </c>
      <c r="BJ64" s="280">
        <v>2872</v>
      </c>
      <c r="BK64" s="280">
        <v>0</v>
      </c>
      <c r="BL64" s="280">
        <v>0</v>
      </c>
      <c r="BM64" s="280">
        <v>0</v>
      </c>
      <c r="BN64" s="280">
        <v>13973</v>
      </c>
      <c r="BO64" s="280">
        <v>0</v>
      </c>
      <c r="BP64" s="280">
        <v>0</v>
      </c>
      <c r="BQ64" s="280">
        <v>0</v>
      </c>
      <c r="BR64" s="280">
        <v>696</v>
      </c>
      <c r="BS64" s="280">
        <v>0</v>
      </c>
      <c r="BT64" s="280">
        <v>0</v>
      </c>
      <c r="BU64" s="280">
        <v>0</v>
      </c>
      <c r="BV64" s="280">
        <v>4854</v>
      </c>
      <c r="BW64" s="280">
        <v>0</v>
      </c>
      <c r="BX64" s="280">
        <v>0</v>
      </c>
      <c r="BY64" s="280">
        <v>5215</v>
      </c>
      <c r="BZ64" s="280">
        <v>0</v>
      </c>
      <c r="CA64" s="280">
        <v>0</v>
      </c>
      <c r="CB64" s="280">
        <v>0</v>
      </c>
      <c r="CC64" s="280">
        <v>0</v>
      </c>
      <c r="CD64" s="24" t="s">
        <v>246</v>
      </c>
      <c r="CE64" s="25">
        <f t="shared" si="6"/>
        <v>936077</v>
      </c>
    </row>
    <row r="65" spans="1:83" x14ac:dyDescent="0.25">
      <c r="A65" s="31" t="s">
        <v>264</v>
      </c>
      <c r="B65" s="16"/>
      <c r="C65" s="273">
        <v>0</v>
      </c>
      <c r="D65" s="273">
        <v>0</v>
      </c>
      <c r="E65" s="273">
        <v>144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6340</v>
      </c>
      <c r="M65" s="273">
        <v>0</v>
      </c>
      <c r="N65" s="273">
        <v>0</v>
      </c>
      <c r="O65" s="273">
        <v>0</v>
      </c>
      <c r="P65" s="275">
        <v>0</v>
      </c>
      <c r="Q65" s="275">
        <v>0</v>
      </c>
      <c r="R65" s="275">
        <v>0</v>
      </c>
      <c r="S65" s="280">
        <v>0</v>
      </c>
      <c r="T65" s="280">
        <v>0</v>
      </c>
      <c r="U65" s="276">
        <v>0</v>
      </c>
      <c r="V65" s="275">
        <v>0</v>
      </c>
      <c r="W65" s="275">
        <v>0</v>
      </c>
      <c r="X65" s="275">
        <v>0</v>
      </c>
      <c r="Y65" s="275">
        <v>0</v>
      </c>
      <c r="Z65" s="275">
        <v>0</v>
      </c>
      <c r="AA65" s="275">
        <v>0</v>
      </c>
      <c r="AB65" s="281">
        <v>0</v>
      </c>
      <c r="AC65" s="275">
        <v>0</v>
      </c>
      <c r="AD65" s="275">
        <v>1036</v>
      </c>
      <c r="AE65" s="275">
        <v>0</v>
      </c>
      <c r="AF65" s="275">
        <v>0</v>
      </c>
      <c r="AG65" s="275">
        <v>1049</v>
      </c>
      <c r="AH65" s="275">
        <v>0</v>
      </c>
      <c r="AI65" s="275">
        <v>0</v>
      </c>
      <c r="AJ65" s="275">
        <v>0</v>
      </c>
      <c r="AK65" s="275">
        <v>0</v>
      </c>
      <c r="AL65" s="275">
        <v>0</v>
      </c>
      <c r="AM65" s="275">
        <v>0</v>
      </c>
      <c r="AN65" s="275">
        <v>0</v>
      </c>
      <c r="AO65" s="275">
        <v>18</v>
      </c>
      <c r="AP65" s="275">
        <v>0</v>
      </c>
      <c r="AQ65" s="275">
        <v>0</v>
      </c>
      <c r="AR65" s="275">
        <v>0</v>
      </c>
      <c r="AS65" s="275">
        <v>0</v>
      </c>
      <c r="AT65" s="275">
        <v>0</v>
      </c>
      <c r="AU65" s="275">
        <v>0</v>
      </c>
      <c r="AV65" s="280">
        <v>0</v>
      </c>
      <c r="AW65" s="280">
        <v>0</v>
      </c>
      <c r="AX65" s="280">
        <v>0</v>
      </c>
      <c r="AY65" s="275">
        <v>22</v>
      </c>
      <c r="AZ65" s="275">
        <v>0</v>
      </c>
      <c r="BA65" s="280">
        <v>0</v>
      </c>
      <c r="BB65" s="280">
        <v>0</v>
      </c>
      <c r="BC65" s="280">
        <v>0</v>
      </c>
      <c r="BD65" s="280">
        <v>0</v>
      </c>
      <c r="BE65" s="275">
        <v>144489</v>
      </c>
      <c r="BF65" s="280">
        <v>0</v>
      </c>
      <c r="BG65" s="280">
        <v>0</v>
      </c>
      <c r="BH65" s="280">
        <v>40650</v>
      </c>
      <c r="BI65" s="280">
        <v>0</v>
      </c>
      <c r="BJ65" s="280">
        <v>49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100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246</v>
      </c>
      <c r="CE65" s="25">
        <f t="shared" si="6"/>
        <v>193897</v>
      </c>
    </row>
    <row r="66" spans="1:83" x14ac:dyDescent="0.25">
      <c r="A66" s="31" t="s">
        <v>265</v>
      </c>
      <c r="B66" s="16"/>
      <c r="C66" s="273">
        <v>0</v>
      </c>
      <c r="D66" s="273">
        <v>0</v>
      </c>
      <c r="E66" s="273">
        <v>1696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74397</v>
      </c>
      <c r="M66" s="273">
        <v>0</v>
      </c>
      <c r="N66" s="273">
        <v>0</v>
      </c>
      <c r="O66" s="273">
        <v>0</v>
      </c>
      <c r="P66" s="275">
        <v>0</v>
      </c>
      <c r="Q66" s="275">
        <v>0</v>
      </c>
      <c r="R66" s="275">
        <v>0</v>
      </c>
      <c r="S66" s="280">
        <v>592</v>
      </c>
      <c r="T66" s="280">
        <v>0</v>
      </c>
      <c r="U66" s="276">
        <v>109343</v>
      </c>
      <c r="V66" s="275">
        <v>3578</v>
      </c>
      <c r="W66" s="275">
        <v>0</v>
      </c>
      <c r="X66" s="275">
        <v>0</v>
      </c>
      <c r="Y66" s="275">
        <v>28405</v>
      </c>
      <c r="Z66" s="275">
        <v>0</v>
      </c>
      <c r="AA66" s="275">
        <v>0</v>
      </c>
      <c r="AB66" s="281">
        <v>19842</v>
      </c>
      <c r="AC66" s="275">
        <v>0</v>
      </c>
      <c r="AD66" s="275">
        <v>0</v>
      </c>
      <c r="AE66" s="275">
        <v>3426</v>
      </c>
      <c r="AF66" s="275">
        <v>0</v>
      </c>
      <c r="AG66" s="275">
        <v>0</v>
      </c>
      <c r="AH66" s="275">
        <v>0</v>
      </c>
      <c r="AI66" s="275">
        <v>0</v>
      </c>
      <c r="AJ66" s="275">
        <v>21793</v>
      </c>
      <c r="AK66" s="275">
        <v>0</v>
      </c>
      <c r="AL66" s="275">
        <v>0</v>
      </c>
      <c r="AM66" s="275">
        <v>0</v>
      </c>
      <c r="AN66" s="275">
        <v>0</v>
      </c>
      <c r="AO66" s="275">
        <v>209</v>
      </c>
      <c r="AP66" s="275">
        <v>0</v>
      </c>
      <c r="AQ66" s="275">
        <v>0</v>
      </c>
      <c r="AR66" s="275">
        <v>0</v>
      </c>
      <c r="AS66" s="275">
        <v>0</v>
      </c>
      <c r="AT66" s="275">
        <v>0</v>
      </c>
      <c r="AU66" s="275">
        <v>0</v>
      </c>
      <c r="AV66" s="280">
        <v>0</v>
      </c>
      <c r="AW66" s="280">
        <v>0</v>
      </c>
      <c r="AX66" s="280">
        <v>0</v>
      </c>
      <c r="AY66" s="275">
        <v>19680</v>
      </c>
      <c r="AZ66" s="275">
        <v>0</v>
      </c>
      <c r="BA66" s="280">
        <v>39</v>
      </c>
      <c r="BB66" s="280">
        <v>0</v>
      </c>
      <c r="BC66" s="280">
        <v>0</v>
      </c>
      <c r="BD66" s="280">
        <v>0</v>
      </c>
      <c r="BE66" s="275">
        <v>37148</v>
      </c>
      <c r="BF66" s="280">
        <v>166</v>
      </c>
      <c r="BG66" s="280">
        <v>0</v>
      </c>
      <c r="BH66" s="280">
        <v>83485</v>
      </c>
      <c r="BI66" s="280">
        <v>0</v>
      </c>
      <c r="BJ66" s="280">
        <v>0</v>
      </c>
      <c r="BK66" s="280">
        <v>0</v>
      </c>
      <c r="BL66" s="280">
        <v>0</v>
      </c>
      <c r="BM66" s="280">
        <v>0</v>
      </c>
      <c r="BN66" s="280">
        <v>12869</v>
      </c>
      <c r="BO66" s="280">
        <v>0</v>
      </c>
      <c r="BP66" s="280">
        <v>0</v>
      </c>
      <c r="BQ66" s="280">
        <v>0</v>
      </c>
      <c r="BR66" s="280">
        <v>0</v>
      </c>
      <c r="BS66" s="280">
        <v>0</v>
      </c>
      <c r="BT66" s="280">
        <v>0</v>
      </c>
      <c r="BU66" s="280">
        <v>0</v>
      </c>
      <c r="BV66" s="280">
        <v>34</v>
      </c>
      <c r="BW66" s="280">
        <v>0</v>
      </c>
      <c r="BX66" s="280">
        <v>0</v>
      </c>
      <c r="BY66" s="280">
        <v>39</v>
      </c>
      <c r="BZ66" s="280">
        <v>0</v>
      </c>
      <c r="CA66" s="280">
        <v>0</v>
      </c>
      <c r="CB66" s="280">
        <v>0</v>
      </c>
      <c r="CC66" s="280">
        <v>0</v>
      </c>
      <c r="CD66" s="24" t="s">
        <v>246</v>
      </c>
      <c r="CE66" s="25">
        <f t="shared" si="6"/>
        <v>416741</v>
      </c>
    </row>
    <row r="67" spans="1:83" x14ac:dyDescent="0.25">
      <c r="A67" s="31" t="s">
        <v>14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2967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129963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0</v>
      </c>
      <c r="Q67" s="25">
        <f t="shared" si="10"/>
        <v>0</v>
      </c>
      <c r="R67" s="25">
        <f t="shared" si="10"/>
        <v>0</v>
      </c>
      <c r="S67" s="25">
        <f t="shared" si="10"/>
        <v>3836</v>
      </c>
      <c r="T67" s="25">
        <f t="shared" si="10"/>
        <v>0</v>
      </c>
      <c r="U67" s="25">
        <f t="shared" si="10"/>
        <v>9798</v>
      </c>
      <c r="V67" s="25">
        <f t="shared" si="10"/>
        <v>0</v>
      </c>
      <c r="W67" s="25">
        <f t="shared" si="10"/>
        <v>0</v>
      </c>
      <c r="X67" s="25">
        <f t="shared" si="10"/>
        <v>0</v>
      </c>
      <c r="Y67" s="25">
        <f t="shared" si="10"/>
        <v>5160</v>
      </c>
      <c r="Z67" s="25">
        <f t="shared" si="10"/>
        <v>0</v>
      </c>
      <c r="AA67" s="25">
        <f t="shared" si="10"/>
        <v>0</v>
      </c>
      <c r="AB67" s="25">
        <f t="shared" si="10"/>
        <v>762</v>
      </c>
      <c r="AC67" s="25">
        <f t="shared" si="10"/>
        <v>0</v>
      </c>
      <c r="AD67" s="25">
        <f t="shared" si="10"/>
        <v>0</v>
      </c>
      <c r="AE67" s="25">
        <f t="shared" si="10"/>
        <v>6697</v>
      </c>
      <c r="AF67" s="25">
        <f t="shared" si="10"/>
        <v>0</v>
      </c>
      <c r="AG67" s="25">
        <f t="shared" si="10"/>
        <v>11629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13848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361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15184</v>
      </c>
      <c r="AZ67" s="25">
        <f t="shared" si="11"/>
        <v>0</v>
      </c>
      <c r="BA67" s="25">
        <f t="shared" si="11"/>
        <v>9931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20103</v>
      </c>
      <c r="BF67" s="25">
        <f t="shared" si="11"/>
        <v>2379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43067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4759</v>
      </c>
      <c r="BW67" s="25">
        <f t="shared" si="12"/>
        <v>0</v>
      </c>
      <c r="BX67" s="25">
        <f t="shared" si="12"/>
        <v>0</v>
      </c>
      <c r="BY67" s="25">
        <f t="shared" si="12"/>
        <v>642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0</v>
      </c>
      <c r="CD67" s="24" t="s">
        <v>246</v>
      </c>
      <c r="CE67" s="25">
        <f t="shared" si="6"/>
        <v>281086</v>
      </c>
    </row>
    <row r="68" spans="1:83" x14ac:dyDescent="0.25">
      <c r="A68" s="31" t="s">
        <v>266</v>
      </c>
      <c r="B68" s="25"/>
      <c r="C68" s="273">
        <v>0</v>
      </c>
      <c r="D68" s="273">
        <v>0</v>
      </c>
      <c r="E68" s="273">
        <v>545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23902</v>
      </c>
      <c r="M68" s="273">
        <v>0</v>
      </c>
      <c r="N68" s="273">
        <v>0</v>
      </c>
      <c r="O68" s="273">
        <v>0</v>
      </c>
      <c r="P68" s="275">
        <v>0</v>
      </c>
      <c r="Q68" s="275">
        <v>0</v>
      </c>
      <c r="R68" s="275">
        <v>0</v>
      </c>
      <c r="S68" s="280">
        <v>0</v>
      </c>
      <c r="T68" s="280">
        <v>0</v>
      </c>
      <c r="U68" s="276">
        <v>0</v>
      </c>
      <c r="V68" s="275">
        <v>0</v>
      </c>
      <c r="W68" s="275">
        <v>0</v>
      </c>
      <c r="X68" s="275">
        <v>0</v>
      </c>
      <c r="Y68" s="275">
        <v>0</v>
      </c>
      <c r="Z68" s="275">
        <v>0</v>
      </c>
      <c r="AA68" s="275">
        <v>0</v>
      </c>
      <c r="AB68" s="281">
        <v>0</v>
      </c>
      <c r="AC68" s="275">
        <v>0</v>
      </c>
      <c r="AD68" s="275">
        <v>20000</v>
      </c>
      <c r="AE68" s="275">
        <v>0</v>
      </c>
      <c r="AF68" s="275">
        <v>0</v>
      </c>
      <c r="AG68" s="275">
        <v>15491</v>
      </c>
      <c r="AH68" s="275">
        <v>0</v>
      </c>
      <c r="AI68" s="275">
        <v>0</v>
      </c>
      <c r="AJ68" s="275">
        <v>2768</v>
      </c>
      <c r="AK68" s="275">
        <v>0</v>
      </c>
      <c r="AL68" s="275">
        <v>0</v>
      </c>
      <c r="AM68" s="275">
        <v>0</v>
      </c>
      <c r="AN68" s="275">
        <v>0</v>
      </c>
      <c r="AO68" s="275">
        <v>67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0</v>
      </c>
      <c r="AW68" s="280">
        <v>0</v>
      </c>
      <c r="AX68" s="280">
        <v>0</v>
      </c>
      <c r="AY68" s="275">
        <v>5</v>
      </c>
      <c r="AZ68" s="275">
        <v>0</v>
      </c>
      <c r="BA68" s="280">
        <v>0</v>
      </c>
      <c r="BB68" s="280">
        <v>0</v>
      </c>
      <c r="BC68" s="280">
        <v>0</v>
      </c>
      <c r="BD68" s="280">
        <v>0</v>
      </c>
      <c r="BE68" s="275">
        <v>5934</v>
      </c>
      <c r="BF68" s="280">
        <v>0</v>
      </c>
      <c r="BG68" s="280">
        <v>0</v>
      </c>
      <c r="BH68" s="280">
        <v>0</v>
      </c>
      <c r="BI68" s="280">
        <v>0</v>
      </c>
      <c r="BJ68" s="280">
        <v>6600</v>
      </c>
      <c r="BK68" s="280">
        <v>0</v>
      </c>
      <c r="BL68" s="280">
        <v>0</v>
      </c>
      <c r="BM68" s="280">
        <v>0</v>
      </c>
      <c r="BN68" s="280">
        <v>-12804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1615</v>
      </c>
      <c r="BW68" s="280">
        <v>0</v>
      </c>
      <c r="BX68" s="280">
        <v>0</v>
      </c>
      <c r="BY68" s="280">
        <v>1900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246</v>
      </c>
      <c r="CE68" s="25">
        <f t="shared" si="6"/>
        <v>66023</v>
      </c>
    </row>
    <row r="69" spans="1:83" x14ac:dyDescent="0.25">
      <c r="A69" s="31" t="s">
        <v>267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1068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46853</v>
      </c>
      <c r="M69" s="25">
        <f t="shared" si="13"/>
        <v>0</v>
      </c>
      <c r="N69" s="25">
        <f>SUM(N70:N83)</f>
        <v>0</v>
      </c>
      <c r="O69" s="25">
        <f t="shared" si="13"/>
        <v>0</v>
      </c>
      <c r="P69" s="25">
        <f t="shared" si="13"/>
        <v>0</v>
      </c>
      <c r="Q69" s="25">
        <f t="shared" si="13"/>
        <v>0</v>
      </c>
      <c r="R69" s="25">
        <f t="shared" si="13"/>
        <v>0</v>
      </c>
      <c r="S69" s="25">
        <f t="shared" si="13"/>
        <v>1677</v>
      </c>
      <c r="T69" s="25">
        <f t="shared" si="13"/>
        <v>0</v>
      </c>
      <c r="U69" s="25">
        <f t="shared" si="13"/>
        <v>4840</v>
      </c>
      <c r="V69" s="25">
        <f t="shared" si="13"/>
        <v>791</v>
      </c>
      <c r="W69" s="25">
        <f t="shared" si="13"/>
        <v>0</v>
      </c>
      <c r="X69" s="25">
        <f t="shared" si="13"/>
        <v>0</v>
      </c>
      <c r="Y69" s="25">
        <f t="shared" si="13"/>
        <v>6278</v>
      </c>
      <c r="Z69" s="25">
        <f t="shared" si="13"/>
        <v>0</v>
      </c>
      <c r="AA69" s="25">
        <f t="shared" si="13"/>
        <v>0</v>
      </c>
      <c r="AB69" s="25">
        <f t="shared" si="13"/>
        <v>425</v>
      </c>
      <c r="AC69" s="25">
        <f t="shared" si="13"/>
        <v>0</v>
      </c>
      <c r="AD69" s="25">
        <f t="shared" si="13"/>
        <v>9542</v>
      </c>
      <c r="AE69" s="25">
        <f t="shared" si="13"/>
        <v>105</v>
      </c>
      <c r="AF69" s="25">
        <f t="shared" si="13"/>
        <v>0</v>
      </c>
      <c r="AG69" s="25">
        <f t="shared" si="13"/>
        <v>8186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8034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131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0</v>
      </c>
      <c r="AX69" s="25">
        <f t="shared" si="14"/>
        <v>0</v>
      </c>
      <c r="AY69" s="25">
        <f t="shared" si="14"/>
        <v>2726</v>
      </c>
      <c r="AZ69" s="25">
        <f t="shared" si="14"/>
        <v>0</v>
      </c>
      <c r="BA69" s="25">
        <f t="shared" si="14"/>
        <v>0</v>
      </c>
      <c r="BB69" s="25">
        <f t="shared" si="14"/>
        <v>1198</v>
      </c>
      <c r="BC69" s="25">
        <f t="shared" si="14"/>
        <v>0</v>
      </c>
      <c r="BD69" s="25">
        <f t="shared" si="14"/>
        <v>0</v>
      </c>
      <c r="BE69" s="25">
        <f t="shared" si="14"/>
        <v>5430</v>
      </c>
      <c r="BF69" s="25">
        <f t="shared" si="14"/>
        <v>0</v>
      </c>
      <c r="BG69" s="25">
        <f t="shared" si="14"/>
        <v>0</v>
      </c>
      <c r="BH69" s="25">
        <f t="shared" si="14"/>
        <v>65727</v>
      </c>
      <c r="BI69" s="25">
        <f t="shared" si="14"/>
        <v>0</v>
      </c>
      <c r="BJ69" s="25">
        <f t="shared" si="14"/>
        <v>42077</v>
      </c>
      <c r="BK69" s="25">
        <f t="shared" si="14"/>
        <v>0</v>
      </c>
      <c r="BL69" s="25">
        <f t="shared" si="14"/>
        <v>0</v>
      </c>
      <c r="BM69" s="25">
        <f t="shared" si="14"/>
        <v>0</v>
      </c>
      <c r="BN69" s="25">
        <f t="shared" si="14"/>
        <v>161658</v>
      </c>
      <c r="BO69" s="25">
        <f t="shared" ref="BO69:CE69" si="15">SUM(BO70:BO83)</f>
        <v>0</v>
      </c>
      <c r="BP69" s="25">
        <f t="shared" si="15"/>
        <v>0</v>
      </c>
      <c r="BQ69" s="25">
        <f t="shared" si="15"/>
        <v>0</v>
      </c>
      <c r="BR69" s="25">
        <f>SUM(BR71:BR83)</f>
        <v>17142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14159</v>
      </c>
      <c r="BW69" s="25">
        <f t="shared" si="15"/>
        <v>0</v>
      </c>
      <c r="BX69" s="25">
        <f t="shared" si="15"/>
        <v>0</v>
      </c>
      <c r="BY69" s="25">
        <f t="shared" si="15"/>
        <v>10</v>
      </c>
      <c r="BZ69" s="25">
        <f t="shared" si="15"/>
        <v>0</v>
      </c>
      <c r="CA69" s="25">
        <f t="shared" si="15"/>
        <v>0</v>
      </c>
      <c r="CB69" s="25">
        <f t="shared" si="15"/>
        <v>0</v>
      </c>
      <c r="CC69" s="25">
        <f t="shared" si="15"/>
        <v>0</v>
      </c>
      <c r="CD69" s="25">
        <f t="shared" si="15"/>
        <v>220579</v>
      </c>
      <c r="CE69" s="25">
        <f t="shared" si="15"/>
        <v>618636</v>
      </c>
    </row>
    <row r="70" spans="1:83" x14ac:dyDescent="0.25">
      <c r="A70" s="26" t="s">
        <v>268</v>
      </c>
      <c r="B70" s="27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326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326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f t="shared" ref="CE70:CE85" si="16">SUM(C70:CD70)</f>
        <v>0</v>
      </c>
    </row>
    <row r="71" spans="1:83" x14ac:dyDescent="0.25">
      <c r="A71" s="26" t="s">
        <v>269</v>
      </c>
      <c r="B71" s="27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f t="shared" si="16"/>
        <v>0</v>
      </c>
    </row>
    <row r="72" spans="1:83" x14ac:dyDescent="0.25">
      <c r="A72" s="26" t="s">
        <v>270</v>
      </c>
      <c r="B72" s="27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f t="shared" si="16"/>
        <v>0</v>
      </c>
    </row>
    <row r="73" spans="1:83" x14ac:dyDescent="0.25">
      <c r="A73" s="26" t="s">
        <v>271</v>
      </c>
      <c r="B73" s="2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f t="shared" si="16"/>
        <v>0</v>
      </c>
    </row>
    <row r="74" spans="1:83" x14ac:dyDescent="0.25">
      <c r="A74" s="26" t="s">
        <v>272</v>
      </c>
      <c r="B74" s="2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f t="shared" si="16"/>
        <v>0</v>
      </c>
    </row>
    <row r="75" spans="1:83" x14ac:dyDescent="0.25">
      <c r="A75" s="26" t="s">
        <v>273</v>
      </c>
      <c r="B75" s="2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f t="shared" si="16"/>
        <v>0</v>
      </c>
    </row>
    <row r="76" spans="1:83" x14ac:dyDescent="0.25">
      <c r="A76" s="26" t="s">
        <v>274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0</v>
      </c>
    </row>
    <row r="77" spans="1:83" x14ac:dyDescent="0.25">
      <c r="A77" s="26" t="s">
        <v>275</v>
      </c>
      <c r="B77" s="27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f t="shared" si="16"/>
        <v>0</v>
      </c>
    </row>
    <row r="78" spans="1:83" x14ac:dyDescent="0.25">
      <c r="A78" s="26" t="s">
        <v>276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f t="shared" si="16"/>
        <v>0</v>
      </c>
    </row>
    <row r="79" spans="1:83" x14ac:dyDescent="0.25">
      <c r="A79" s="26" t="s">
        <v>277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f t="shared" si="16"/>
        <v>0</v>
      </c>
    </row>
    <row r="80" spans="1:83" x14ac:dyDescent="0.25">
      <c r="A80" s="26" t="s">
        <v>278</v>
      </c>
      <c r="B80" s="16"/>
      <c r="C80" s="282">
        <v>0</v>
      </c>
      <c r="D80" s="282">
        <v>0</v>
      </c>
      <c r="E80" s="282">
        <v>366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16053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3401</v>
      </c>
      <c r="V80" s="282">
        <v>498</v>
      </c>
      <c r="W80" s="282">
        <v>0</v>
      </c>
      <c r="X80" s="282">
        <v>0</v>
      </c>
      <c r="Y80" s="282">
        <v>3953</v>
      </c>
      <c r="Z80" s="282">
        <v>0</v>
      </c>
      <c r="AA80" s="282">
        <v>0</v>
      </c>
      <c r="AB80" s="282">
        <v>0</v>
      </c>
      <c r="AC80" s="282">
        <v>0</v>
      </c>
      <c r="AD80" s="282">
        <v>1930</v>
      </c>
      <c r="AE80" s="282">
        <v>105</v>
      </c>
      <c r="AF80" s="282">
        <v>0</v>
      </c>
      <c r="AG80" s="282">
        <v>5742</v>
      </c>
      <c r="AH80" s="282">
        <v>0</v>
      </c>
      <c r="AI80" s="282">
        <v>0</v>
      </c>
      <c r="AJ80" s="282">
        <v>4059</v>
      </c>
      <c r="AK80" s="282">
        <v>0</v>
      </c>
      <c r="AL80" s="282">
        <v>0</v>
      </c>
      <c r="AM80" s="282">
        <v>0</v>
      </c>
      <c r="AN80" s="282">
        <v>0</v>
      </c>
      <c r="AO80" s="282">
        <v>45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1537</v>
      </c>
      <c r="AZ80" s="282">
        <v>0</v>
      </c>
      <c r="BA80" s="282">
        <v>0</v>
      </c>
      <c r="BB80" s="282">
        <v>929</v>
      </c>
      <c r="BC80" s="282">
        <v>0</v>
      </c>
      <c r="BD80" s="282">
        <v>0</v>
      </c>
      <c r="BE80" s="282">
        <v>2641</v>
      </c>
      <c r="BF80" s="282">
        <v>0</v>
      </c>
      <c r="BG80" s="282">
        <v>0</v>
      </c>
      <c r="BH80" s="282">
        <v>0</v>
      </c>
      <c r="BI80" s="282">
        <v>0</v>
      </c>
      <c r="BJ80" s="282">
        <f>2830</f>
        <v>2830</v>
      </c>
      <c r="BK80" s="282">
        <v>0</v>
      </c>
      <c r="BL80" s="282">
        <v>0</v>
      </c>
      <c r="BM80" s="282">
        <v>0</v>
      </c>
      <c r="BN80" s="282">
        <f>13055</f>
        <v>13055</v>
      </c>
      <c r="BO80" s="282">
        <v>0</v>
      </c>
      <c r="BP80" s="282">
        <v>0</v>
      </c>
      <c r="BQ80" s="282">
        <v>0</v>
      </c>
      <c r="BR80" s="282">
        <v>3610</v>
      </c>
      <c r="BS80" s="282">
        <v>0</v>
      </c>
      <c r="BT80" s="282">
        <v>0</v>
      </c>
      <c r="BU80" s="282">
        <v>0</v>
      </c>
      <c r="BV80" s="282">
        <v>3863</v>
      </c>
      <c r="BW80" s="282">
        <v>0</v>
      </c>
      <c r="BX80" s="282">
        <v>0</v>
      </c>
      <c r="BY80" s="282">
        <v>0</v>
      </c>
      <c r="BZ80" s="282">
        <v>0</v>
      </c>
      <c r="CA80" s="282">
        <v>0</v>
      </c>
      <c r="CB80" s="282">
        <v>0</v>
      </c>
      <c r="CC80" s="282">
        <v>0</v>
      </c>
      <c r="CD80" s="282">
        <v>0</v>
      </c>
      <c r="CE80" s="25">
        <f t="shared" si="16"/>
        <v>64617</v>
      </c>
    </row>
    <row r="81" spans="1:84" x14ac:dyDescent="0.25">
      <c r="A81" s="26" t="s">
        <v>279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0</v>
      </c>
      <c r="CE81" s="25">
        <f t="shared" si="16"/>
        <v>0</v>
      </c>
    </row>
    <row r="82" spans="1:84" x14ac:dyDescent="0.25">
      <c r="A82" s="26" t="s">
        <v>280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f t="shared" si="16"/>
        <v>0</v>
      </c>
    </row>
    <row r="83" spans="1:84" x14ac:dyDescent="0.25">
      <c r="A83" s="26" t="s">
        <v>281</v>
      </c>
      <c r="B83" s="16"/>
      <c r="C83" s="273">
        <v>0</v>
      </c>
      <c r="D83" s="273">
        <v>0</v>
      </c>
      <c r="E83" s="275">
        <v>702</v>
      </c>
      <c r="F83" s="275">
        <v>0</v>
      </c>
      <c r="G83" s="273">
        <v>0</v>
      </c>
      <c r="H83" s="273">
        <v>0</v>
      </c>
      <c r="I83" s="275">
        <v>0</v>
      </c>
      <c r="J83" s="275">
        <v>0</v>
      </c>
      <c r="K83" s="275">
        <v>0</v>
      </c>
      <c r="L83" s="275">
        <v>30800</v>
      </c>
      <c r="M83" s="273">
        <v>0</v>
      </c>
      <c r="N83" s="273">
        <v>0</v>
      </c>
      <c r="O83" s="273">
        <v>0</v>
      </c>
      <c r="P83" s="275">
        <v>0</v>
      </c>
      <c r="Q83" s="275">
        <v>0</v>
      </c>
      <c r="R83" s="276">
        <v>0</v>
      </c>
      <c r="S83" s="275">
        <v>1677</v>
      </c>
      <c r="T83" s="273">
        <v>0</v>
      </c>
      <c r="U83" s="275">
        <f>4840-U80</f>
        <v>1439</v>
      </c>
      <c r="V83" s="275">
        <v>293</v>
      </c>
      <c r="W83" s="273">
        <v>0</v>
      </c>
      <c r="X83" s="275">
        <v>0</v>
      </c>
      <c r="Y83" s="275">
        <v>2325</v>
      </c>
      <c r="Z83" s="275">
        <v>0</v>
      </c>
      <c r="AA83" s="275">
        <v>0</v>
      </c>
      <c r="AB83" s="275">
        <v>425</v>
      </c>
      <c r="AC83" s="275">
        <v>0</v>
      </c>
      <c r="AD83" s="275">
        <f>9542-AD81-AD80</f>
        <v>7612</v>
      </c>
      <c r="AE83" s="275">
        <v>0</v>
      </c>
      <c r="AF83" s="275">
        <v>0</v>
      </c>
      <c r="AG83" s="275">
        <f>8186-AG80</f>
        <v>2444</v>
      </c>
      <c r="AH83" s="275">
        <v>0</v>
      </c>
      <c r="AI83" s="275">
        <v>0</v>
      </c>
      <c r="AJ83" s="275">
        <f>8034-AJ80</f>
        <v>3975</v>
      </c>
      <c r="AK83" s="275">
        <v>0</v>
      </c>
      <c r="AL83" s="275">
        <v>0</v>
      </c>
      <c r="AM83" s="275">
        <v>0</v>
      </c>
      <c r="AN83" s="275">
        <v>0</v>
      </c>
      <c r="AO83" s="273">
        <v>86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0</v>
      </c>
      <c r="AV83" s="275">
        <v>0</v>
      </c>
      <c r="AW83" s="275">
        <v>0</v>
      </c>
      <c r="AX83" s="275">
        <v>0</v>
      </c>
      <c r="AY83" s="275">
        <f>2726-AY80</f>
        <v>1189</v>
      </c>
      <c r="AZ83" s="275">
        <v>0</v>
      </c>
      <c r="BA83" s="275">
        <v>0</v>
      </c>
      <c r="BB83" s="275">
        <v>269</v>
      </c>
      <c r="BC83" s="275">
        <v>0</v>
      </c>
      <c r="BD83" s="275">
        <v>0</v>
      </c>
      <c r="BE83" s="275">
        <f>5430-BE80</f>
        <v>2789</v>
      </c>
      <c r="BF83" s="275">
        <v>0</v>
      </c>
      <c r="BG83" s="275">
        <v>0</v>
      </c>
      <c r="BH83" s="276">
        <v>65727</v>
      </c>
      <c r="BI83" s="275">
        <v>0</v>
      </c>
      <c r="BJ83" s="275">
        <f>42077-BJ80</f>
        <v>39247</v>
      </c>
      <c r="BK83" s="275">
        <v>0</v>
      </c>
      <c r="BL83" s="275">
        <v>0</v>
      </c>
      <c r="BM83" s="275">
        <v>0</v>
      </c>
      <c r="BN83" s="275">
        <f>161658-BN80</f>
        <v>148603</v>
      </c>
      <c r="BO83" s="275">
        <v>0</v>
      </c>
      <c r="BP83" s="275">
        <v>0</v>
      </c>
      <c r="BQ83" s="275">
        <v>0</v>
      </c>
      <c r="BR83" s="275">
        <f>17142-BR80</f>
        <v>13532</v>
      </c>
      <c r="BS83" s="275">
        <v>0</v>
      </c>
      <c r="BT83" s="275">
        <v>0</v>
      </c>
      <c r="BU83" s="275">
        <v>0</v>
      </c>
      <c r="BV83" s="275">
        <f>14159-BV80</f>
        <v>10296</v>
      </c>
      <c r="BW83" s="275">
        <v>0</v>
      </c>
      <c r="BX83" s="275">
        <v>0</v>
      </c>
      <c r="BY83" s="275">
        <v>10</v>
      </c>
      <c r="BZ83" s="275">
        <v>0</v>
      </c>
      <c r="CA83" s="275">
        <v>0</v>
      </c>
      <c r="CB83" s="275">
        <v>0</v>
      </c>
      <c r="CC83" s="275">
        <v>0</v>
      </c>
      <c r="CD83" s="282">
        <v>220579</v>
      </c>
      <c r="CE83" s="25">
        <f t="shared" si="16"/>
        <v>554019</v>
      </c>
    </row>
    <row r="84" spans="1:84" x14ac:dyDescent="0.25">
      <c r="A84" s="31" t="s">
        <v>282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0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0</v>
      </c>
      <c r="CE84" s="25">
        <f t="shared" si="16"/>
        <v>0</v>
      </c>
    </row>
    <row r="85" spans="1:84" x14ac:dyDescent="0.25">
      <c r="A85" s="31" t="s">
        <v>283</v>
      </c>
      <c r="B85" s="25"/>
      <c r="C85" s="25">
        <f t="shared" ref="C85:AH85" si="17">SUM(C61:C69)-C84</f>
        <v>0</v>
      </c>
      <c r="D85" s="25">
        <f t="shared" si="17"/>
        <v>0</v>
      </c>
      <c r="E85" s="25">
        <f t="shared" si="17"/>
        <v>100814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4423095</v>
      </c>
      <c r="M85" s="25">
        <f t="shared" si="17"/>
        <v>0</v>
      </c>
      <c r="N85" s="25">
        <f t="shared" si="17"/>
        <v>0</v>
      </c>
      <c r="O85" s="25">
        <f t="shared" si="17"/>
        <v>0</v>
      </c>
      <c r="P85" s="25">
        <f t="shared" si="17"/>
        <v>0</v>
      </c>
      <c r="Q85" s="25">
        <f t="shared" si="17"/>
        <v>0</v>
      </c>
      <c r="R85" s="25">
        <f t="shared" si="17"/>
        <v>0</v>
      </c>
      <c r="S85" s="25">
        <f t="shared" si="17"/>
        <v>116974</v>
      </c>
      <c r="T85" s="25">
        <f t="shared" si="17"/>
        <v>0</v>
      </c>
      <c r="U85" s="25">
        <f t="shared" si="17"/>
        <v>850397</v>
      </c>
      <c r="V85" s="25">
        <f t="shared" si="17"/>
        <v>12342</v>
      </c>
      <c r="W85" s="25">
        <f t="shared" si="17"/>
        <v>0</v>
      </c>
      <c r="X85" s="25">
        <f t="shared" si="17"/>
        <v>0</v>
      </c>
      <c r="Y85" s="25">
        <f t="shared" si="17"/>
        <v>588894</v>
      </c>
      <c r="Z85" s="25">
        <f t="shared" si="17"/>
        <v>0</v>
      </c>
      <c r="AA85" s="25">
        <f t="shared" si="17"/>
        <v>0</v>
      </c>
      <c r="AB85" s="25">
        <f t="shared" si="17"/>
        <v>525743</v>
      </c>
      <c r="AC85" s="25">
        <f t="shared" si="17"/>
        <v>0</v>
      </c>
      <c r="AD85" s="25">
        <f t="shared" si="17"/>
        <v>173190</v>
      </c>
      <c r="AE85" s="25">
        <f t="shared" si="17"/>
        <v>220323</v>
      </c>
      <c r="AF85" s="25">
        <f t="shared" si="17"/>
        <v>0</v>
      </c>
      <c r="AG85" s="25">
        <f t="shared" si="17"/>
        <v>1094248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942810</v>
      </c>
      <c r="AK85" s="25">
        <f t="shared" si="18"/>
        <v>0</v>
      </c>
      <c r="AL85" s="25">
        <f t="shared" si="18"/>
        <v>0</v>
      </c>
      <c r="AM85" s="25">
        <f t="shared" si="18"/>
        <v>0</v>
      </c>
      <c r="AN85" s="25">
        <f t="shared" si="18"/>
        <v>0</v>
      </c>
      <c r="AO85" s="25">
        <f t="shared" si="18"/>
        <v>12413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0</v>
      </c>
      <c r="AW85" s="25">
        <f t="shared" si="18"/>
        <v>0</v>
      </c>
      <c r="AX85" s="25">
        <f t="shared" si="18"/>
        <v>0</v>
      </c>
      <c r="AY85" s="25">
        <f t="shared" si="18"/>
        <v>601638</v>
      </c>
      <c r="AZ85" s="25">
        <f t="shared" si="18"/>
        <v>0</v>
      </c>
      <c r="BA85" s="25">
        <f t="shared" si="18"/>
        <v>101704</v>
      </c>
      <c r="BB85" s="25">
        <f t="shared" si="18"/>
        <v>169736</v>
      </c>
      <c r="BC85" s="25">
        <f t="shared" si="18"/>
        <v>0</v>
      </c>
      <c r="BD85" s="25">
        <f t="shared" si="18"/>
        <v>0</v>
      </c>
      <c r="BE85" s="25">
        <f t="shared" si="18"/>
        <v>474590</v>
      </c>
      <c r="BF85" s="25">
        <f t="shared" si="18"/>
        <v>199658</v>
      </c>
      <c r="BG85" s="25">
        <f t="shared" si="18"/>
        <v>0</v>
      </c>
      <c r="BH85" s="25">
        <f t="shared" si="18"/>
        <v>297859</v>
      </c>
      <c r="BI85" s="25">
        <f t="shared" si="18"/>
        <v>0</v>
      </c>
      <c r="BJ85" s="25">
        <f t="shared" si="18"/>
        <v>386453</v>
      </c>
      <c r="BK85" s="25">
        <f t="shared" si="18"/>
        <v>0</v>
      </c>
      <c r="BL85" s="25">
        <f t="shared" si="18"/>
        <v>0</v>
      </c>
      <c r="BM85" s="25">
        <f t="shared" si="18"/>
        <v>0</v>
      </c>
      <c r="BN85" s="25">
        <f t="shared" si="18"/>
        <v>723561</v>
      </c>
      <c r="BO85" s="25">
        <f t="shared" ref="BO85:CD85" si="19">SUM(BO61:BO69)-BO84</f>
        <v>0</v>
      </c>
      <c r="BP85" s="25">
        <f t="shared" si="19"/>
        <v>0</v>
      </c>
      <c r="BQ85" s="25">
        <f t="shared" si="19"/>
        <v>0</v>
      </c>
      <c r="BR85" s="25">
        <f t="shared" si="19"/>
        <v>147900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420103</v>
      </c>
      <c r="BW85" s="25">
        <f t="shared" si="19"/>
        <v>0</v>
      </c>
      <c r="BX85" s="25">
        <f t="shared" si="19"/>
        <v>0</v>
      </c>
      <c r="BY85" s="25">
        <f t="shared" si="19"/>
        <v>224397</v>
      </c>
      <c r="BZ85" s="25">
        <f t="shared" si="19"/>
        <v>0</v>
      </c>
      <c r="CA85" s="25">
        <f t="shared" si="19"/>
        <v>0</v>
      </c>
      <c r="CB85" s="25">
        <f t="shared" si="19"/>
        <v>0</v>
      </c>
      <c r="CC85" s="25">
        <f t="shared" si="19"/>
        <v>0</v>
      </c>
      <c r="CD85" s="25">
        <f t="shared" si="19"/>
        <v>220579</v>
      </c>
      <c r="CE85" s="25">
        <f t="shared" si="16"/>
        <v>13029421</v>
      </c>
    </row>
    <row r="86" spans="1:84" x14ac:dyDescent="0.25">
      <c r="A86" s="31" t="s">
        <v>284</v>
      </c>
      <c r="B86" s="25"/>
      <c r="C86" s="24" t="s">
        <v>246</v>
      </c>
      <c r="D86" s="24" t="s">
        <v>246</v>
      </c>
      <c r="E86" s="24" t="s">
        <v>246</v>
      </c>
      <c r="F86" s="24" t="s">
        <v>246</v>
      </c>
      <c r="G86" s="24" t="s">
        <v>246</v>
      </c>
      <c r="H86" s="24" t="s">
        <v>246</v>
      </c>
      <c r="I86" s="24" t="s">
        <v>246</v>
      </c>
      <c r="J86" s="24" t="s">
        <v>246</v>
      </c>
      <c r="K86" s="28" t="s">
        <v>246</v>
      </c>
      <c r="L86" s="24" t="s">
        <v>246</v>
      </c>
      <c r="M86" s="24" t="s">
        <v>246</v>
      </c>
      <c r="N86" s="24" t="s">
        <v>246</v>
      </c>
      <c r="O86" s="24" t="s">
        <v>246</v>
      </c>
      <c r="P86" s="24" t="s">
        <v>246</v>
      </c>
      <c r="Q86" s="24" t="s">
        <v>246</v>
      </c>
      <c r="R86" s="24" t="s">
        <v>246</v>
      </c>
      <c r="S86" s="24" t="s">
        <v>246</v>
      </c>
      <c r="T86" s="24" t="s">
        <v>246</v>
      </c>
      <c r="U86" s="24" t="s">
        <v>246</v>
      </c>
      <c r="V86" s="24" t="s">
        <v>246</v>
      </c>
      <c r="W86" s="24" t="s">
        <v>246</v>
      </c>
      <c r="X86" s="24" t="s">
        <v>246</v>
      </c>
      <c r="Y86" s="24" t="s">
        <v>246</v>
      </c>
      <c r="Z86" s="24" t="s">
        <v>246</v>
      </c>
      <c r="AA86" s="24" t="s">
        <v>246</v>
      </c>
      <c r="AB86" s="24" t="s">
        <v>246</v>
      </c>
      <c r="AC86" s="24" t="s">
        <v>246</v>
      </c>
      <c r="AD86" s="24" t="s">
        <v>246</v>
      </c>
      <c r="AE86" s="24" t="s">
        <v>246</v>
      </c>
      <c r="AF86" s="24" t="s">
        <v>246</v>
      </c>
      <c r="AG86" s="24" t="s">
        <v>246</v>
      </c>
      <c r="AH86" s="24" t="s">
        <v>246</v>
      </c>
      <c r="AI86" s="24" t="s">
        <v>246</v>
      </c>
      <c r="AJ86" s="24" t="s">
        <v>246</v>
      </c>
      <c r="AK86" s="24" t="s">
        <v>246</v>
      </c>
      <c r="AL86" s="24" t="s">
        <v>246</v>
      </c>
      <c r="AM86" s="24" t="s">
        <v>246</v>
      </c>
      <c r="AN86" s="24" t="s">
        <v>246</v>
      </c>
      <c r="AO86" s="24" t="s">
        <v>246</v>
      </c>
      <c r="AP86" s="24" t="s">
        <v>246</v>
      </c>
      <c r="AQ86" s="24" t="s">
        <v>246</v>
      </c>
      <c r="AR86" s="24" t="s">
        <v>246</v>
      </c>
      <c r="AS86" s="24" t="s">
        <v>246</v>
      </c>
      <c r="AT86" s="24" t="s">
        <v>246</v>
      </c>
      <c r="AU86" s="24" t="s">
        <v>246</v>
      </c>
      <c r="AV86" s="24" t="s">
        <v>246</v>
      </c>
      <c r="AW86" s="24" t="s">
        <v>246</v>
      </c>
      <c r="AX86" s="24" t="s">
        <v>246</v>
      </c>
      <c r="AY86" s="24" t="s">
        <v>246</v>
      </c>
      <c r="AZ86" s="24" t="s">
        <v>246</v>
      </c>
      <c r="BA86" s="24" t="s">
        <v>246</v>
      </c>
      <c r="BB86" s="24" t="s">
        <v>246</v>
      </c>
      <c r="BC86" s="24" t="s">
        <v>246</v>
      </c>
      <c r="BD86" s="24" t="s">
        <v>246</v>
      </c>
      <c r="BE86" s="24" t="s">
        <v>246</v>
      </c>
      <c r="BF86" s="24" t="s">
        <v>246</v>
      </c>
      <c r="BG86" s="24" t="s">
        <v>246</v>
      </c>
      <c r="BH86" s="24" t="s">
        <v>246</v>
      </c>
      <c r="BI86" s="24" t="s">
        <v>246</v>
      </c>
      <c r="BJ86" s="24" t="s">
        <v>246</v>
      </c>
      <c r="BK86" s="24" t="s">
        <v>246</v>
      </c>
      <c r="BL86" s="24" t="s">
        <v>246</v>
      </c>
      <c r="BM86" s="24" t="s">
        <v>246</v>
      </c>
      <c r="BN86" s="24" t="s">
        <v>246</v>
      </c>
      <c r="BO86" s="24" t="s">
        <v>246</v>
      </c>
      <c r="BP86" s="24" t="s">
        <v>246</v>
      </c>
      <c r="BQ86" s="24" t="s">
        <v>246</v>
      </c>
      <c r="BR86" s="24" t="s">
        <v>246</v>
      </c>
      <c r="BS86" s="24" t="s">
        <v>246</v>
      </c>
      <c r="BT86" s="24" t="s">
        <v>246</v>
      </c>
      <c r="BU86" s="24" t="s">
        <v>246</v>
      </c>
      <c r="BV86" s="24" t="s">
        <v>246</v>
      </c>
      <c r="BW86" s="24" t="s">
        <v>246</v>
      </c>
      <c r="BX86" s="24" t="s">
        <v>246</v>
      </c>
      <c r="BY86" s="24" t="s">
        <v>246</v>
      </c>
      <c r="BZ86" s="24" t="s">
        <v>246</v>
      </c>
      <c r="CA86" s="24" t="s">
        <v>246</v>
      </c>
      <c r="CB86" s="24" t="s">
        <v>246</v>
      </c>
      <c r="CC86" s="24" t="s">
        <v>246</v>
      </c>
      <c r="CD86" s="24" t="s">
        <v>246</v>
      </c>
      <c r="CE86" s="282">
        <v>0</v>
      </c>
    </row>
    <row r="87" spans="1:84" x14ac:dyDescent="0.25">
      <c r="A87" s="31" t="s">
        <v>285</v>
      </c>
      <c r="B87" s="16"/>
      <c r="C87" s="273">
        <v>0</v>
      </c>
      <c r="D87" s="273">
        <v>0</v>
      </c>
      <c r="E87" s="273">
        <f>254776+5</f>
        <v>254781</v>
      </c>
      <c r="F87" s="273">
        <v>0</v>
      </c>
      <c r="G87" s="273">
        <v>0</v>
      </c>
      <c r="H87" s="273">
        <v>0</v>
      </c>
      <c r="I87" s="273">
        <v>0</v>
      </c>
      <c r="J87" s="273">
        <v>0</v>
      </c>
      <c r="K87" s="273">
        <v>0</v>
      </c>
      <c r="L87" s="273">
        <v>1492453</v>
      </c>
      <c r="M87" s="273">
        <v>0</v>
      </c>
      <c r="N87" s="273">
        <v>0</v>
      </c>
      <c r="O87" s="273">
        <v>0</v>
      </c>
      <c r="P87" s="273">
        <v>0</v>
      </c>
      <c r="Q87" s="273">
        <v>0</v>
      </c>
      <c r="R87" s="273">
        <v>0</v>
      </c>
      <c r="S87" s="273">
        <v>4053</v>
      </c>
      <c r="T87" s="273">
        <v>0</v>
      </c>
      <c r="U87" s="273">
        <v>131124</v>
      </c>
      <c r="V87" s="273">
        <v>3939</v>
      </c>
      <c r="W87" s="273">
        <v>0</v>
      </c>
      <c r="X87" s="273">
        <v>0</v>
      </c>
      <c r="Y87" s="273">
        <v>84260</v>
      </c>
      <c r="Z87" s="273">
        <v>0</v>
      </c>
      <c r="AA87" s="273">
        <v>0</v>
      </c>
      <c r="AB87" s="273">
        <v>527002</v>
      </c>
      <c r="AC87" s="273">
        <v>0</v>
      </c>
      <c r="AD87" s="273">
        <v>20300</v>
      </c>
      <c r="AE87" s="273">
        <v>85225</v>
      </c>
      <c r="AF87" s="273">
        <v>0</v>
      </c>
      <c r="AG87" s="273">
        <v>0</v>
      </c>
      <c r="AH87" s="273">
        <v>0</v>
      </c>
      <c r="AI87" s="273">
        <v>0</v>
      </c>
      <c r="AJ87" s="273">
        <v>59</v>
      </c>
      <c r="AK87" s="273">
        <v>0</v>
      </c>
      <c r="AL87" s="273">
        <v>0</v>
      </c>
      <c r="AM87" s="273">
        <v>0</v>
      </c>
      <c r="AN87" s="273">
        <v>0</v>
      </c>
      <c r="AO87" s="273">
        <v>36262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246</v>
      </c>
      <c r="AX87" s="24" t="s">
        <v>246</v>
      </c>
      <c r="AY87" s="24" t="s">
        <v>246</v>
      </c>
      <c r="AZ87" s="24" t="s">
        <v>246</v>
      </c>
      <c r="BA87" s="24" t="s">
        <v>246</v>
      </c>
      <c r="BB87" s="24" t="s">
        <v>246</v>
      </c>
      <c r="BC87" s="24" t="s">
        <v>246</v>
      </c>
      <c r="BD87" s="24" t="s">
        <v>246</v>
      </c>
      <c r="BE87" s="24" t="s">
        <v>246</v>
      </c>
      <c r="BF87" s="24" t="s">
        <v>246</v>
      </c>
      <c r="BG87" s="24" t="s">
        <v>246</v>
      </c>
      <c r="BH87" s="24" t="s">
        <v>246</v>
      </c>
      <c r="BI87" s="24" t="s">
        <v>246</v>
      </c>
      <c r="BJ87" s="24" t="s">
        <v>246</v>
      </c>
      <c r="BK87" s="24" t="s">
        <v>246</v>
      </c>
      <c r="BL87" s="24" t="s">
        <v>246</v>
      </c>
      <c r="BM87" s="24" t="s">
        <v>246</v>
      </c>
      <c r="BN87" s="24" t="s">
        <v>246</v>
      </c>
      <c r="BO87" s="24" t="s">
        <v>246</v>
      </c>
      <c r="BP87" s="24" t="s">
        <v>246</v>
      </c>
      <c r="BQ87" s="24" t="s">
        <v>246</v>
      </c>
      <c r="BR87" s="24" t="s">
        <v>246</v>
      </c>
      <c r="BS87" s="24" t="s">
        <v>246</v>
      </c>
      <c r="BT87" s="24" t="s">
        <v>246</v>
      </c>
      <c r="BU87" s="24" t="s">
        <v>246</v>
      </c>
      <c r="BV87" s="24" t="s">
        <v>246</v>
      </c>
      <c r="BW87" s="24" t="s">
        <v>246</v>
      </c>
      <c r="BX87" s="24" t="s">
        <v>246</v>
      </c>
      <c r="BY87" s="24" t="s">
        <v>246</v>
      </c>
      <c r="BZ87" s="24" t="s">
        <v>246</v>
      </c>
      <c r="CA87" s="24" t="s">
        <v>246</v>
      </c>
      <c r="CB87" s="24" t="s">
        <v>246</v>
      </c>
      <c r="CC87" s="24" t="s">
        <v>246</v>
      </c>
      <c r="CD87" s="24" t="s">
        <v>246</v>
      </c>
      <c r="CE87" s="25">
        <f t="shared" ref="CE87:CE94" si="20">SUM(C87:CD87)</f>
        <v>2639458</v>
      </c>
    </row>
    <row r="88" spans="1:84" x14ac:dyDescent="0.25">
      <c r="A88" s="31" t="s">
        <v>286</v>
      </c>
      <c r="B88" s="16"/>
      <c r="C88" s="273">
        <v>0</v>
      </c>
      <c r="D88" s="273">
        <v>0</v>
      </c>
      <c r="E88" s="273">
        <v>10425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0</v>
      </c>
      <c r="Q88" s="273">
        <v>0</v>
      </c>
      <c r="R88" s="273">
        <v>0</v>
      </c>
      <c r="S88" s="273">
        <v>13968</v>
      </c>
      <c r="T88" s="273">
        <v>0</v>
      </c>
      <c r="U88" s="273">
        <v>1191859</v>
      </c>
      <c r="V88" s="273">
        <v>85533</v>
      </c>
      <c r="W88" s="273">
        <v>0</v>
      </c>
      <c r="X88" s="273">
        <v>0</v>
      </c>
      <c r="Y88" s="273">
        <v>626006</v>
      </c>
      <c r="Z88" s="273">
        <v>0</v>
      </c>
      <c r="AA88" s="273">
        <v>0</v>
      </c>
      <c r="AB88" s="273">
        <v>680251</v>
      </c>
      <c r="AC88" s="273">
        <v>0</v>
      </c>
      <c r="AD88" s="273">
        <v>0</v>
      </c>
      <c r="AE88" s="273">
        <v>564345</v>
      </c>
      <c r="AF88" s="273">
        <v>0</v>
      </c>
      <c r="AG88" s="273">
        <v>2162998</v>
      </c>
      <c r="AH88" s="273">
        <v>0</v>
      </c>
      <c r="AI88" s="273">
        <v>0</v>
      </c>
      <c r="AJ88" s="273">
        <v>1049787</v>
      </c>
      <c r="AK88" s="273">
        <v>0</v>
      </c>
      <c r="AL88" s="273">
        <v>0</v>
      </c>
      <c r="AM88" s="273">
        <v>0</v>
      </c>
      <c r="AN88" s="273">
        <v>0</v>
      </c>
      <c r="AO88" s="273">
        <v>314441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246</v>
      </c>
      <c r="AX88" s="24" t="s">
        <v>246</v>
      </c>
      <c r="AY88" s="24" t="s">
        <v>246</v>
      </c>
      <c r="AZ88" s="24" t="s">
        <v>246</v>
      </c>
      <c r="BA88" s="24" t="s">
        <v>246</v>
      </c>
      <c r="BB88" s="24" t="s">
        <v>246</v>
      </c>
      <c r="BC88" s="24" t="s">
        <v>246</v>
      </c>
      <c r="BD88" s="24" t="s">
        <v>246</v>
      </c>
      <c r="BE88" s="24" t="s">
        <v>246</v>
      </c>
      <c r="BF88" s="24" t="s">
        <v>246</v>
      </c>
      <c r="BG88" s="24" t="s">
        <v>246</v>
      </c>
      <c r="BH88" s="24" t="s">
        <v>246</v>
      </c>
      <c r="BI88" s="24" t="s">
        <v>246</v>
      </c>
      <c r="BJ88" s="24" t="s">
        <v>246</v>
      </c>
      <c r="BK88" s="24" t="s">
        <v>246</v>
      </c>
      <c r="BL88" s="24" t="s">
        <v>246</v>
      </c>
      <c r="BM88" s="24" t="s">
        <v>246</v>
      </c>
      <c r="BN88" s="24" t="s">
        <v>246</v>
      </c>
      <c r="BO88" s="24" t="s">
        <v>246</v>
      </c>
      <c r="BP88" s="24" t="s">
        <v>246</v>
      </c>
      <c r="BQ88" s="24" t="s">
        <v>246</v>
      </c>
      <c r="BR88" s="24" t="s">
        <v>246</v>
      </c>
      <c r="BS88" s="24" t="s">
        <v>246</v>
      </c>
      <c r="BT88" s="24" t="s">
        <v>246</v>
      </c>
      <c r="BU88" s="24" t="s">
        <v>246</v>
      </c>
      <c r="BV88" s="24" t="s">
        <v>246</v>
      </c>
      <c r="BW88" s="24" t="s">
        <v>246</v>
      </c>
      <c r="BX88" s="24" t="s">
        <v>246</v>
      </c>
      <c r="BY88" s="24" t="s">
        <v>246</v>
      </c>
      <c r="BZ88" s="24" t="s">
        <v>246</v>
      </c>
      <c r="CA88" s="24" t="s">
        <v>246</v>
      </c>
      <c r="CB88" s="24" t="s">
        <v>246</v>
      </c>
      <c r="CC88" s="24" t="s">
        <v>246</v>
      </c>
      <c r="CD88" s="24" t="s">
        <v>246</v>
      </c>
      <c r="CE88" s="25">
        <f t="shared" si="20"/>
        <v>6699613</v>
      </c>
    </row>
    <row r="89" spans="1:84" x14ac:dyDescent="0.25">
      <c r="A89" s="21" t="s">
        <v>287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265206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1492453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0</v>
      </c>
      <c r="Q89" s="25">
        <f t="shared" si="21"/>
        <v>0</v>
      </c>
      <c r="R89" s="25">
        <f t="shared" si="21"/>
        <v>0</v>
      </c>
      <c r="S89" s="25">
        <f t="shared" si="21"/>
        <v>18021</v>
      </c>
      <c r="T89" s="25">
        <f t="shared" si="21"/>
        <v>0</v>
      </c>
      <c r="U89" s="25">
        <f t="shared" si="21"/>
        <v>1322983</v>
      </c>
      <c r="V89" s="25">
        <f t="shared" si="21"/>
        <v>89472</v>
      </c>
      <c r="W89" s="25">
        <f t="shared" si="21"/>
        <v>0</v>
      </c>
      <c r="X89" s="25">
        <f t="shared" si="21"/>
        <v>0</v>
      </c>
      <c r="Y89" s="25">
        <f t="shared" si="21"/>
        <v>710266</v>
      </c>
      <c r="Z89" s="25">
        <f t="shared" si="21"/>
        <v>0</v>
      </c>
      <c r="AA89" s="25">
        <f t="shared" si="21"/>
        <v>0</v>
      </c>
      <c r="AB89" s="25">
        <f t="shared" si="21"/>
        <v>1207253</v>
      </c>
      <c r="AC89" s="25">
        <f t="shared" si="21"/>
        <v>0</v>
      </c>
      <c r="AD89" s="25">
        <f t="shared" si="21"/>
        <v>20300</v>
      </c>
      <c r="AE89" s="25">
        <f t="shared" si="21"/>
        <v>649570</v>
      </c>
      <c r="AF89" s="25">
        <f t="shared" si="21"/>
        <v>0</v>
      </c>
      <c r="AG89" s="25">
        <f t="shared" si="21"/>
        <v>2162998</v>
      </c>
      <c r="AH89" s="25">
        <f t="shared" si="21"/>
        <v>0</v>
      </c>
      <c r="AI89" s="25">
        <f t="shared" si="21"/>
        <v>0</v>
      </c>
      <c r="AJ89" s="25">
        <f t="shared" si="21"/>
        <v>1049846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350703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246</v>
      </c>
      <c r="AX89" s="24" t="s">
        <v>246</v>
      </c>
      <c r="AY89" s="24" t="s">
        <v>246</v>
      </c>
      <c r="AZ89" s="24" t="s">
        <v>246</v>
      </c>
      <c r="BA89" s="24" t="s">
        <v>246</v>
      </c>
      <c r="BB89" s="24" t="s">
        <v>246</v>
      </c>
      <c r="BC89" s="24" t="s">
        <v>246</v>
      </c>
      <c r="BD89" s="24" t="s">
        <v>246</v>
      </c>
      <c r="BE89" s="24" t="s">
        <v>246</v>
      </c>
      <c r="BF89" s="24" t="s">
        <v>246</v>
      </c>
      <c r="BG89" s="24" t="s">
        <v>246</v>
      </c>
      <c r="BH89" s="24" t="s">
        <v>246</v>
      </c>
      <c r="BI89" s="24" t="s">
        <v>246</v>
      </c>
      <c r="BJ89" s="24" t="s">
        <v>246</v>
      </c>
      <c r="BK89" s="24" t="s">
        <v>246</v>
      </c>
      <c r="BL89" s="24" t="s">
        <v>246</v>
      </c>
      <c r="BM89" s="24" t="s">
        <v>246</v>
      </c>
      <c r="BN89" s="24" t="s">
        <v>246</v>
      </c>
      <c r="BO89" s="24" t="s">
        <v>246</v>
      </c>
      <c r="BP89" s="24" t="s">
        <v>246</v>
      </c>
      <c r="BQ89" s="24" t="s">
        <v>246</v>
      </c>
      <c r="BR89" s="24" t="s">
        <v>246</v>
      </c>
      <c r="BS89" s="24" t="s">
        <v>246</v>
      </c>
      <c r="BT89" s="24" t="s">
        <v>246</v>
      </c>
      <c r="BU89" s="24" t="s">
        <v>246</v>
      </c>
      <c r="BV89" s="24" t="s">
        <v>246</v>
      </c>
      <c r="BW89" s="24" t="s">
        <v>246</v>
      </c>
      <c r="BX89" s="24" t="s">
        <v>246</v>
      </c>
      <c r="BY89" s="24" t="s">
        <v>246</v>
      </c>
      <c r="BZ89" s="24" t="s">
        <v>246</v>
      </c>
      <c r="CA89" s="24" t="s">
        <v>246</v>
      </c>
      <c r="CB89" s="24" t="s">
        <v>246</v>
      </c>
      <c r="CC89" s="24" t="s">
        <v>246</v>
      </c>
      <c r="CD89" s="24" t="s">
        <v>246</v>
      </c>
      <c r="CE89" s="25">
        <f t="shared" si="20"/>
        <v>9339071</v>
      </c>
    </row>
    <row r="90" spans="1:84" x14ac:dyDescent="0.25">
      <c r="A90" s="31" t="s">
        <v>288</v>
      </c>
      <c r="B90" s="25"/>
      <c r="C90" s="273">
        <v>0</v>
      </c>
      <c r="D90" s="273">
        <v>0</v>
      </c>
      <c r="E90" s="273">
        <v>222</v>
      </c>
      <c r="F90" s="273">
        <v>0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9723</v>
      </c>
      <c r="M90" s="273">
        <v>0</v>
      </c>
      <c r="N90" s="273">
        <v>0</v>
      </c>
      <c r="O90" s="273">
        <v>0</v>
      </c>
      <c r="P90" s="273">
        <v>0</v>
      </c>
      <c r="Q90" s="273">
        <v>0</v>
      </c>
      <c r="R90" s="273">
        <v>0</v>
      </c>
      <c r="S90" s="273">
        <v>287</v>
      </c>
      <c r="T90" s="273">
        <v>0</v>
      </c>
      <c r="U90" s="273">
        <v>733</v>
      </c>
      <c r="V90" s="273">
        <v>0</v>
      </c>
      <c r="W90" s="273">
        <v>0</v>
      </c>
      <c r="X90" s="273">
        <v>0</v>
      </c>
      <c r="Y90" s="273">
        <v>386</v>
      </c>
      <c r="Z90" s="273">
        <v>0</v>
      </c>
      <c r="AA90" s="273">
        <v>0</v>
      </c>
      <c r="AB90" s="273">
        <v>57</v>
      </c>
      <c r="AC90" s="273">
        <v>0</v>
      </c>
      <c r="AD90" s="273">
        <v>0</v>
      </c>
      <c r="AE90" s="273">
        <v>501</v>
      </c>
      <c r="AF90" s="273">
        <v>0</v>
      </c>
      <c r="AG90" s="273">
        <v>870</v>
      </c>
      <c r="AH90" s="273">
        <v>0</v>
      </c>
      <c r="AI90" s="273">
        <v>0</v>
      </c>
      <c r="AJ90" s="273">
        <v>1036</v>
      </c>
      <c r="AK90" s="273">
        <v>0</v>
      </c>
      <c r="AL90" s="273">
        <v>0</v>
      </c>
      <c r="AM90" s="273">
        <v>0</v>
      </c>
      <c r="AN90" s="273">
        <v>0</v>
      </c>
      <c r="AO90" s="273">
        <v>27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1136</v>
      </c>
      <c r="AZ90" s="273">
        <v>0</v>
      </c>
      <c r="BA90" s="273">
        <v>743</v>
      </c>
      <c r="BB90" s="273">
        <v>0</v>
      </c>
      <c r="BC90" s="273">
        <v>0</v>
      </c>
      <c r="BD90" s="273">
        <v>0</v>
      </c>
      <c r="BE90" s="273">
        <v>1504</v>
      </c>
      <c r="BF90" s="273">
        <v>178</v>
      </c>
      <c r="BG90" s="273">
        <v>0</v>
      </c>
      <c r="BH90" s="273">
        <v>0</v>
      </c>
      <c r="BI90" s="273">
        <v>0</v>
      </c>
      <c r="BJ90" s="273">
        <v>0</v>
      </c>
      <c r="BK90" s="273">
        <v>0</v>
      </c>
      <c r="BL90" s="273">
        <v>0</v>
      </c>
      <c r="BM90" s="273">
        <v>0</v>
      </c>
      <c r="BN90" s="273">
        <v>3222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0</v>
      </c>
      <c r="BU90" s="273">
        <v>0</v>
      </c>
      <c r="BV90" s="273">
        <v>356</v>
      </c>
      <c r="BW90" s="273">
        <v>0</v>
      </c>
      <c r="BX90" s="273">
        <v>0</v>
      </c>
      <c r="BY90" s="273">
        <v>48</v>
      </c>
      <c r="BZ90" s="273">
        <v>0</v>
      </c>
      <c r="CA90" s="273">
        <v>0</v>
      </c>
      <c r="CB90" s="273">
        <v>0</v>
      </c>
      <c r="CC90" s="273">
        <v>0</v>
      </c>
      <c r="CD90" s="224" t="s">
        <v>246</v>
      </c>
      <c r="CE90" s="25">
        <f t="shared" si="20"/>
        <v>21029</v>
      </c>
      <c r="CF90" s="25">
        <f>BE59-CE90</f>
        <v>0</v>
      </c>
    </row>
    <row r="91" spans="1:84" x14ac:dyDescent="0.25">
      <c r="A91" s="21" t="s">
        <v>289</v>
      </c>
      <c r="B91" s="16"/>
      <c r="C91" s="273">
        <v>0</v>
      </c>
      <c r="D91" s="273">
        <v>0</v>
      </c>
      <c r="E91" s="273">
        <v>423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18562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52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246</v>
      </c>
      <c r="AY91" s="264" t="s">
        <v>246</v>
      </c>
      <c r="AZ91" s="273">
        <f>AZ59</f>
        <v>0</v>
      </c>
      <c r="BA91" s="273">
        <v>0</v>
      </c>
      <c r="BB91" s="273">
        <v>0</v>
      </c>
      <c r="BC91" s="273">
        <v>0</v>
      </c>
      <c r="BD91" s="24" t="s">
        <v>246</v>
      </c>
      <c r="BE91" s="24" t="s">
        <v>246</v>
      </c>
      <c r="BF91" s="273">
        <v>0</v>
      </c>
      <c r="BG91" s="24" t="s">
        <v>246</v>
      </c>
      <c r="BH91" s="273">
        <v>0</v>
      </c>
      <c r="BI91" s="273">
        <v>0</v>
      </c>
      <c r="BJ91" s="24" t="s">
        <v>246</v>
      </c>
      <c r="BK91" s="273">
        <v>0</v>
      </c>
      <c r="BL91" s="273">
        <v>0</v>
      </c>
      <c r="BM91" s="273">
        <v>0</v>
      </c>
      <c r="BN91" s="24" t="s">
        <v>246</v>
      </c>
      <c r="BO91" s="24" t="s">
        <v>246</v>
      </c>
      <c r="BP91" s="24" t="s">
        <v>246</v>
      </c>
      <c r="BQ91" s="24" t="s">
        <v>246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246</v>
      </c>
      <c r="CD91" s="24" t="s">
        <v>246</v>
      </c>
      <c r="CE91" s="25">
        <f t="shared" si="20"/>
        <v>19037</v>
      </c>
      <c r="CF91" s="25">
        <f>AY59-CE91</f>
        <v>0</v>
      </c>
    </row>
    <row r="92" spans="1:84" x14ac:dyDescent="0.25">
      <c r="A92" s="21" t="s">
        <v>290</v>
      </c>
      <c r="B92" s="16"/>
      <c r="C92" s="273">
        <v>0</v>
      </c>
      <c r="D92" s="273">
        <v>0</v>
      </c>
      <c r="E92" s="273">
        <v>61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2682</v>
      </c>
      <c r="M92" s="273">
        <v>0</v>
      </c>
      <c r="N92" s="273">
        <v>0</v>
      </c>
      <c r="O92" s="273">
        <v>0</v>
      </c>
      <c r="P92" s="273">
        <v>0</v>
      </c>
      <c r="Q92" s="273">
        <v>0</v>
      </c>
      <c r="R92" s="273">
        <v>0</v>
      </c>
      <c r="S92" s="273">
        <v>79</v>
      </c>
      <c r="T92" s="273">
        <v>0</v>
      </c>
      <c r="U92" s="273">
        <v>202</v>
      </c>
      <c r="V92" s="273">
        <v>12</v>
      </c>
      <c r="W92" s="273">
        <v>0</v>
      </c>
      <c r="X92" s="273">
        <v>0</v>
      </c>
      <c r="Y92" s="273">
        <v>94</v>
      </c>
      <c r="Z92" s="273">
        <v>0</v>
      </c>
      <c r="AA92" s="273">
        <v>0</v>
      </c>
      <c r="AB92" s="273">
        <v>16</v>
      </c>
      <c r="AC92" s="273">
        <v>0</v>
      </c>
      <c r="AD92" s="273">
        <v>0</v>
      </c>
      <c r="AE92" s="273">
        <v>138</v>
      </c>
      <c r="AF92" s="273">
        <v>0</v>
      </c>
      <c r="AG92" s="273">
        <v>240</v>
      </c>
      <c r="AH92" s="273">
        <v>0</v>
      </c>
      <c r="AI92" s="273">
        <v>0</v>
      </c>
      <c r="AJ92" s="273">
        <v>286</v>
      </c>
      <c r="AK92" s="273">
        <v>0</v>
      </c>
      <c r="AL92" s="273">
        <v>0</v>
      </c>
      <c r="AM92" s="273">
        <v>0</v>
      </c>
      <c r="AN92" s="273">
        <v>0</v>
      </c>
      <c r="AO92" s="273">
        <v>8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246</v>
      </c>
      <c r="AY92" s="264" t="s">
        <v>246</v>
      </c>
      <c r="AZ92" s="24" t="s">
        <v>246</v>
      </c>
      <c r="BA92" s="273">
        <v>205</v>
      </c>
      <c r="BB92" s="273">
        <v>0</v>
      </c>
      <c r="BC92" s="273">
        <v>0</v>
      </c>
      <c r="BD92" s="24" t="s">
        <v>246</v>
      </c>
      <c r="BE92" s="24" t="s">
        <v>246</v>
      </c>
      <c r="BF92" s="24" t="s">
        <v>246</v>
      </c>
      <c r="BG92" s="24" t="s">
        <v>246</v>
      </c>
      <c r="BH92" s="273">
        <v>0</v>
      </c>
      <c r="BI92" s="273">
        <v>0</v>
      </c>
      <c r="BJ92" s="24" t="s">
        <v>246</v>
      </c>
      <c r="BK92" s="273">
        <v>0</v>
      </c>
      <c r="BL92" s="273">
        <v>0</v>
      </c>
      <c r="BM92" s="273">
        <v>0</v>
      </c>
      <c r="BN92" s="24" t="s">
        <v>246</v>
      </c>
      <c r="BO92" s="24" t="s">
        <v>246</v>
      </c>
      <c r="BP92" s="24" t="s">
        <v>246</v>
      </c>
      <c r="BQ92" s="24" t="s">
        <v>246</v>
      </c>
      <c r="BR92" s="24" t="s">
        <v>246</v>
      </c>
      <c r="BS92" s="273">
        <v>0</v>
      </c>
      <c r="BT92" s="273">
        <v>0</v>
      </c>
      <c r="BU92" s="273">
        <v>0</v>
      </c>
      <c r="BV92" s="273">
        <v>98</v>
      </c>
      <c r="BW92" s="273">
        <v>0</v>
      </c>
      <c r="BX92" s="273">
        <v>0</v>
      </c>
      <c r="BY92" s="273">
        <v>13</v>
      </c>
      <c r="BZ92" s="273">
        <v>0</v>
      </c>
      <c r="CA92" s="273">
        <v>0</v>
      </c>
      <c r="CB92" s="273">
        <v>0</v>
      </c>
      <c r="CC92" s="24" t="s">
        <v>246</v>
      </c>
      <c r="CD92" s="24" t="s">
        <v>246</v>
      </c>
      <c r="CE92" s="25">
        <f t="shared" si="20"/>
        <v>4134</v>
      </c>
      <c r="CF92" s="16"/>
    </row>
    <row r="93" spans="1:84" x14ac:dyDescent="0.25">
      <c r="A93" s="21" t="s">
        <v>291</v>
      </c>
      <c r="B93" s="16"/>
      <c r="C93" s="273">
        <v>0</v>
      </c>
      <c r="D93" s="273">
        <v>0</v>
      </c>
      <c r="E93" s="273">
        <f>E59</f>
        <v>138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f>L59</f>
        <v>6055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17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246</v>
      </c>
      <c r="AY93" s="264" t="s">
        <v>246</v>
      </c>
      <c r="AZ93" s="24" t="s">
        <v>246</v>
      </c>
      <c r="BA93" s="24" t="s">
        <v>246</v>
      </c>
      <c r="BB93" s="273">
        <v>0</v>
      </c>
      <c r="BC93" s="273">
        <v>0</v>
      </c>
      <c r="BD93" s="24" t="s">
        <v>246</v>
      </c>
      <c r="BE93" s="24" t="s">
        <v>246</v>
      </c>
      <c r="BF93" s="24" t="s">
        <v>246</v>
      </c>
      <c r="BG93" s="24" t="s">
        <v>246</v>
      </c>
      <c r="BH93" s="273">
        <v>0</v>
      </c>
      <c r="BI93" s="273">
        <v>0</v>
      </c>
      <c r="BJ93" s="24" t="s">
        <v>246</v>
      </c>
      <c r="BK93" s="273">
        <v>0</v>
      </c>
      <c r="BL93" s="273">
        <v>0</v>
      </c>
      <c r="BM93" s="273">
        <v>0</v>
      </c>
      <c r="BN93" s="24" t="s">
        <v>246</v>
      </c>
      <c r="BO93" s="24" t="s">
        <v>246</v>
      </c>
      <c r="BP93" s="24" t="s">
        <v>246</v>
      </c>
      <c r="BQ93" s="24" t="s">
        <v>246</v>
      </c>
      <c r="BR93" s="24" t="s">
        <v>246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246</v>
      </c>
      <c r="CD93" s="24" t="s">
        <v>246</v>
      </c>
      <c r="CE93" s="25">
        <f t="shared" si="20"/>
        <v>6210</v>
      </c>
      <c r="CF93" s="25">
        <f>BA59</f>
        <v>0</v>
      </c>
    </row>
    <row r="94" spans="1:84" x14ac:dyDescent="0.25">
      <c r="A94" s="21" t="s">
        <v>292</v>
      </c>
      <c r="B94" s="16"/>
      <c r="C94" s="277">
        <v>0</v>
      </c>
      <c r="D94" s="277">
        <v>0</v>
      </c>
      <c r="E94" s="277">
        <v>0.7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30.84</v>
      </c>
      <c r="M94" s="277">
        <v>0</v>
      </c>
      <c r="N94" s="277">
        <v>0</v>
      </c>
      <c r="O94" s="277">
        <v>0</v>
      </c>
      <c r="P94" s="274">
        <v>0</v>
      </c>
      <c r="Q94" s="274">
        <v>0</v>
      </c>
      <c r="R94" s="274">
        <v>0</v>
      </c>
      <c r="S94" s="278">
        <v>0</v>
      </c>
      <c r="T94" s="278">
        <v>0</v>
      </c>
      <c r="U94" s="279">
        <v>0.01</v>
      </c>
      <c r="V94" s="274">
        <v>0</v>
      </c>
      <c r="W94" s="274">
        <v>0</v>
      </c>
      <c r="X94" s="274">
        <v>0</v>
      </c>
      <c r="Y94" s="274">
        <v>0</v>
      </c>
      <c r="Z94" s="274">
        <v>0</v>
      </c>
      <c r="AA94" s="274">
        <v>0</v>
      </c>
      <c r="AB94" s="278">
        <v>0</v>
      </c>
      <c r="AC94" s="274">
        <v>0</v>
      </c>
      <c r="AD94" s="274">
        <v>0</v>
      </c>
      <c r="AE94" s="274">
        <v>0</v>
      </c>
      <c r="AF94" s="274">
        <v>0</v>
      </c>
      <c r="AG94" s="274">
        <v>0</v>
      </c>
      <c r="AH94" s="274">
        <v>0</v>
      </c>
      <c r="AI94" s="274">
        <v>0</v>
      </c>
      <c r="AJ94" s="274">
        <v>2.6</v>
      </c>
      <c r="AK94" s="274">
        <v>0</v>
      </c>
      <c r="AL94" s="274">
        <v>0</v>
      </c>
      <c r="AM94" s="274">
        <v>0</v>
      </c>
      <c r="AN94" s="274">
        <v>0</v>
      </c>
      <c r="AO94" s="274">
        <v>0.09</v>
      </c>
      <c r="AP94" s="274">
        <v>0</v>
      </c>
      <c r="AQ94" s="274">
        <v>0</v>
      </c>
      <c r="AR94" s="274">
        <v>0</v>
      </c>
      <c r="AS94" s="274">
        <v>0</v>
      </c>
      <c r="AT94" s="274">
        <v>0</v>
      </c>
      <c r="AU94" s="274">
        <v>0</v>
      </c>
      <c r="AV94" s="278">
        <v>0</v>
      </c>
      <c r="AW94" s="264" t="s">
        <v>246</v>
      </c>
      <c r="AX94" s="264" t="s">
        <v>246</v>
      </c>
      <c r="AY94" s="264" t="s">
        <v>246</v>
      </c>
      <c r="AZ94" s="24" t="s">
        <v>246</v>
      </c>
      <c r="BA94" s="24" t="s">
        <v>246</v>
      </c>
      <c r="BB94" s="24" t="s">
        <v>246</v>
      </c>
      <c r="BC94" s="24" t="s">
        <v>246</v>
      </c>
      <c r="BD94" s="24" t="s">
        <v>246</v>
      </c>
      <c r="BE94" s="24" t="s">
        <v>246</v>
      </c>
      <c r="BF94" s="24" t="s">
        <v>246</v>
      </c>
      <c r="BG94" s="24" t="s">
        <v>246</v>
      </c>
      <c r="BH94" s="24" t="s">
        <v>246</v>
      </c>
      <c r="BI94" s="24" t="s">
        <v>246</v>
      </c>
      <c r="BJ94" s="24" t="s">
        <v>246</v>
      </c>
      <c r="BK94" s="24" t="s">
        <v>246</v>
      </c>
      <c r="BL94" s="24" t="s">
        <v>246</v>
      </c>
      <c r="BM94" s="24" t="s">
        <v>246</v>
      </c>
      <c r="BN94" s="24" t="s">
        <v>246</v>
      </c>
      <c r="BO94" s="24" t="s">
        <v>246</v>
      </c>
      <c r="BP94" s="24" t="s">
        <v>246</v>
      </c>
      <c r="BQ94" s="24" t="s">
        <v>246</v>
      </c>
      <c r="BR94" s="24" t="s">
        <v>246</v>
      </c>
      <c r="BS94" s="24" t="s">
        <v>246</v>
      </c>
      <c r="BT94" s="24" t="s">
        <v>246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246</v>
      </c>
      <c r="CD94" s="24" t="s">
        <v>246</v>
      </c>
      <c r="CE94" s="226">
        <f t="shared" si="20"/>
        <v>34.24</v>
      </c>
      <c r="CF94" s="29"/>
    </row>
    <row r="95" spans="1:84" x14ac:dyDescent="0.25">
      <c r="A95" s="30" t="s">
        <v>293</v>
      </c>
      <c r="B95" s="30"/>
      <c r="C95" s="30"/>
      <c r="D95" s="30"/>
      <c r="E95" s="30"/>
    </row>
    <row r="96" spans="1:84" x14ac:dyDescent="0.25">
      <c r="A96" s="31" t="s">
        <v>294</v>
      </c>
      <c r="B96" s="32"/>
      <c r="C96" s="283" t="s">
        <v>1367</v>
      </c>
      <c r="D96" s="284" t="s">
        <v>3</v>
      </c>
      <c r="E96" s="285" t="s">
        <v>3</v>
      </c>
      <c r="F96" s="12"/>
    </row>
    <row r="97" spans="1:6" x14ac:dyDescent="0.25">
      <c r="A97" s="25" t="s">
        <v>295</v>
      </c>
      <c r="B97" s="32" t="s">
        <v>296</v>
      </c>
      <c r="C97" s="286" t="s">
        <v>1353</v>
      </c>
      <c r="D97" s="284" t="s">
        <v>3</v>
      </c>
      <c r="E97" s="285" t="s">
        <v>3</v>
      </c>
      <c r="F97" s="12"/>
    </row>
    <row r="98" spans="1:6" x14ac:dyDescent="0.25">
      <c r="A98" s="25" t="s">
        <v>297</v>
      </c>
      <c r="B98" s="32" t="s">
        <v>296</v>
      </c>
      <c r="C98" s="287" t="s">
        <v>1368</v>
      </c>
      <c r="D98" s="284" t="s">
        <v>3</v>
      </c>
      <c r="E98" s="285" t="s">
        <v>3</v>
      </c>
      <c r="F98" s="12"/>
    </row>
    <row r="99" spans="1:6" x14ac:dyDescent="0.25">
      <c r="A99" s="25" t="s">
        <v>298</v>
      </c>
      <c r="B99" s="32" t="s">
        <v>296</v>
      </c>
      <c r="C99" s="288" t="s">
        <v>1355</v>
      </c>
      <c r="D99" s="284" t="s">
        <v>3</v>
      </c>
      <c r="E99" s="285" t="s">
        <v>3</v>
      </c>
      <c r="F99" s="12"/>
    </row>
    <row r="100" spans="1:6" x14ac:dyDescent="0.25">
      <c r="A100" s="25" t="s">
        <v>299</v>
      </c>
      <c r="B100" s="32" t="s">
        <v>296</v>
      </c>
      <c r="C100" s="287" t="s">
        <v>1356</v>
      </c>
      <c r="D100" s="284" t="s">
        <v>3</v>
      </c>
      <c r="E100" s="285" t="s">
        <v>3</v>
      </c>
      <c r="F100" s="12"/>
    </row>
    <row r="101" spans="1:6" x14ac:dyDescent="0.25">
      <c r="A101" s="25" t="s">
        <v>300</v>
      </c>
      <c r="B101" s="32" t="s">
        <v>296</v>
      </c>
      <c r="C101" s="287" t="s">
        <v>1357</v>
      </c>
      <c r="D101" s="284" t="s">
        <v>3</v>
      </c>
      <c r="E101" s="285" t="s">
        <v>3</v>
      </c>
      <c r="F101" s="12"/>
    </row>
    <row r="102" spans="1:6" x14ac:dyDescent="0.25">
      <c r="A102" s="25" t="s">
        <v>301</v>
      </c>
      <c r="B102" s="32" t="s">
        <v>296</v>
      </c>
      <c r="C102" s="289">
        <v>99347</v>
      </c>
      <c r="D102" s="284" t="s">
        <v>3</v>
      </c>
      <c r="E102" s="285" t="s">
        <v>3</v>
      </c>
      <c r="F102" s="12"/>
    </row>
    <row r="103" spans="1:6" x14ac:dyDescent="0.25">
      <c r="A103" s="25" t="s">
        <v>302</v>
      </c>
      <c r="B103" s="32" t="s">
        <v>296</v>
      </c>
      <c r="C103" s="287" t="s">
        <v>1358</v>
      </c>
      <c r="D103" s="284" t="s">
        <v>3</v>
      </c>
      <c r="E103" s="285" t="s">
        <v>3</v>
      </c>
      <c r="F103" s="12"/>
    </row>
    <row r="104" spans="1:6" x14ac:dyDescent="0.25">
      <c r="A104" s="25" t="s">
        <v>303</v>
      </c>
      <c r="B104" s="32" t="s">
        <v>296</v>
      </c>
      <c r="C104" s="290" t="s">
        <v>1373</v>
      </c>
      <c r="D104" s="284" t="s">
        <v>3</v>
      </c>
      <c r="E104" s="285" t="s">
        <v>3</v>
      </c>
      <c r="F104" s="12"/>
    </row>
    <row r="105" spans="1:6" x14ac:dyDescent="0.25">
      <c r="A105" s="25" t="s">
        <v>304</v>
      </c>
      <c r="B105" s="32" t="s">
        <v>296</v>
      </c>
      <c r="C105" s="290" t="s">
        <v>1360</v>
      </c>
      <c r="D105" s="284" t="s">
        <v>3</v>
      </c>
      <c r="E105" s="285" t="s">
        <v>3</v>
      </c>
      <c r="F105" s="12"/>
    </row>
    <row r="106" spans="1:6" x14ac:dyDescent="0.25">
      <c r="A106" s="25" t="s">
        <v>305</v>
      </c>
      <c r="B106" s="32" t="s">
        <v>296</v>
      </c>
      <c r="C106" s="287" t="s">
        <v>1378</v>
      </c>
      <c r="D106" s="284" t="s">
        <v>3</v>
      </c>
      <c r="E106" s="285" t="s">
        <v>3</v>
      </c>
      <c r="F106" s="12"/>
    </row>
    <row r="107" spans="1:6" x14ac:dyDescent="0.25">
      <c r="A107" s="25" t="s">
        <v>306</v>
      </c>
      <c r="B107" s="32" t="s">
        <v>296</v>
      </c>
      <c r="C107" s="291" t="s">
        <v>1362</v>
      </c>
      <c r="D107" s="284" t="s">
        <v>3</v>
      </c>
      <c r="E107" s="285" t="s">
        <v>3</v>
      </c>
      <c r="F107" s="12"/>
    </row>
    <row r="108" spans="1:6" x14ac:dyDescent="0.25">
      <c r="A108" s="25" t="s">
        <v>307</v>
      </c>
      <c r="B108" s="32" t="s">
        <v>296</v>
      </c>
      <c r="C108" s="291"/>
      <c r="D108" s="284" t="s">
        <v>3</v>
      </c>
      <c r="E108" s="285" t="s">
        <v>3</v>
      </c>
      <c r="F108" s="12"/>
    </row>
    <row r="109" spans="1:6" x14ac:dyDescent="0.25">
      <c r="A109" s="33" t="s">
        <v>308</v>
      </c>
      <c r="B109" s="32" t="s">
        <v>296</v>
      </c>
      <c r="C109" s="287" t="s">
        <v>1376</v>
      </c>
      <c r="D109" s="284" t="s">
        <v>3</v>
      </c>
      <c r="E109" s="285" t="s">
        <v>3</v>
      </c>
      <c r="F109" s="12"/>
    </row>
    <row r="110" spans="1:6" x14ac:dyDescent="0.25">
      <c r="A110" s="33" t="s">
        <v>309</v>
      </c>
      <c r="B110" s="32" t="s">
        <v>296</v>
      </c>
      <c r="C110" s="287" t="s">
        <v>1377</v>
      </c>
      <c r="D110" s="284" t="s">
        <v>3</v>
      </c>
      <c r="E110" s="285" t="s">
        <v>3</v>
      </c>
      <c r="F110" s="12"/>
    </row>
    <row r="111" spans="1:6" x14ac:dyDescent="0.25">
      <c r="A111" s="30" t="s">
        <v>310</v>
      </c>
      <c r="B111" s="30"/>
      <c r="C111" s="30"/>
      <c r="D111" s="30"/>
      <c r="E111" s="30"/>
    </row>
    <row r="112" spans="1:6" x14ac:dyDescent="0.25">
      <c r="A112" s="34" t="s">
        <v>311</v>
      </c>
      <c r="B112" s="34"/>
      <c r="C112" s="34"/>
      <c r="D112" s="34"/>
      <c r="E112" s="34"/>
    </row>
    <row r="113" spans="1:5" x14ac:dyDescent="0.25">
      <c r="A113" s="16" t="s">
        <v>300</v>
      </c>
      <c r="B113" s="35" t="s">
        <v>296</v>
      </c>
      <c r="C113" s="292">
        <v>0</v>
      </c>
      <c r="D113" s="16"/>
      <c r="E113" s="16"/>
    </row>
    <row r="114" spans="1:5" x14ac:dyDescent="0.25">
      <c r="A114" s="16" t="s">
        <v>302</v>
      </c>
      <c r="B114" s="35" t="s">
        <v>296</v>
      </c>
      <c r="C114" s="292">
        <v>0</v>
      </c>
      <c r="D114" s="16"/>
      <c r="E114" s="16"/>
    </row>
    <row r="115" spans="1:5" x14ac:dyDescent="0.25">
      <c r="A115" s="16" t="s">
        <v>312</v>
      </c>
      <c r="B115" s="35" t="s">
        <v>296</v>
      </c>
      <c r="C115" s="292">
        <v>1</v>
      </c>
      <c r="D115" s="16"/>
      <c r="E115" s="16"/>
    </row>
    <row r="116" spans="1:5" x14ac:dyDescent="0.25">
      <c r="A116" s="34" t="s">
        <v>313</v>
      </c>
      <c r="B116" s="34"/>
      <c r="C116" s="34"/>
      <c r="D116" s="34"/>
      <c r="E116" s="34"/>
    </row>
    <row r="117" spans="1:5" x14ac:dyDescent="0.25">
      <c r="A117" s="16" t="s">
        <v>314</v>
      </c>
      <c r="B117" s="35" t="s">
        <v>296</v>
      </c>
      <c r="C117" s="292">
        <v>0</v>
      </c>
      <c r="D117" s="16"/>
      <c r="E117" s="16"/>
    </row>
    <row r="118" spans="1:5" x14ac:dyDescent="0.25">
      <c r="A118" s="16" t="s">
        <v>157</v>
      </c>
      <c r="B118" s="35" t="s">
        <v>296</v>
      </c>
      <c r="C118" s="293">
        <v>0</v>
      </c>
      <c r="D118" s="16"/>
      <c r="E118" s="16"/>
    </row>
    <row r="119" spans="1:5" x14ac:dyDescent="0.25">
      <c r="A119" s="34" t="s">
        <v>315</v>
      </c>
      <c r="B119" s="34"/>
      <c r="C119" s="34"/>
      <c r="D119" s="34"/>
      <c r="E119" s="34"/>
    </row>
    <row r="120" spans="1:5" x14ac:dyDescent="0.25">
      <c r="A120" s="16" t="s">
        <v>316</v>
      </c>
      <c r="B120" s="35" t="s">
        <v>296</v>
      </c>
      <c r="C120" s="292">
        <v>0</v>
      </c>
      <c r="D120" s="16"/>
      <c r="E120" s="16"/>
    </row>
    <row r="121" spans="1:5" x14ac:dyDescent="0.25">
      <c r="A121" s="16" t="s">
        <v>317</v>
      </c>
      <c r="B121" s="35" t="s">
        <v>296</v>
      </c>
      <c r="C121" s="292">
        <v>0</v>
      </c>
      <c r="D121" s="16"/>
      <c r="E121" s="16"/>
    </row>
    <row r="122" spans="1:5" x14ac:dyDescent="0.25">
      <c r="A122" s="16" t="s">
        <v>318</v>
      </c>
      <c r="B122" s="35" t="s">
        <v>296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319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320</v>
      </c>
      <c r="B126" s="16"/>
      <c r="C126" s="17" t="s">
        <v>321</v>
      </c>
      <c r="D126" s="18" t="s">
        <v>240</v>
      </c>
      <c r="E126" s="16"/>
    </row>
    <row r="127" spans="1:5" x14ac:dyDescent="0.25">
      <c r="A127" s="16" t="s">
        <v>322</v>
      </c>
      <c r="B127" s="35" t="s">
        <v>296</v>
      </c>
      <c r="C127" s="294">
        <v>62</v>
      </c>
      <c r="D127" s="295">
        <v>138</v>
      </c>
      <c r="E127" s="16"/>
    </row>
    <row r="128" spans="1:5" x14ac:dyDescent="0.25">
      <c r="A128" s="16" t="s">
        <v>323</v>
      </c>
      <c r="B128" s="35" t="s">
        <v>296</v>
      </c>
      <c r="C128" s="294">
        <v>375</v>
      </c>
      <c r="D128" s="295">
        <v>6055</v>
      </c>
      <c r="E128" s="16"/>
    </row>
    <row r="129" spans="1:5" x14ac:dyDescent="0.25">
      <c r="A129" s="16" t="s">
        <v>324</v>
      </c>
      <c r="B129" s="35" t="s">
        <v>296</v>
      </c>
      <c r="C129" s="292">
        <v>0</v>
      </c>
      <c r="D129" s="295">
        <v>0</v>
      </c>
      <c r="E129" s="16"/>
    </row>
    <row r="130" spans="1:5" x14ac:dyDescent="0.25">
      <c r="A130" s="16" t="s">
        <v>325</v>
      </c>
      <c r="B130" s="35" t="s">
        <v>296</v>
      </c>
      <c r="C130" s="292">
        <v>0</v>
      </c>
      <c r="D130" s="295">
        <v>0</v>
      </c>
      <c r="E130" s="16"/>
    </row>
    <row r="131" spans="1:5" x14ac:dyDescent="0.25">
      <c r="A131" s="21" t="s">
        <v>326</v>
      </c>
      <c r="B131" s="16"/>
      <c r="C131" s="17" t="s">
        <v>192</v>
      </c>
      <c r="D131" s="16"/>
      <c r="E131" s="16"/>
    </row>
    <row r="132" spans="1:5" x14ac:dyDescent="0.25">
      <c r="A132" s="16" t="s">
        <v>327</v>
      </c>
      <c r="B132" s="35" t="s">
        <v>296</v>
      </c>
      <c r="C132" s="292">
        <v>0</v>
      </c>
      <c r="D132" s="16"/>
      <c r="E132" s="16"/>
    </row>
    <row r="133" spans="1:5" x14ac:dyDescent="0.25">
      <c r="A133" s="16" t="s">
        <v>328</v>
      </c>
      <c r="B133" s="35" t="s">
        <v>296</v>
      </c>
      <c r="C133" s="292">
        <v>0</v>
      </c>
      <c r="D133" s="16"/>
      <c r="E133" s="16"/>
    </row>
    <row r="134" spans="1:5" x14ac:dyDescent="0.25">
      <c r="A134" s="16" t="s">
        <v>329</v>
      </c>
      <c r="B134" s="35" t="s">
        <v>296</v>
      </c>
      <c r="C134" s="296">
        <v>25</v>
      </c>
      <c r="D134" s="16"/>
      <c r="E134" s="16"/>
    </row>
    <row r="135" spans="1:5" x14ac:dyDescent="0.25">
      <c r="A135" s="16" t="s">
        <v>330</v>
      </c>
      <c r="B135" s="35" t="s">
        <v>296</v>
      </c>
      <c r="C135" s="292">
        <v>0</v>
      </c>
      <c r="D135" s="16"/>
      <c r="E135" s="16"/>
    </row>
    <row r="136" spans="1:5" x14ac:dyDescent="0.25">
      <c r="A136" s="16" t="s">
        <v>331</v>
      </c>
      <c r="B136" s="35" t="s">
        <v>296</v>
      </c>
      <c r="C136" s="292">
        <v>0</v>
      </c>
      <c r="D136" s="16"/>
      <c r="E136" s="16"/>
    </row>
    <row r="137" spans="1:5" x14ac:dyDescent="0.25">
      <c r="A137" s="16" t="s">
        <v>332</v>
      </c>
      <c r="B137" s="35" t="s">
        <v>296</v>
      </c>
      <c r="C137" s="292">
        <v>0</v>
      </c>
      <c r="D137" s="16"/>
      <c r="E137" s="16"/>
    </row>
    <row r="138" spans="1:5" x14ac:dyDescent="0.25">
      <c r="A138" s="16" t="s">
        <v>121</v>
      </c>
      <c r="B138" s="35" t="s">
        <v>296</v>
      </c>
      <c r="C138" s="292">
        <v>0</v>
      </c>
      <c r="D138" s="16"/>
      <c r="E138" s="16"/>
    </row>
    <row r="139" spans="1:5" x14ac:dyDescent="0.25">
      <c r="A139" s="16" t="s">
        <v>333</v>
      </c>
      <c r="B139" s="35" t="s">
        <v>296</v>
      </c>
      <c r="C139" s="294">
        <v>0</v>
      </c>
      <c r="D139" s="16"/>
      <c r="E139" s="16"/>
    </row>
    <row r="140" spans="1:5" x14ac:dyDescent="0.25">
      <c r="A140" s="16" t="s">
        <v>334</v>
      </c>
      <c r="B140" s="35"/>
      <c r="C140" s="292">
        <v>0</v>
      </c>
      <c r="D140" s="16"/>
      <c r="E140" s="16"/>
    </row>
    <row r="141" spans="1:5" x14ac:dyDescent="0.25">
      <c r="A141" s="16" t="s">
        <v>324</v>
      </c>
      <c r="B141" s="35" t="s">
        <v>296</v>
      </c>
      <c r="C141" s="292">
        <v>0</v>
      </c>
      <c r="D141" s="16"/>
      <c r="E141" s="16"/>
    </row>
    <row r="142" spans="1:5" x14ac:dyDescent="0.25">
      <c r="A142" s="16" t="s">
        <v>335</v>
      </c>
      <c r="B142" s="35" t="s">
        <v>296</v>
      </c>
      <c r="C142" s="292">
        <v>0</v>
      </c>
      <c r="D142" s="16"/>
      <c r="E142" s="16"/>
    </row>
    <row r="143" spans="1:5" x14ac:dyDescent="0.25">
      <c r="A143" s="16" t="s">
        <v>336</v>
      </c>
      <c r="B143" s="16"/>
      <c r="C143" s="22"/>
      <c r="D143" s="16"/>
      <c r="E143" s="25">
        <f>SUM(C132:C142)</f>
        <v>25</v>
      </c>
    </row>
    <row r="144" spans="1:5" x14ac:dyDescent="0.25">
      <c r="A144" s="16" t="s">
        <v>337</v>
      </c>
      <c r="B144" s="35" t="s">
        <v>296</v>
      </c>
      <c r="C144" s="294">
        <v>25</v>
      </c>
      <c r="D144" s="16"/>
      <c r="E144" s="16"/>
    </row>
    <row r="145" spans="1:6" x14ac:dyDescent="0.25">
      <c r="A145" s="16" t="s">
        <v>338</v>
      </c>
      <c r="B145" s="35" t="s">
        <v>296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339</v>
      </c>
      <c r="B147" s="35" t="s">
        <v>296</v>
      </c>
      <c r="C147" s="294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340</v>
      </c>
      <c r="B152" s="37"/>
      <c r="C152" s="37"/>
      <c r="D152" s="37"/>
      <c r="E152" s="37"/>
    </row>
    <row r="153" spans="1:6" x14ac:dyDescent="0.25">
      <c r="A153" s="38" t="s">
        <v>341</v>
      </c>
      <c r="B153" s="39" t="s">
        <v>342</v>
      </c>
      <c r="C153" s="40" t="s">
        <v>343</v>
      </c>
      <c r="D153" s="39" t="s">
        <v>157</v>
      </c>
      <c r="E153" s="39" t="s">
        <v>228</v>
      </c>
    </row>
    <row r="154" spans="1:6" x14ac:dyDescent="0.25">
      <c r="A154" s="16" t="s">
        <v>321</v>
      </c>
      <c r="B154" s="295">
        <v>45</v>
      </c>
      <c r="C154" s="295">
        <v>0</v>
      </c>
      <c r="D154" s="295">
        <v>17</v>
      </c>
      <c r="E154" s="25">
        <f>SUM(B154:D154)</f>
        <v>62</v>
      </c>
    </row>
    <row r="155" spans="1:6" x14ac:dyDescent="0.25">
      <c r="A155" s="16" t="s">
        <v>240</v>
      </c>
      <c r="B155" s="295">
        <v>98</v>
      </c>
      <c r="C155" s="295">
        <v>2</v>
      </c>
      <c r="D155" s="295">
        <v>38</v>
      </c>
      <c r="E155" s="25">
        <f>SUM(B155:D155)</f>
        <v>138</v>
      </c>
    </row>
    <row r="156" spans="1:6" x14ac:dyDescent="0.25">
      <c r="A156" s="16" t="s">
        <v>344</v>
      </c>
      <c r="B156" s="295">
        <v>0</v>
      </c>
      <c r="C156" s="295">
        <v>0</v>
      </c>
      <c r="D156" s="295">
        <v>0</v>
      </c>
      <c r="E156" s="25">
        <f>SUM(B156:D156)</f>
        <v>0</v>
      </c>
    </row>
    <row r="157" spans="1:6" x14ac:dyDescent="0.25">
      <c r="A157" s="16" t="s">
        <v>285</v>
      </c>
      <c r="B157" s="295">
        <v>339847</v>
      </c>
      <c r="C157" s="295">
        <v>12500</v>
      </c>
      <c r="D157" s="295">
        <v>137536</v>
      </c>
      <c r="E157" s="25">
        <f>SUM(B157:D157)</f>
        <v>489883</v>
      </c>
      <c r="F157" s="14"/>
    </row>
    <row r="158" spans="1:6" x14ac:dyDescent="0.25">
      <c r="A158" s="16" t="s">
        <v>286</v>
      </c>
      <c r="B158" s="295">
        <v>2933101</v>
      </c>
      <c r="C158" s="295">
        <v>800077</v>
      </c>
      <c r="D158" s="295">
        <v>2966435</v>
      </c>
      <c r="E158" s="25">
        <f>SUM(B158:D158)</f>
        <v>6699613</v>
      </c>
      <c r="F158" s="14"/>
    </row>
    <row r="159" spans="1:6" x14ac:dyDescent="0.25">
      <c r="A159" s="38" t="s">
        <v>345</v>
      </c>
      <c r="B159" s="39" t="s">
        <v>342</v>
      </c>
      <c r="C159" s="40" t="s">
        <v>343</v>
      </c>
      <c r="D159" s="39" t="s">
        <v>157</v>
      </c>
      <c r="E159" s="39" t="s">
        <v>228</v>
      </c>
    </row>
    <row r="160" spans="1:6" x14ac:dyDescent="0.25">
      <c r="A160" s="16" t="s">
        <v>321</v>
      </c>
      <c r="B160" s="272">
        <v>54</v>
      </c>
      <c r="C160" s="272">
        <f>9+157</f>
        <v>166</v>
      </c>
      <c r="D160" s="272">
        <f>10+108</f>
        <v>118</v>
      </c>
      <c r="E160" s="25">
        <f>SUM(B160:D160)</f>
        <v>338</v>
      </c>
    </row>
    <row r="161" spans="1:5" x14ac:dyDescent="0.25">
      <c r="A161" s="16" t="s">
        <v>240</v>
      </c>
      <c r="B161" s="272">
        <v>667</v>
      </c>
      <c r="C161" s="272">
        <v>3353</v>
      </c>
      <c r="D161" s="272">
        <v>2035</v>
      </c>
      <c r="E161" s="25">
        <f>SUM(B161:D161)</f>
        <v>6055</v>
      </c>
    </row>
    <row r="162" spans="1:5" x14ac:dyDescent="0.25">
      <c r="A162" s="16" t="s">
        <v>344</v>
      </c>
      <c r="B162" s="295">
        <v>0</v>
      </c>
      <c r="C162" s="295">
        <v>0</v>
      </c>
      <c r="D162" s="295">
        <v>0</v>
      </c>
      <c r="E162" s="25">
        <f>SUM(B162:D162)</f>
        <v>0</v>
      </c>
    </row>
    <row r="163" spans="1:5" x14ac:dyDescent="0.25">
      <c r="A163" s="16" t="s">
        <v>285</v>
      </c>
      <c r="B163" s="272">
        <v>709003</v>
      </c>
      <c r="C163" s="272">
        <v>900208</v>
      </c>
      <c r="D163" s="272">
        <f>540363+1</f>
        <v>540364</v>
      </c>
      <c r="E163" s="25">
        <f>SUM(B163:D163)</f>
        <v>2149575</v>
      </c>
    </row>
    <row r="164" spans="1:5" x14ac:dyDescent="0.25">
      <c r="A164" s="16" t="s">
        <v>286</v>
      </c>
      <c r="B164" s="295">
        <v>0</v>
      </c>
      <c r="C164" s="295">
        <v>0</v>
      </c>
      <c r="D164" s="295">
        <v>0</v>
      </c>
      <c r="E164" s="25">
        <f>SUM(B164:D164)</f>
        <v>0</v>
      </c>
    </row>
    <row r="165" spans="1:5" x14ac:dyDescent="0.25">
      <c r="A165" s="38" t="s">
        <v>346</v>
      </c>
      <c r="B165" s="39" t="s">
        <v>342</v>
      </c>
      <c r="C165" s="40" t="s">
        <v>343</v>
      </c>
      <c r="D165" s="39" t="s">
        <v>157</v>
      </c>
      <c r="E165" s="39" t="s">
        <v>228</v>
      </c>
    </row>
    <row r="166" spans="1:5" x14ac:dyDescent="0.25">
      <c r="A166" s="16" t="s">
        <v>321</v>
      </c>
      <c r="B166" s="295">
        <v>0</v>
      </c>
      <c r="C166" s="295">
        <v>0</v>
      </c>
      <c r="D166" s="295">
        <v>0</v>
      </c>
      <c r="E166" s="25">
        <f>SUM(B166:D166)</f>
        <v>0</v>
      </c>
    </row>
    <row r="167" spans="1:5" x14ac:dyDescent="0.25">
      <c r="A167" s="16" t="s">
        <v>240</v>
      </c>
      <c r="B167" s="295">
        <v>0</v>
      </c>
      <c r="C167" s="295">
        <v>0</v>
      </c>
      <c r="D167" s="295">
        <v>0</v>
      </c>
      <c r="E167" s="25">
        <f>SUM(B167:D167)</f>
        <v>0</v>
      </c>
    </row>
    <row r="168" spans="1:5" x14ac:dyDescent="0.25">
      <c r="A168" s="16" t="s">
        <v>344</v>
      </c>
      <c r="B168" s="295">
        <v>0</v>
      </c>
      <c r="C168" s="295">
        <v>0</v>
      </c>
      <c r="D168" s="295">
        <v>0</v>
      </c>
      <c r="E168" s="25">
        <f>SUM(B168:D168)</f>
        <v>0</v>
      </c>
    </row>
    <row r="169" spans="1:5" x14ac:dyDescent="0.25">
      <c r="A169" s="16" t="s">
        <v>285</v>
      </c>
      <c r="B169" s="295">
        <v>0</v>
      </c>
      <c r="C169" s="295">
        <v>0</v>
      </c>
      <c r="D169" s="295">
        <v>0</v>
      </c>
      <c r="E169" s="25">
        <f>SUM(B169:D169)</f>
        <v>0</v>
      </c>
    </row>
    <row r="170" spans="1:5" x14ac:dyDescent="0.25">
      <c r="A170" s="16" t="s">
        <v>286</v>
      </c>
      <c r="B170" s="295">
        <v>0</v>
      </c>
      <c r="C170" s="295">
        <v>0</v>
      </c>
      <c r="D170" s="295">
        <v>0</v>
      </c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347</v>
      </c>
      <c r="B172" s="39" t="s">
        <v>348</v>
      </c>
      <c r="C172" s="40" t="s">
        <v>349</v>
      </c>
      <c r="D172" s="16"/>
      <c r="E172" s="16"/>
    </row>
    <row r="173" spans="1:5" x14ac:dyDescent="0.25">
      <c r="A173" s="20" t="s">
        <v>350</v>
      </c>
      <c r="B173" s="272">
        <v>981302</v>
      </c>
      <c r="C173" s="272">
        <v>482094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351</v>
      </c>
      <c r="B179" s="30"/>
      <c r="C179" s="30"/>
      <c r="D179" s="30"/>
      <c r="E179" s="30"/>
    </row>
    <row r="180" spans="1:5" x14ac:dyDescent="0.25">
      <c r="A180" s="34" t="s">
        <v>352</v>
      </c>
      <c r="B180" s="34"/>
      <c r="C180" s="34"/>
      <c r="D180" s="34"/>
      <c r="E180" s="34"/>
    </row>
    <row r="181" spans="1:5" x14ac:dyDescent="0.25">
      <c r="A181" s="16" t="s">
        <v>353</v>
      </c>
      <c r="B181" s="35" t="s">
        <v>296</v>
      </c>
      <c r="C181" s="292">
        <v>455417</v>
      </c>
      <c r="D181" s="16"/>
      <c r="E181" s="16"/>
    </row>
    <row r="182" spans="1:5" x14ac:dyDescent="0.25">
      <c r="A182" s="16" t="s">
        <v>354</v>
      </c>
      <c r="B182" s="35" t="s">
        <v>296</v>
      </c>
      <c r="C182" s="292">
        <v>21678</v>
      </c>
      <c r="D182" s="16"/>
      <c r="E182" s="16"/>
    </row>
    <row r="183" spans="1:5" x14ac:dyDescent="0.25">
      <c r="A183" s="20" t="s">
        <v>355</v>
      </c>
      <c r="B183" s="35" t="s">
        <v>296</v>
      </c>
      <c r="C183" s="292">
        <v>67582</v>
      </c>
      <c r="D183" s="16"/>
      <c r="E183" s="16"/>
    </row>
    <row r="184" spans="1:5" x14ac:dyDescent="0.25">
      <c r="A184" s="16" t="s">
        <v>356</v>
      </c>
      <c r="B184" s="35" t="s">
        <v>296</v>
      </c>
      <c r="C184" s="292">
        <v>916157</v>
      </c>
      <c r="D184" s="16"/>
      <c r="E184" s="16"/>
    </row>
    <row r="185" spans="1:5" x14ac:dyDescent="0.25">
      <c r="A185" s="16" t="s">
        <v>357</v>
      </c>
      <c r="B185" s="35" t="s">
        <v>296</v>
      </c>
      <c r="C185" s="292">
        <v>11456</v>
      </c>
      <c r="D185" s="16"/>
      <c r="E185" s="16"/>
    </row>
    <row r="186" spans="1:5" x14ac:dyDescent="0.25">
      <c r="A186" s="16" t="s">
        <v>358</v>
      </c>
      <c r="B186" s="35" t="s">
        <v>296</v>
      </c>
      <c r="C186" s="292">
        <v>96706</v>
      </c>
      <c r="D186" s="16"/>
      <c r="E186" s="16"/>
    </row>
    <row r="187" spans="1:5" x14ac:dyDescent="0.25">
      <c r="A187" s="16" t="s">
        <v>359</v>
      </c>
      <c r="B187" s="35" t="s">
        <v>296</v>
      </c>
      <c r="C187" s="292">
        <v>235938</v>
      </c>
      <c r="D187" s="16"/>
      <c r="E187" s="16"/>
    </row>
    <row r="188" spans="1:5" x14ac:dyDescent="0.25">
      <c r="A188" s="16" t="s">
        <v>359</v>
      </c>
      <c r="B188" s="35" t="s">
        <v>296</v>
      </c>
      <c r="C188" s="292">
        <v>50097</v>
      </c>
      <c r="D188" s="16"/>
      <c r="E188" s="16"/>
    </row>
    <row r="189" spans="1:5" x14ac:dyDescent="0.25">
      <c r="A189" s="16" t="s">
        <v>228</v>
      </c>
      <c r="B189" s="16"/>
      <c r="C189" s="22"/>
      <c r="D189" s="25">
        <f>SUM(C181:C188)</f>
        <v>1855031</v>
      </c>
      <c r="E189" s="16"/>
    </row>
    <row r="190" spans="1:5" x14ac:dyDescent="0.25">
      <c r="A190" s="34" t="s">
        <v>360</v>
      </c>
      <c r="B190" s="34"/>
      <c r="C190" s="34"/>
      <c r="D190" s="34"/>
      <c r="E190" s="34"/>
    </row>
    <row r="191" spans="1:5" x14ac:dyDescent="0.25">
      <c r="A191" s="16" t="s">
        <v>361</v>
      </c>
      <c r="B191" s="35" t="s">
        <v>296</v>
      </c>
      <c r="C191" s="292">
        <v>0</v>
      </c>
      <c r="D191" s="16"/>
      <c r="E191" s="16"/>
    </row>
    <row r="192" spans="1:5" x14ac:dyDescent="0.25">
      <c r="A192" s="16" t="s">
        <v>362</v>
      </c>
      <c r="B192" s="35" t="s">
        <v>296</v>
      </c>
      <c r="C192" s="292">
        <v>66023</v>
      </c>
      <c r="D192" s="16"/>
      <c r="E192" s="16"/>
    </row>
    <row r="193" spans="1:5" x14ac:dyDescent="0.25">
      <c r="A193" s="16" t="s">
        <v>228</v>
      </c>
      <c r="B193" s="16"/>
      <c r="C193" s="22"/>
      <c r="D193" s="25">
        <f>SUM(C191:C192)</f>
        <v>66023</v>
      </c>
      <c r="E193" s="16"/>
    </row>
    <row r="194" spans="1:5" x14ac:dyDescent="0.25">
      <c r="A194" s="34" t="s">
        <v>363</v>
      </c>
      <c r="B194" s="34"/>
      <c r="C194" s="34"/>
      <c r="D194" s="34"/>
      <c r="E194" s="34"/>
    </row>
    <row r="195" spans="1:5" x14ac:dyDescent="0.25">
      <c r="A195" s="16" t="s">
        <v>364</v>
      </c>
      <c r="B195" s="35" t="s">
        <v>296</v>
      </c>
      <c r="C195" s="292">
        <v>33112</v>
      </c>
      <c r="D195" s="16"/>
      <c r="E195" s="16"/>
    </row>
    <row r="196" spans="1:5" x14ac:dyDescent="0.25">
      <c r="A196" s="16" t="s">
        <v>365</v>
      </c>
      <c r="B196" s="35" t="s">
        <v>296</v>
      </c>
      <c r="C196" s="292">
        <v>132493</v>
      </c>
      <c r="D196" s="16"/>
      <c r="E196" s="16"/>
    </row>
    <row r="197" spans="1:5" x14ac:dyDescent="0.25">
      <c r="A197" s="16" t="s">
        <v>228</v>
      </c>
      <c r="B197" s="16"/>
      <c r="C197" s="22"/>
      <c r="D197" s="25">
        <f>SUM(C195:C196)</f>
        <v>165605</v>
      </c>
      <c r="E197" s="16"/>
    </row>
    <row r="198" spans="1:5" x14ac:dyDescent="0.25">
      <c r="A198" s="34" t="s">
        <v>366</v>
      </c>
      <c r="B198" s="34"/>
      <c r="C198" s="34"/>
      <c r="D198" s="34"/>
      <c r="E198" s="34"/>
    </row>
    <row r="199" spans="1:5" x14ac:dyDescent="0.25">
      <c r="A199" s="16" t="s">
        <v>367</v>
      </c>
      <c r="B199" s="35" t="s">
        <v>296</v>
      </c>
      <c r="C199" s="292">
        <v>20408</v>
      </c>
      <c r="D199" s="16"/>
      <c r="E199" s="16"/>
    </row>
    <row r="200" spans="1:5" x14ac:dyDescent="0.25">
      <c r="A200" s="16" t="s">
        <v>368</v>
      </c>
      <c r="B200" s="35" t="s">
        <v>296</v>
      </c>
      <c r="C200" s="326">
        <v>32651</v>
      </c>
      <c r="D200" s="16"/>
      <c r="E200" s="16"/>
    </row>
    <row r="201" spans="1:5" x14ac:dyDescent="0.25">
      <c r="A201" s="16" t="s">
        <v>157</v>
      </c>
      <c r="B201" s="35" t="s">
        <v>296</v>
      </c>
      <c r="C201" s="292">
        <v>131</v>
      </c>
      <c r="D201" s="16"/>
      <c r="E201" s="16"/>
    </row>
    <row r="202" spans="1:5" x14ac:dyDescent="0.25">
      <c r="A202" s="16" t="s">
        <v>228</v>
      </c>
      <c r="B202" s="16"/>
      <c r="C202" s="22"/>
      <c r="D202" s="25">
        <f>SUM(C199:C201)</f>
        <v>53190</v>
      </c>
      <c r="E202" s="16"/>
    </row>
    <row r="203" spans="1:5" x14ac:dyDescent="0.25">
      <c r="A203" s="34" t="s">
        <v>369</v>
      </c>
      <c r="B203" s="34"/>
      <c r="C203" s="34"/>
      <c r="D203" s="34"/>
      <c r="E203" s="34"/>
    </row>
    <row r="204" spans="1:5" x14ac:dyDescent="0.25">
      <c r="A204" s="16" t="s">
        <v>370</v>
      </c>
      <c r="B204" s="35" t="s">
        <v>296</v>
      </c>
      <c r="C204" s="292">
        <v>0</v>
      </c>
      <c r="D204" s="16"/>
      <c r="E204" s="16"/>
    </row>
    <row r="205" spans="1:5" x14ac:dyDescent="0.25">
      <c r="A205" s="16" t="s">
        <v>371</v>
      </c>
      <c r="B205" s="35" t="s">
        <v>296</v>
      </c>
      <c r="C205" s="292">
        <v>1784</v>
      </c>
      <c r="D205" s="16"/>
      <c r="E205" s="16"/>
    </row>
    <row r="206" spans="1:5" x14ac:dyDescent="0.25">
      <c r="A206" s="16" t="s">
        <v>228</v>
      </c>
      <c r="B206" s="16"/>
      <c r="C206" s="22"/>
      <c r="D206" s="25">
        <f>SUM(C204:C205)</f>
        <v>1784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372</v>
      </c>
      <c r="B208" s="30"/>
      <c r="C208" s="30"/>
      <c r="D208" s="30"/>
      <c r="E208" s="30"/>
    </row>
    <row r="209" spans="1:5" x14ac:dyDescent="0.25">
      <c r="A209" s="37" t="s">
        <v>373</v>
      </c>
      <c r="B209" s="30"/>
      <c r="C209" s="30"/>
      <c r="D209" s="30"/>
      <c r="E209" s="30"/>
    </row>
    <row r="210" spans="1:5" x14ac:dyDescent="0.25">
      <c r="A210" s="21"/>
      <c r="B210" s="18" t="s">
        <v>374</v>
      </c>
      <c r="C210" s="17" t="s">
        <v>375</v>
      </c>
      <c r="D210" s="18" t="s">
        <v>376</v>
      </c>
      <c r="E210" s="18" t="s">
        <v>377</v>
      </c>
    </row>
    <row r="211" spans="1:5" x14ac:dyDescent="0.25">
      <c r="A211" s="16" t="s">
        <v>378</v>
      </c>
      <c r="B211" s="292">
        <v>83983</v>
      </c>
      <c r="C211" s="292">
        <v>0</v>
      </c>
      <c r="D211" s="295">
        <v>0</v>
      </c>
      <c r="E211" s="25">
        <f t="shared" ref="E211:E219" si="22">SUM(B211:C211)-D211</f>
        <v>83983</v>
      </c>
    </row>
    <row r="212" spans="1:5" x14ac:dyDescent="0.25">
      <c r="A212" s="16" t="s">
        <v>379</v>
      </c>
      <c r="B212" s="292">
        <v>234472</v>
      </c>
      <c r="C212" s="292">
        <v>0</v>
      </c>
      <c r="D212" s="295">
        <v>0</v>
      </c>
      <c r="E212" s="25">
        <f t="shared" si="22"/>
        <v>234472</v>
      </c>
    </row>
    <row r="213" spans="1:5" x14ac:dyDescent="0.25">
      <c r="A213" s="16" t="s">
        <v>380</v>
      </c>
      <c r="B213" s="292">
        <v>1511534</v>
      </c>
      <c r="C213" s="292">
        <v>16297</v>
      </c>
      <c r="D213" s="295">
        <v>0</v>
      </c>
      <c r="E213" s="25">
        <f t="shared" si="22"/>
        <v>1527831</v>
      </c>
    </row>
    <row r="214" spans="1:5" x14ac:dyDescent="0.25">
      <c r="A214" s="16" t="s">
        <v>381</v>
      </c>
      <c r="B214" s="292">
        <v>0</v>
      </c>
      <c r="C214" s="292">
        <v>0</v>
      </c>
      <c r="D214" s="295">
        <v>0</v>
      </c>
      <c r="E214" s="25">
        <f t="shared" si="22"/>
        <v>0</v>
      </c>
    </row>
    <row r="215" spans="1:5" x14ac:dyDescent="0.25">
      <c r="A215" s="16" t="s">
        <v>382</v>
      </c>
      <c r="B215" s="292">
        <v>283418</v>
      </c>
      <c r="C215" s="292">
        <v>0</v>
      </c>
      <c r="D215" s="295">
        <v>0</v>
      </c>
      <c r="E215" s="25">
        <f t="shared" si="22"/>
        <v>283418</v>
      </c>
    </row>
    <row r="216" spans="1:5" x14ac:dyDescent="0.25">
      <c r="A216" s="16" t="s">
        <v>383</v>
      </c>
      <c r="B216" s="292">
        <v>3134474</v>
      </c>
      <c r="C216" s="292">
        <v>23033</v>
      </c>
      <c r="D216" s="295">
        <v>0</v>
      </c>
      <c r="E216" s="25">
        <f t="shared" si="22"/>
        <v>3157507</v>
      </c>
    </row>
    <row r="217" spans="1:5" x14ac:dyDescent="0.25">
      <c r="A217" s="16" t="s">
        <v>384</v>
      </c>
      <c r="B217" s="292">
        <v>0</v>
      </c>
      <c r="C217" s="292">
        <v>0</v>
      </c>
      <c r="D217" s="295">
        <v>0</v>
      </c>
      <c r="E217" s="25">
        <f t="shared" si="22"/>
        <v>0</v>
      </c>
    </row>
    <row r="218" spans="1:5" x14ac:dyDescent="0.25">
      <c r="A218" s="16" t="s">
        <v>385</v>
      </c>
      <c r="B218" s="292">
        <v>172145</v>
      </c>
      <c r="C218" s="292">
        <v>0</v>
      </c>
      <c r="D218" s="295">
        <v>0</v>
      </c>
      <c r="E218" s="25">
        <f t="shared" si="22"/>
        <v>172145</v>
      </c>
    </row>
    <row r="219" spans="1:5" x14ac:dyDescent="0.25">
      <c r="A219" s="16" t="s">
        <v>386</v>
      </c>
      <c r="B219" s="292">
        <v>1029813</v>
      </c>
      <c r="C219" s="292">
        <v>935731</v>
      </c>
      <c r="D219" s="295">
        <v>16297</v>
      </c>
      <c r="E219" s="25">
        <f t="shared" si="22"/>
        <v>1949247</v>
      </c>
    </row>
    <row r="220" spans="1:5" x14ac:dyDescent="0.25">
      <c r="A220" s="16" t="s">
        <v>228</v>
      </c>
      <c r="B220" s="25">
        <f>SUM(B211:B219)</f>
        <v>6449839</v>
      </c>
      <c r="C220" s="225">
        <f>SUM(C211:C219)</f>
        <v>975061</v>
      </c>
      <c r="D220" s="25">
        <f>SUM(D211:D219)</f>
        <v>16297</v>
      </c>
      <c r="E220" s="25">
        <f>SUM(E211:E219)</f>
        <v>7408603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387</v>
      </c>
      <c r="B222" s="37"/>
      <c r="C222" s="37"/>
      <c r="D222" s="37"/>
      <c r="E222" s="37"/>
    </row>
    <row r="223" spans="1:5" x14ac:dyDescent="0.25">
      <c r="A223" s="21"/>
      <c r="B223" s="18" t="s">
        <v>374</v>
      </c>
      <c r="C223" s="17" t="s">
        <v>375</v>
      </c>
      <c r="D223" s="18" t="s">
        <v>376</v>
      </c>
      <c r="E223" s="18" t="s">
        <v>377</v>
      </c>
    </row>
    <row r="224" spans="1:5" x14ac:dyDescent="0.25">
      <c r="A224" s="16" t="s">
        <v>378</v>
      </c>
      <c r="B224" s="42"/>
      <c r="C224" s="41"/>
      <c r="D224" s="42"/>
      <c r="E224" s="16"/>
    </row>
    <row r="225" spans="1:6" x14ac:dyDescent="0.25">
      <c r="A225" s="16" t="s">
        <v>379</v>
      </c>
      <c r="B225" s="292">
        <v>234472</v>
      </c>
      <c r="C225" s="292">
        <v>0</v>
      </c>
      <c r="D225" s="295">
        <v>0</v>
      </c>
      <c r="E225" s="25">
        <f t="shared" ref="E225:E232" si="23">SUM(B225:C225)-D225</f>
        <v>234472</v>
      </c>
    </row>
    <row r="226" spans="1:6" x14ac:dyDescent="0.25">
      <c r="A226" s="16" t="s">
        <v>380</v>
      </c>
      <c r="B226" s="292">
        <v>1360071</v>
      </c>
      <c r="C226" s="292">
        <v>24236</v>
      </c>
      <c r="D226" s="295">
        <v>0</v>
      </c>
      <c r="E226" s="25">
        <f t="shared" si="23"/>
        <v>1384307</v>
      </c>
    </row>
    <row r="227" spans="1:6" x14ac:dyDescent="0.25">
      <c r="A227" s="16" t="s">
        <v>381</v>
      </c>
      <c r="B227" s="292">
        <v>0</v>
      </c>
      <c r="C227" s="292">
        <v>0</v>
      </c>
      <c r="D227" s="295">
        <v>0</v>
      </c>
      <c r="E227" s="25">
        <f t="shared" si="23"/>
        <v>0</v>
      </c>
    </row>
    <row r="228" spans="1:6" x14ac:dyDescent="0.25">
      <c r="A228" s="16" t="s">
        <v>382</v>
      </c>
      <c r="B228" s="292">
        <v>147265</v>
      </c>
      <c r="C228" s="292">
        <v>26568</v>
      </c>
      <c r="D228" s="295">
        <v>0</v>
      </c>
      <c r="E228" s="25">
        <f t="shared" si="23"/>
        <v>173833</v>
      </c>
    </row>
    <row r="229" spans="1:6" x14ac:dyDescent="0.25">
      <c r="A229" s="16" t="s">
        <v>383</v>
      </c>
      <c r="B229" s="292">
        <v>2489566</v>
      </c>
      <c r="C229" s="292">
        <v>160243</v>
      </c>
      <c r="D229" s="295">
        <v>0</v>
      </c>
      <c r="E229" s="25">
        <f t="shared" si="23"/>
        <v>2649809</v>
      </c>
    </row>
    <row r="230" spans="1:6" x14ac:dyDescent="0.25">
      <c r="A230" s="16" t="s">
        <v>384</v>
      </c>
      <c r="B230" s="292">
        <v>0</v>
      </c>
      <c r="C230" s="292">
        <v>0</v>
      </c>
      <c r="D230" s="295">
        <v>0</v>
      </c>
      <c r="E230" s="25">
        <f t="shared" si="23"/>
        <v>0</v>
      </c>
    </row>
    <row r="231" spans="1:6" x14ac:dyDescent="0.25">
      <c r="A231" s="16" t="s">
        <v>385</v>
      </c>
      <c r="B231" s="292">
        <v>66096</v>
      </c>
      <c r="C231" s="292">
        <v>70039</v>
      </c>
      <c r="D231" s="295">
        <v>0</v>
      </c>
      <c r="E231" s="25">
        <f t="shared" si="23"/>
        <v>136135</v>
      </c>
    </row>
    <row r="232" spans="1:6" x14ac:dyDescent="0.25">
      <c r="A232" s="16" t="s">
        <v>386</v>
      </c>
      <c r="B232" s="292">
        <v>0</v>
      </c>
      <c r="C232" s="292">
        <v>0</v>
      </c>
      <c r="D232" s="295">
        <v>0</v>
      </c>
      <c r="E232" s="25">
        <f t="shared" si="23"/>
        <v>0</v>
      </c>
    </row>
    <row r="233" spans="1:6" x14ac:dyDescent="0.25">
      <c r="A233" s="16" t="s">
        <v>228</v>
      </c>
      <c r="B233" s="25">
        <f>SUM(B224:B232)</f>
        <v>4297470</v>
      </c>
      <c r="C233" s="225">
        <f>SUM(C224:C232)</f>
        <v>281086</v>
      </c>
      <c r="D233" s="25">
        <f>SUM(D224:D232)</f>
        <v>0</v>
      </c>
      <c r="E233" s="25">
        <f>SUM(E224:E232)</f>
        <v>4578556</v>
      </c>
    </row>
    <row r="234" spans="1:6" x14ac:dyDescent="0.25">
      <c r="A234" s="16"/>
      <c r="B234" s="16"/>
      <c r="C234" s="22"/>
      <c r="D234" s="16"/>
      <c r="E234" s="16"/>
      <c r="F234" s="11">
        <f>E220-E233</f>
        <v>2830047</v>
      </c>
    </row>
    <row r="235" spans="1:6" x14ac:dyDescent="0.25">
      <c r="A235" s="30" t="s">
        <v>388</v>
      </c>
      <c r="B235" s="30"/>
      <c r="C235" s="30"/>
      <c r="D235" s="30"/>
      <c r="E235" s="30"/>
    </row>
    <row r="236" spans="1:6" x14ac:dyDescent="0.25">
      <c r="A236" s="30"/>
      <c r="B236" s="327" t="s">
        <v>389</v>
      </c>
      <c r="C236" s="327"/>
      <c r="D236" s="30"/>
      <c r="E236" s="30"/>
    </row>
    <row r="237" spans="1:6" x14ac:dyDescent="0.25">
      <c r="A237" s="43" t="s">
        <v>389</v>
      </c>
      <c r="B237" s="30"/>
      <c r="C237" s="292">
        <v>118614</v>
      </c>
      <c r="D237" s="32">
        <f>C237</f>
        <v>118614</v>
      </c>
      <c r="E237" s="30"/>
    </row>
    <row r="238" spans="1:6" x14ac:dyDescent="0.25">
      <c r="A238" s="34" t="s">
        <v>390</v>
      </c>
      <c r="B238" s="34"/>
      <c r="C238" s="34"/>
      <c r="D238" s="34"/>
      <c r="E238" s="34"/>
    </row>
    <row r="239" spans="1:6" x14ac:dyDescent="0.25">
      <c r="A239" s="16" t="s">
        <v>391</v>
      </c>
      <c r="B239" s="35" t="s">
        <v>296</v>
      </c>
      <c r="C239" s="292">
        <v>-3513452</v>
      </c>
      <c r="D239" s="16"/>
      <c r="E239" s="16"/>
    </row>
    <row r="240" spans="1:6" x14ac:dyDescent="0.25">
      <c r="A240" s="16" t="s">
        <v>392</v>
      </c>
      <c r="B240" s="35" t="s">
        <v>296</v>
      </c>
      <c r="C240" s="292">
        <v>-141955</v>
      </c>
      <c r="D240" s="16"/>
      <c r="E240" s="16"/>
    </row>
    <row r="241" spans="1:5" x14ac:dyDescent="0.25">
      <c r="A241" s="16" t="s">
        <v>393</v>
      </c>
      <c r="B241" s="35" t="s">
        <v>296</v>
      </c>
      <c r="C241" s="292">
        <v>0</v>
      </c>
      <c r="D241" s="16"/>
      <c r="E241" s="16"/>
    </row>
    <row r="242" spans="1:5" x14ac:dyDescent="0.25">
      <c r="A242" s="16" t="s">
        <v>394</v>
      </c>
      <c r="B242" s="35" t="s">
        <v>296</v>
      </c>
      <c r="C242" s="292">
        <v>0</v>
      </c>
      <c r="D242" s="16"/>
      <c r="E242" s="16"/>
    </row>
    <row r="243" spans="1:5" x14ac:dyDescent="0.25">
      <c r="A243" s="16" t="s">
        <v>395</v>
      </c>
      <c r="B243" s="35" t="s">
        <v>296</v>
      </c>
      <c r="C243" s="292">
        <v>0</v>
      </c>
      <c r="D243" s="16"/>
      <c r="E243" s="16"/>
    </row>
    <row r="244" spans="1:5" x14ac:dyDescent="0.25">
      <c r="A244" s="16" t="s">
        <v>396</v>
      </c>
      <c r="B244" s="35" t="s">
        <v>296</v>
      </c>
      <c r="C244" s="292">
        <v>628769</v>
      </c>
      <c r="D244" s="16"/>
      <c r="E244" s="16"/>
    </row>
    <row r="245" spans="1:5" x14ac:dyDescent="0.25">
      <c r="A245" s="16" t="s">
        <v>397</v>
      </c>
      <c r="B245" s="16"/>
      <c r="C245" s="22"/>
      <c r="D245" s="25">
        <f>SUM(C239:C244)</f>
        <v>-3026638</v>
      </c>
      <c r="E245" s="16"/>
    </row>
    <row r="246" spans="1:5" x14ac:dyDescent="0.25">
      <c r="A246" s="34" t="s">
        <v>398</v>
      </c>
      <c r="B246" s="34"/>
      <c r="C246" s="34"/>
      <c r="D246" s="34"/>
      <c r="E246" s="34"/>
    </row>
    <row r="247" spans="1:5" x14ac:dyDescent="0.25">
      <c r="A247" s="21" t="s">
        <v>399</v>
      </c>
      <c r="B247" s="35" t="s">
        <v>296</v>
      </c>
      <c r="C247" s="294">
        <v>48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400</v>
      </c>
      <c r="B249" s="35" t="s">
        <v>296</v>
      </c>
      <c r="C249" s="292">
        <v>17768</v>
      </c>
      <c r="D249" s="16"/>
      <c r="E249" s="16"/>
    </row>
    <row r="250" spans="1:5" x14ac:dyDescent="0.25">
      <c r="A250" s="21" t="s">
        <v>401</v>
      </c>
      <c r="B250" s="35" t="s">
        <v>296</v>
      </c>
      <c r="C250" s="292">
        <v>45075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402</v>
      </c>
      <c r="B252" s="16"/>
      <c r="C252" s="22"/>
      <c r="D252" s="25">
        <f>SUM(C249:C251)</f>
        <v>62843</v>
      </c>
      <c r="E252" s="16"/>
    </row>
    <row r="253" spans="1:5" x14ac:dyDescent="0.25">
      <c r="A253" s="34" t="s">
        <v>403</v>
      </c>
      <c r="B253" s="34"/>
      <c r="C253" s="34"/>
      <c r="D253" s="34"/>
      <c r="E253" s="34"/>
    </row>
    <row r="254" spans="1:5" x14ac:dyDescent="0.25">
      <c r="A254" s="16" t="s">
        <v>404</v>
      </c>
      <c r="B254" s="35" t="s">
        <v>296</v>
      </c>
      <c r="C254" s="292">
        <v>0</v>
      </c>
      <c r="D254" s="16"/>
      <c r="E254" s="16"/>
    </row>
    <row r="255" spans="1:5" x14ac:dyDescent="0.25">
      <c r="A255" s="16" t="s">
        <v>403</v>
      </c>
      <c r="B255" s="35" t="s">
        <v>296</v>
      </c>
      <c r="C255" s="292">
        <v>0</v>
      </c>
      <c r="D255" s="16"/>
      <c r="E255" s="16"/>
    </row>
    <row r="256" spans="1:5" x14ac:dyDescent="0.25">
      <c r="A256" s="16" t="s">
        <v>405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406</v>
      </c>
      <c r="B258" s="16"/>
      <c r="C258" s="22"/>
      <c r="D258" s="25">
        <f>D237+D245+D252+D256</f>
        <v>-2845181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407</v>
      </c>
      <c r="B264" s="30"/>
      <c r="C264" s="30"/>
      <c r="D264" s="30"/>
      <c r="E264" s="30"/>
    </row>
    <row r="265" spans="1:5" x14ac:dyDescent="0.25">
      <c r="A265" s="34" t="s">
        <v>408</v>
      </c>
      <c r="B265" s="34"/>
      <c r="C265" s="34"/>
      <c r="D265" s="34"/>
      <c r="E265" s="34"/>
    </row>
    <row r="266" spans="1:5" x14ac:dyDescent="0.25">
      <c r="A266" s="16" t="s">
        <v>409</v>
      </c>
      <c r="B266" s="35" t="s">
        <v>296</v>
      </c>
      <c r="C266" s="292">
        <v>5730134</v>
      </c>
      <c r="D266" s="16"/>
      <c r="E266" s="16"/>
    </row>
    <row r="267" spans="1:5" x14ac:dyDescent="0.25">
      <c r="A267" s="16" t="s">
        <v>410</v>
      </c>
      <c r="B267" s="35" t="s">
        <v>296</v>
      </c>
      <c r="C267" s="292">
        <v>0</v>
      </c>
      <c r="D267" s="16"/>
      <c r="E267" s="16"/>
    </row>
    <row r="268" spans="1:5" x14ac:dyDescent="0.25">
      <c r="A268" s="16" t="s">
        <v>411</v>
      </c>
      <c r="B268" s="35" t="s">
        <v>296</v>
      </c>
      <c r="C268" s="292">
        <v>1203294</v>
      </c>
      <c r="D268" s="16"/>
      <c r="E268" s="16"/>
    </row>
    <row r="269" spans="1:5" x14ac:dyDescent="0.25">
      <c r="A269" s="16" t="s">
        <v>412</v>
      </c>
      <c r="B269" s="35" t="s">
        <v>296</v>
      </c>
      <c r="C269" s="292">
        <v>0</v>
      </c>
      <c r="D269" s="16"/>
      <c r="E269" s="16"/>
    </row>
    <row r="270" spans="1:5" x14ac:dyDescent="0.25">
      <c r="A270" s="16" t="s">
        <v>413</v>
      </c>
      <c r="B270" s="35" t="s">
        <v>296</v>
      </c>
      <c r="C270" s="292">
        <v>0</v>
      </c>
      <c r="D270" s="16"/>
      <c r="E270" s="16"/>
    </row>
    <row r="271" spans="1:5" x14ac:dyDescent="0.25">
      <c r="A271" s="16" t="s">
        <v>414</v>
      </c>
      <c r="B271" s="35" t="s">
        <v>296</v>
      </c>
      <c r="C271" s="292">
        <v>135973</v>
      </c>
      <c r="D271" s="16"/>
      <c r="E271" s="16"/>
    </row>
    <row r="272" spans="1:5" x14ac:dyDescent="0.25">
      <c r="A272" s="16" t="s">
        <v>415</v>
      </c>
      <c r="B272" s="35" t="s">
        <v>296</v>
      </c>
      <c r="C272" s="292">
        <v>0</v>
      </c>
      <c r="D272" s="16"/>
      <c r="E272" s="16"/>
    </row>
    <row r="273" spans="1:5" x14ac:dyDescent="0.25">
      <c r="A273" s="16" t="s">
        <v>416</v>
      </c>
      <c r="B273" s="35" t="s">
        <v>296</v>
      </c>
      <c r="C273" s="292">
        <v>109604</v>
      </c>
      <c r="D273" s="16"/>
      <c r="E273" s="16"/>
    </row>
    <row r="274" spans="1:5" x14ac:dyDescent="0.25">
      <c r="A274" s="16" t="s">
        <v>417</v>
      </c>
      <c r="B274" s="35" t="s">
        <v>296</v>
      </c>
      <c r="C274" s="292">
        <v>84565</v>
      </c>
      <c r="D274" s="16"/>
      <c r="E274" s="16"/>
    </row>
    <row r="275" spans="1:5" x14ac:dyDescent="0.25">
      <c r="A275" s="16" t="s">
        <v>418</v>
      </c>
      <c r="B275" s="35" t="s">
        <v>296</v>
      </c>
      <c r="C275" s="292">
        <v>0</v>
      </c>
      <c r="D275" s="16"/>
      <c r="E275" s="16"/>
    </row>
    <row r="276" spans="1:5" x14ac:dyDescent="0.25">
      <c r="A276" s="16" t="s">
        <v>419</v>
      </c>
      <c r="B276" s="16"/>
      <c r="C276" s="22"/>
      <c r="D276" s="25">
        <f>SUM(C266:C268)-C269+SUM(C270:C275)</f>
        <v>7263570</v>
      </c>
      <c r="E276" s="16"/>
    </row>
    <row r="277" spans="1:5" x14ac:dyDescent="0.25">
      <c r="A277" s="34" t="s">
        <v>420</v>
      </c>
      <c r="B277" s="34"/>
      <c r="C277" s="34"/>
      <c r="D277" s="34"/>
      <c r="E277" s="34"/>
    </row>
    <row r="278" spans="1:5" x14ac:dyDescent="0.25">
      <c r="A278" s="16" t="s">
        <v>409</v>
      </c>
      <c r="B278" s="35" t="s">
        <v>296</v>
      </c>
      <c r="C278" s="292">
        <v>0</v>
      </c>
      <c r="D278" s="16"/>
      <c r="E278" s="16"/>
    </row>
    <row r="279" spans="1:5" x14ac:dyDescent="0.25">
      <c r="A279" s="16" t="s">
        <v>410</v>
      </c>
      <c r="B279" s="35" t="s">
        <v>296</v>
      </c>
      <c r="C279" s="292">
        <v>0</v>
      </c>
      <c r="D279" s="16"/>
      <c r="E279" s="16"/>
    </row>
    <row r="280" spans="1:5" x14ac:dyDescent="0.25">
      <c r="A280" s="16" t="s">
        <v>421</v>
      </c>
      <c r="B280" s="35" t="s">
        <v>296</v>
      </c>
      <c r="C280" s="292">
        <v>0</v>
      </c>
      <c r="D280" s="16"/>
      <c r="E280" s="16"/>
    </row>
    <row r="281" spans="1:5" x14ac:dyDescent="0.25">
      <c r="A281" s="16" t="s">
        <v>422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423</v>
      </c>
      <c r="B282" s="34"/>
      <c r="C282" s="34"/>
      <c r="D282" s="34"/>
      <c r="E282" s="34"/>
    </row>
    <row r="283" spans="1:5" x14ac:dyDescent="0.25">
      <c r="A283" s="16" t="s">
        <v>378</v>
      </c>
      <c r="B283" s="35" t="s">
        <v>296</v>
      </c>
      <c r="C283" s="292">
        <v>83983</v>
      </c>
      <c r="D283" s="16"/>
      <c r="E283" s="16"/>
    </row>
    <row r="284" spans="1:5" x14ac:dyDescent="0.25">
      <c r="A284" s="16" t="s">
        <v>379</v>
      </c>
      <c r="B284" s="35" t="s">
        <v>296</v>
      </c>
      <c r="C284" s="292">
        <v>234472</v>
      </c>
      <c r="D284" s="16"/>
      <c r="E284" s="16"/>
    </row>
    <row r="285" spans="1:5" x14ac:dyDescent="0.25">
      <c r="A285" s="16" t="s">
        <v>380</v>
      </c>
      <c r="B285" s="35" t="s">
        <v>296</v>
      </c>
      <c r="C285" s="292">
        <v>1527831</v>
      </c>
      <c r="D285" s="16"/>
      <c r="E285" s="16"/>
    </row>
    <row r="286" spans="1:5" x14ac:dyDescent="0.25">
      <c r="A286" s="16" t="s">
        <v>424</v>
      </c>
      <c r="B286" s="35" t="s">
        <v>296</v>
      </c>
      <c r="C286" s="292">
        <v>0</v>
      </c>
      <c r="D286" s="16"/>
      <c r="E286" s="16"/>
    </row>
    <row r="287" spans="1:5" x14ac:dyDescent="0.25">
      <c r="A287" s="16" t="s">
        <v>425</v>
      </c>
      <c r="B287" s="35" t="s">
        <v>296</v>
      </c>
      <c r="C287" s="292">
        <v>283418</v>
      </c>
      <c r="D287" s="16"/>
      <c r="E287" s="16"/>
    </row>
    <row r="288" spans="1:5" x14ac:dyDescent="0.25">
      <c r="A288" s="16" t="s">
        <v>426</v>
      </c>
      <c r="B288" s="35" t="s">
        <v>296</v>
      </c>
      <c r="C288" s="292">
        <v>3157507</v>
      </c>
      <c r="D288" s="16"/>
      <c r="E288" s="16"/>
    </row>
    <row r="289" spans="1:5" x14ac:dyDescent="0.25">
      <c r="A289" s="16" t="s">
        <v>385</v>
      </c>
      <c r="B289" s="35" t="s">
        <v>296</v>
      </c>
      <c r="C289" s="292">
        <v>172145</v>
      </c>
      <c r="D289" s="16"/>
      <c r="E289" s="16"/>
    </row>
    <row r="290" spans="1:5" x14ac:dyDescent="0.25">
      <c r="A290" s="16" t="s">
        <v>386</v>
      </c>
      <c r="B290" s="35" t="s">
        <v>296</v>
      </c>
      <c r="C290" s="292">
        <v>1949247</v>
      </c>
      <c r="D290" s="16"/>
      <c r="E290" s="16"/>
    </row>
    <row r="291" spans="1:5" x14ac:dyDescent="0.25">
      <c r="A291" s="16" t="s">
        <v>427</v>
      </c>
      <c r="B291" s="16"/>
      <c r="C291" s="22"/>
      <c r="D291" s="25">
        <f>SUM(C283:C290)</f>
        <v>7408603</v>
      </c>
      <c r="E291" s="16"/>
    </row>
    <row r="292" spans="1:5" x14ac:dyDescent="0.25">
      <c r="A292" s="16" t="s">
        <v>428</v>
      </c>
      <c r="B292" s="35" t="s">
        <v>296</v>
      </c>
      <c r="C292" s="292">
        <v>4578556</v>
      </c>
      <c r="D292" s="16"/>
      <c r="E292" s="16"/>
    </row>
    <row r="293" spans="1:5" x14ac:dyDescent="0.25">
      <c r="A293" s="16" t="s">
        <v>429</v>
      </c>
      <c r="B293" s="16"/>
      <c r="C293" s="22"/>
      <c r="D293" s="25">
        <f>D291-C292</f>
        <v>2830047</v>
      </c>
      <c r="E293" s="16"/>
    </row>
    <row r="294" spans="1:5" x14ac:dyDescent="0.25">
      <c r="A294" s="34" t="s">
        <v>430</v>
      </c>
      <c r="B294" s="34"/>
      <c r="C294" s="34"/>
      <c r="D294" s="34"/>
      <c r="E294" s="34"/>
    </row>
    <row r="295" spans="1:5" x14ac:dyDescent="0.25">
      <c r="A295" s="16" t="s">
        <v>431</v>
      </c>
      <c r="B295" s="35" t="s">
        <v>296</v>
      </c>
      <c r="C295" s="292">
        <v>0</v>
      </c>
      <c r="D295" s="16"/>
      <c r="E295" s="16"/>
    </row>
    <row r="296" spans="1:5" x14ac:dyDescent="0.25">
      <c r="A296" s="16" t="s">
        <v>432</v>
      </c>
      <c r="B296" s="35" t="s">
        <v>296</v>
      </c>
      <c r="C296" s="292">
        <v>0</v>
      </c>
      <c r="D296" s="16"/>
      <c r="E296" s="16"/>
    </row>
    <row r="297" spans="1:5" x14ac:dyDescent="0.25">
      <c r="A297" s="16" t="s">
        <v>433</v>
      </c>
      <c r="B297" s="35" t="s">
        <v>296</v>
      </c>
      <c r="C297" s="292">
        <v>0</v>
      </c>
      <c r="D297" s="16"/>
      <c r="E297" s="16"/>
    </row>
    <row r="298" spans="1:5" x14ac:dyDescent="0.25">
      <c r="A298" s="16" t="s">
        <v>421</v>
      </c>
      <c r="B298" s="35" t="s">
        <v>296</v>
      </c>
      <c r="C298" s="292">
        <v>0</v>
      </c>
      <c r="D298" s="16"/>
      <c r="E298" s="16"/>
    </row>
    <row r="299" spans="1:5" x14ac:dyDescent="0.25">
      <c r="A299" s="16" t="s">
        <v>434</v>
      </c>
      <c r="B299" s="16"/>
      <c r="C299" s="22"/>
      <c r="D299" s="25">
        <f>C295-C296+C297+C298</f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435</v>
      </c>
      <c r="B301" s="34"/>
      <c r="C301" s="34"/>
      <c r="D301" s="34"/>
      <c r="E301" s="34"/>
    </row>
    <row r="302" spans="1:5" x14ac:dyDescent="0.25">
      <c r="A302" s="16" t="s">
        <v>436</v>
      </c>
      <c r="B302" s="35" t="s">
        <v>296</v>
      </c>
      <c r="C302" s="292">
        <v>0</v>
      </c>
      <c r="D302" s="16"/>
      <c r="E302" s="16"/>
    </row>
    <row r="303" spans="1:5" x14ac:dyDescent="0.25">
      <c r="A303" s="16" t="s">
        <v>437</v>
      </c>
      <c r="B303" s="35" t="s">
        <v>296</v>
      </c>
      <c r="C303" s="292">
        <v>0</v>
      </c>
      <c r="D303" s="16"/>
      <c r="E303" s="16"/>
    </row>
    <row r="304" spans="1:5" x14ac:dyDescent="0.25">
      <c r="A304" s="16" t="s">
        <v>438</v>
      </c>
      <c r="B304" s="35" t="s">
        <v>296</v>
      </c>
      <c r="C304" s="292">
        <v>0</v>
      </c>
      <c r="D304" s="16"/>
      <c r="E304" s="16"/>
    </row>
    <row r="305" spans="1:6" x14ac:dyDescent="0.25">
      <c r="A305" s="16" t="s">
        <v>439</v>
      </c>
      <c r="B305" s="35" t="s">
        <v>296</v>
      </c>
      <c r="C305" s="292">
        <v>0</v>
      </c>
      <c r="D305" s="16"/>
      <c r="E305" s="16"/>
    </row>
    <row r="306" spans="1:6" x14ac:dyDescent="0.25">
      <c r="A306" s="16" t="s">
        <v>440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441</v>
      </c>
      <c r="B308" s="16"/>
      <c r="C308" s="22"/>
      <c r="D308" s="25">
        <f>D276+D281+D293+D299+D306</f>
        <v>10093617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10093617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442</v>
      </c>
      <c r="B312" s="30"/>
      <c r="C312" s="30"/>
      <c r="D312" s="30"/>
      <c r="E312" s="30"/>
    </row>
    <row r="313" spans="1:6" x14ac:dyDescent="0.25">
      <c r="A313" s="34" t="s">
        <v>443</v>
      </c>
      <c r="B313" s="34"/>
      <c r="C313" s="34"/>
      <c r="D313" s="34"/>
      <c r="E313" s="34"/>
    </row>
    <row r="314" spans="1:6" x14ac:dyDescent="0.25">
      <c r="A314" s="16" t="s">
        <v>444</v>
      </c>
      <c r="B314" s="35" t="s">
        <v>296</v>
      </c>
      <c r="C314" s="292">
        <v>0</v>
      </c>
      <c r="D314" s="16"/>
      <c r="E314" s="16"/>
    </row>
    <row r="315" spans="1:6" x14ac:dyDescent="0.25">
      <c r="A315" s="16" t="s">
        <v>445</v>
      </c>
      <c r="B315" s="35" t="s">
        <v>296</v>
      </c>
      <c r="C315" s="292">
        <v>361358</v>
      </c>
      <c r="D315" s="16"/>
      <c r="E315" s="16"/>
    </row>
    <row r="316" spans="1:6" x14ac:dyDescent="0.25">
      <c r="A316" s="16" t="s">
        <v>446</v>
      </c>
      <c r="B316" s="35" t="s">
        <v>296</v>
      </c>
      <c r="C316" s="292">
        <v>421887</v>
      </c>
      <c r="D316" s="16"/>
      <c r="E316" s="16"/>
    </row>
    <row r="317" spans="1:6" x14ac:dyDescent="0.25">
      <c r="A317" s="16" t="s">
        <v>447</v>
      </c>
      <c r="B317" s="35" t="s">
        <v>296</v>
      </c>
      <c r="C317" s="292">
        <v>0</v>
      </c>
      <c r="D317" s="16"/>
      <c r="E317" s="16"/>
    </row>
    <row r="318" spans="1:6" x14ac:dyDescent="0.25">
      <c r="A318" s="16" t="s">
        <v>448</v>
      </c>
      <c r="B318" s="35" t="s">
        <v>296</v>
      </c>
      <c r="C318" s="292">
        <v>0</v>
      </c>
      <c r="D318" s="16"/>
      <c r="E318" s="16"/>
    </row>
    <row r="319" spans="1:6" x14ac:dyDescent="0.25">
      <c r="A319" s="16" t="s">
        <v>449</v>
      </c>
      <c r="B319" s="35" t="s">
        <v>296</v>
      </c>
      <c r="C319" s="292">
        <v>0</v>
      </c>
      <c r="D319" s="16"/>
      <c r="E319" s="16"/>
    </row>
    <row r="320" spans="1:6" x14ac:dyDescent="0.25">
      <c r="A320" s="16" t="s">
        <v>450</v>
      </c>
      <c r="B320" s="35" t="s">
        <v>296</v>
      </c>
      <c r="C320" s="292">
        <v>0</v>
      </c>
      <c r="D320" s="16"/>
      <c r="E320" s="16"/>
    </row>
    <row r="321" spans="1:5" x14ac:dyDescent="0.25">
      <c r="A321" s="16" t="s">
        <v>451</v>
      </c>
      <c r="B321" s="35" t="s">
        <v>296</v>
      </c>
      <c r="C321" s="292">
        <v>0</v>
      </c>
      <c r="D321" s="16"/>
      <c r="E321" s="16"/>
    </row>
    <row r="322" spans="1:5" x14ac:dyDescent="0.25">
      <c r="A322" s="16" t="s">
        <v>452</v>
      </c>
      <c r="B322" s="35" t="s">
        <v>296</v>
      </c>
      <c r="C322" s="292">
        <v>583000</v>
      </c>
      <c r="D322" s="16"/>
      <c r="E322" s="16"/>
    </row>
    <row r="323" spans="1:5" x14ac:dyDescent="0.25">
      <c r="A323" s="16" t="s">
        <v>453</v>
      </c>
      <c r="B323" s="35" t="s">
        <v>296</v>
      </c>
      <c r="C323" s="292">
        <v>0</v>
      </c>
      <c r="D323" s="16"/>
      <c r="E323" s="16"/>
    </row>
    <row r="324" spans="1:5" x14ac:dyDescent="0.25">
      <c r="A324" s="16" t="s">
        <v>454</v>
      </c>
      <c r="B324" s="16"/>
      <c r="C324" s="22"/>
      <c r="D324" s="25">
        <f>SUM(C314:C323)</f>
        <v>1366245</v>
      </c>
      <c r="E324" s="16"/>
    </row>
    <row r="325" spans="1:5" x14ac:dyDescent="0.25">
      <c r="A325" s="34" t="s">
        <v>455</v>
      </c>
      <c r="B325" s="34"/>
      <c r="C325" s="34"/>
      <c r="D325" s="34"/>
      <c r="E325" s="34"/>
    </row>
    <row r="326" spans="1:5" x14ac:dyDescent="0.25">
      <c r="A326" s="16" t="s">
        <v>456</v>
      </c>
      <c r="B326" s="35" t="s">
        <v>296</v>
      </c>
      <c r="C326" s="292">
        <v>0</v>
      </c>
      <c r="D326" s="16"/>
      <c r="E326" s="16"/>
    </row>
    <row r="327" spans="1:5" x14ac:dyDescent="0.25">
      <c r="A327" s="16" t="s">
        <v>457</v>
      </c>
      <c r="B327" s="35" t="s">
        <v>296</v>
      </c>
      <c r="C327" s="292">
        <v>0</v>
      </c>
      <c r="D327" s="16"/>
      <c r="E327" s="16"/>
    </row>
    <row r="328" spans="1:5" x14ac:dyDescent="0.25">
      <c r="A328" s="16" t="s">
        <v>458</v>
      </c>
      <c r="B328" s="35" t="s">
        <v>296</v>
      </c>
      <c r="C328" s="292">
        <v>0</v>
      </c>
      <c r="D328" s="16"/>
      <c r="E328" s="16"/>
    </row>
    <row r="329" spans="1:5" x14ac:dyDescent="0.25">
      <c r="A329" s="16" t="s">
        <v>459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460</v>
      </c>
      <c r="B330" s="34"/>
      <c r="C330" s="34"/>
      <c r="D330" s="34"/>
      <c r="E330" s="34"/>
    </row>
    <row r="331" spans="1:5" x14ac:dyDescent="0.25">
      <c r="A331" s="16" t="s">
        <v>461</v>
      </c>
      <c r="B331" s="35" t="s">
        <v>296</v>
      </c>
      <c r="C331" s="292">
        <v>0</v>
      </c>
      <c r="D331" s="16"/>
      <c r="E331" s="16"/>
    </row>
    <row r="332" spans="1:5" x14ac:dyDescent="0.25">
      <c r="A332" s="16" t="s">
        <v>462</v>
      </c>
      <c r="B332" s="35" t="s">
        <v>296</v>
      </c>
      <c r="C332" s="292">
        <v>0</v>
      </c>
      <c r="D332" s="16"/>
      <c r="E332" s="16"/>
    </row>
    <row r="333" spans="1:5" x14ac:dyDescent="0.25">
      <c r="A333" s="16" t="s">
        <v>463</v>
      </c>
      <c r="B333" s="35" t="s">
        <v>296</v>
      </c>
      <c r="C333" s="292">
        <v>0</v>
      </c>
      <c r="D333" s="16"/>
      <c r="E333" s="16"/>
    </row>
    <row r="334" spans="1:5" x14ac:dyDescent="0.25">
      <c r="A334" s="21" t="s">
        <v>464</v>
      </c>
      <c r="B334" s="35" t="s">
        <v>296</v>
      </c>
      <c r="C334" s="292">
        <v>11506</v>
      </c>
      <c r="D334" s="16"/>
      <c r="E334" s="16"/>
    </row>
    <row r="335" spans="1:5" x14ac:dyDescent="0.25">
      <c r="A335" s="16" t="s">
        <v>465</v>
      </c>
      <c r="B335" s="35" t="s">
        <v>296</v>
      </c>
      <c r="C335" s="292">
        <v>0</v>
      </c>
      <c r="D335" s="16"/>
      <c r="E335" s="16"/>
    </row>
    <row r="336" spans="1:5" x14ac:dyDescent="0.25">
      <c r="A336" s="21" t="s">
        <v>466</v>
      </c>
      <c r="B336" s="35" t="s">
        <v>296</v>
      </c>
      <c r="C336" s="292">
        <v>0</v>
      </c>
      <c r="D336" s="16"/>
      <c r="E336" s="16"/>
    </row>
    <row r="337" spans="1:5" x14ac:dyDescent="0.25">
      <c r="A337" s="21" t="s">
        <v>467</v>
      </c>
      <c r="B337" s="35" t="s">
        <v>296</v>
      </c>
      <c r="C337" s="298">
        <v>0</v>
      </c>
      <c r="D337" s="16"/>
      <c r="E337" s="16"/>
    </row>
    <row r="338" spans="1:5" x14ac:dyDescent="0.25">
      <c r="A338" s="16" t="s">
        <v>468</v>
      </c>
      <c r="B338" s="35" t="s">
        <v>296</v>
      </c>
      <c r="C338" s="292">
        <v>1388912</v>
      </c>
      <c r="D338" s="16"/>
      <c r="E338" s="16"/>
    </row>
    <row r="339" spans="1:5" x14ac:dyDescent="0.25">
      <c r="A339" s="16" t="s">
        <v>228</v>
      </c>
      <c r="B339" s="16"/>
      <c r="C339" s="22"/>
      <c r="D339" s="25">
        <f>SUM(C331:C338)</f>
        <v>1400418</v>
      </c>
      <c r="E339" s="16"/>
    </row>
    <row r="340" spans="1:5" x14ac:dyDescent="0.25">
      <c r="A340" s="16" t="s">
        <v>469</v>
      </c>
      <c r="B340" s="16"/>
      <c r="C340" s="22"/>
      <c r="D340" s="25">
        <f>C323</f>
        <v>0</v>
      </c>
      <c r="E340" s="16"/>
    </row>
    <row r="341" spans="1:5" x14ac:dyDescent="0.25">
      <c r="A341" s="16" t="s">
        <v>470</v>
      </c>
      <c r="B341" s="16"/>
      <c r="C341" s="22"/>
      <c r="D341" s="25">
        <f>D339-D340</f>
        <v>1400418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471</v>
      </c>
      <c r="B343" s="35" t="s">
        <v>296</v>
      </c>
      <c r="C343" s="297">
        <v>7326954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472</v>
      </c>
      <c r="B345" s="35" t="s">
        <v>296</v>
      </c>
      <c r="C345" s="293">
        <v>0</v>
      </c>
      <c r="D345" s="16"/>
      <c r="E345" s="16"/>
    </row>
    <row r="346" spans="1:5" x14ac:dyDescent="0.25">
      <c r="A346" s="16" t="s">
        <v>473</v>
      </c>
      <c r="B346" s="35" t="s">
        <v>296</v>
      </c>
      <c r="C346" s="293">
        <v>0</v>
      </c>
      <c r="D346" s="16"/>
      <c r="E346" s="16"/>
    </row>
    <row r="347" spans="1:5" x14ac:dyDescent="0.25">
      <c r="A347" s="16" t="s">
        <v>474</v>
      </c>
      <c r="B347" s="35" t="s">
        <v>296</v>
      </c>
      <c r="C347" s="293">
        <v>0</v>
      </c>
      <c r="D347" s="16"/>
      <c r="E347" s="16"/>
    </row>
    <row r="348" spans="1:5" x14ac:dyDescent="0.25">
      <c r="A348" s="16" t="s">
        <v>475</v>
      </c>
      <c r="B348" s="35" t="s">
        <v>296</v>
      </c>
      <c r="C348" s="293">
        <v>0</v>
      </c>
      <c r="D348" s="16"/>
      <c r="E348" s="16"/>
    </row>
    <row r="349" spans="1:5" x14ac:dyDescent="0.25">
      <c r="A349" s="16" t="s">
        <v>476</v>
      </c>
      <c r="B349" s="35" t="s">
        <v>296</v>
      </c>
      <c r="C349" s="293">
        <v>0</v>
      </c>
      <c r="D349" s="16"/>
      <c r="E349" s="16"/>
    </row>
    <row r="350" spans="1:5" x14ac:dyDescent="0.25">
      <c r="A350" s="16" t="s">
        <v>477</v>
      </c>
      <c r="B350" s="16"/>
      <c r="C350" s="22"/>
      <c r="D350" s="25">
        <f>D324+D329+D341+C343+C347+C348</f>
        <v>10093617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478</v>
      </c>
      <c r="B352" s="16"/>
      <c r="C352" s="22"/>
      <c r="D352" s="25">
        <f>D308</f>
        <v>10093617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479</v>
      </c>
      <c r="B356" s="30"/>
      <c r="C356" s="30"/>
      <c r="D356" s="30"/>
      <c r="E356" s="30"/>
    </row>
    <row r="357" spans="1:5" x14ac:dyDescent="0.25">
      <c r="A357" s="34" t="s">
        <v>480</v>
      </c>
      <c r="B357" s="34"/>
      <c r="C357" s="34"/>
      <c r="D357" s="34"/>
      <c r="E357" s="34"/>
    </row>
    <row r="358" spans="1:5" x14ac:dyDescent="0.25">
      <c r="A358" s="16" t="s">
        <v>481</v>
      </c>
      <c r="B358" s="35" t="s">
        <v>296</v>
      </c>
      <c r="C358" s="292">
        <f>CE87</f>
        <v>2639458</v>
      </c>
      <c r="D358" s="16"/>
      <c r="E358" s="16"/>
    </row>
    <row r="359" spans="1:5" x14ac:dyDescent="0.25">
      <c r="A359" s="16" t="s">
        <v>482</v>
      </c>
      <c r="B359" s="35" t="s">
        <v>296</v>
      </c>
      <c r="C359" s="292">
        <f>CE88</f>
        <v>6699613</v>
      </c>
      <c r="D359" s="16"/>
      <c r="E359" s="16"/>
    </row>
    <row r="360" spans="1:5" x14ac:dyDescent="0.25">
      <c r="A360" s="16" t="s">
        <v>483</v>
      </c>
      <c r="B360" s="16"/>
      <c r="C360" s="22"/>
      <c r="D360" s="25">
        <f>SUM(C358:C359)</f>
        <v>9339071</v>
      </c>
      <c r="E360" s="16"/>
    </row>
    <row r="361" spans="1:5" x14ac:dyDescent="0.25">
      <c r="A361" s="34" t="s">
        <v>484</v>
      </c>
      <c r="B361" s="34"/>
      <c r="C361" s="34"/>
      <c r="D361" s="34"/>
      <c r="E361" s="34"/>
    </row>
    <row r="362" spans="1:5" x14ac:dyDescent="0.25">
      <c r="A362" s="16" t="s">
        <v>389</v>
      </c>
      <c r="B362" s="34"/>
      <c r="C362" s="292">
        <v>118614</v>
      </c>
      <c r="D362" s="16"/>
      <c r="E362" s="34"/>
    </row>
    <row r="363" spans="1:5" x14ac:dyDescent="0.25">
      <c r="A363" s="16" t="s">
        <v>485</v>
      </c>
      <c r="B363" s="35" t="s">
        <v>296</v>
      </c>
      <c r="C363" s="292">
        <v>-3026638</v>
      </c>
      <c r="D363" s="16"/>
      <c r="E363" s="16"/>
    </row>
    <row r="364" spans="1:5" x14ac:dyDescent="0.25">
      <c r="A364" s="16" t="s">
        <v>486</v>
      </c>
      <c r="B364" s="35" t="s">
        <v>296</v>
      </c>
      <c r="C364" s="292">
        <v>62843</v>
      </c>
      <c r="D364" s="16"/>
      <c r="E364" s="16"/>
    </row>
    <row r="365" spans="1:5" x14ac:dyDescent="0.25">
      <c r="A365" s="16" t="s">
        <v>487</v>
      </c>
      <c r="B365" s="35" t="s">
        <v>296</v>
      </c>
      <c r="C365" s="292">
        <f>D256</f>
        <v>0</v>
      </c>
      <c r="D365" s="16"/>
      <c r="E365" s="16"/>
    </row>
    <row r="366" spans="1:5" x14ac:dyDescent="0.25">
      <c r="A366" s="16" t="s">
        <v>406</v>
      </c>
      <c r="B366" s="16"/>
      <c r="C366" s="22"/>
      <c r="D366" s="25">
        <f>SUM(C362:C365)</f>
        <v>-2845181</v>
      </c>
      <c r="E366" s="16"/>
    </row>
    <row r="367" spans="1:5" x14ac:dyDescent="0.25">
      <c r="A367" s="16" t="s">
        <v>488</v>
      </c>
      <c r="B367" s="16"/>
      <c r="C367" s="22"/>
      <c r="D367" s="25">
        <f>D360-D366</f>
        <v>12184252</v>
      </c>
      <c r="E367" s="16"/>
    </row>
    <row r="368" spans="1:5" x14ac:dyDescent="0.25">
      <c r="A368" s="45" t="s">
        <v>489</v>
      </c>
      <c r="B368" s="34"/>
      <c r="C368" s="34"/>
      <c r="D368" s="34"/>
      <c r="E368" s="34"/>
    </row>
    <row r="369" spans="1:6" x14ac:dyDescent="0.25">
      <c r="A369" s="25" t="s">
        <v>490</v>
      </c>
      <c r="B369" s="16"/>
      <c r="C369" s="16"/>
      <c r="D369" s="16"/>
      <c r="E369" s="16"/>
    </row>
    <row r="370" spans="1:6" x14ac:dyDescent="0.25">
      <c r="A370" s="46" t="s">
        <v>491</v>
      </c>
      <c r="B370" s="32" t="s">
        <v>296</v>
      </c>
      <c r="C370" s="292">
        <v>0</v>
      </c>
      <c r="D370" s="25">
        <v>0</v>
      </c>
      <c r="E370" s="25"/>
    </row>
    <row r="371" spans="1:6" x14ac:dyDescent="0.25">
      <c r="A371" s="46" t="s">
        <v>492</v>
      </c>
      <c r="B371" s="32" t="s">
        <v>296</v>
      </c>
      <c r="C371" s="292">
        <v>215567</v>
      </c>
      <c r="D371" s="25">
        <v>0</v>
      </c>
      <c r="E371" s="25"/>
    </row>
    <row r="372" spans="1:6" x14ac:dyDescent="0.25">
      <c r="A372" s="46" t="s">
        <v>493</v>
      </c>
      <c r="B372" s="32" t="s">
        <v>296</v>
      </c>
      <c r="C372" s="292">
        <v>0</v>
      </c>
      <c r="D372" s="25">
        <v>0</v>
      </c>
      <c r="E372" s="25"/>
    </row>
    <row r="373" spans="1:6" x14ac:dyDescent="0.25">
      <c r="A373" s="46" t="s">
        <v>494</v>
      </c>
      <c r="B373" s="32" t="s">
        <v>296</v>
      </c>
      <c r="C373" s="292">
        <v>0</v>
      </c>
      <c r="D373" s="25">
        <v>0</v>
      </c>
      <c r="E373" s="25"/>
    </row>
    <row r="374" spans="1:6" x14ac:dyDescent="0.25">
      <c r="A374" s="46" t="s">
        <v>495</v>
      </c>
      <c r="B374" s="32" t="s">
        <v>296</v>
      </c>
      <c r="C374" s="292">
        <v>0</v>
      </c>
      <c r="D374" s="25">
        <v>0</v>
      </c>
      <c r="E374" s="25"/>
    </row>
    <row r="375" spans="1:6" x14ac:dyDescent="0.25">
      <c r="A375" s="46" t="s">
        <v>496</v>
      </c>
      <c r="B375" s="32" t="s">
        <v>296</v>
      </c>
      <c r="C375" s="292">
        <v>0</v>
      </c>
      <c r="D375" s="25">
        <v>0</v>
      </c>
      <c r="E375" s="25"/>
    </row>
    <row r="376" spans="1:6" x14ac:dyDescent="0.25">
      <c r="A376" s="46" t="s">
        <v>497</v>
      </c>
      <c r="B376" s="32" t="s">
        <v>296</v>
      </c>
      <c r="C376" s="292">
        <v>0</v>
      </c>
      <c r="D376" s="25">
        <v>0</v>
      </c>
      <c r="E376" s="25"/>
    </row>
    <row r="377" spans="1:6" x14ac:dyDescent="0.25">
      <c r="A377" s="46" t="s">
        <v>498</v>
      </c>
      <c r="B377" s="32" t="s">
        <v>296</v>
      </c>
      <c r="C377" s="292">
        <v>0</v>
      </c>
      <c r="D377" s="25">
        <v>0</v>
      </c>
      <c r="E377" s="25"/>
    </row>
    <row r="378" spans="1:6" x14ac:dyDescent="0.25">
      <c r="A378" s="46" t="s">
        <v>499</v>
      </c>
      <c r="B378" s="32" t="s">
        <v>296</v>
      </c>
      <c r="C378" s="292">
        <v>0</v>
      </c>
      <c r="D378" s="25">
        <v>0</v>
      </c>
      <c r="E378" s="25"/>
    </row>
    <row r="379" spans="1:6" x14ac:dyDescent="0.25">
      <c r="A379" s="46" t="s">
        <v>500</v>
      </c>
      <c r="B379" s="32" t="s">
        <v>296</v>
      </c>
      <c r="C379" s="292">
        <v>0</v>
      </c>
      <c r="D379" s="25">
        <v>0</v>
      </c>
      <c r="E379" s="25"/>
    </row>
    <row r="380" spans="1:6" x14ac:dyDescent="0.25">
      <c r="A380" s="46" t="s">
        <v>501</v>
      </c>
      <c r="B380" s="32" t="s">
        <v>296</v>
      </c>
      <c r="C380" s="294">
        <v>67716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502</v>
      </c>
      <c r="B381" s="35"/>
      <c r="C381" s="35"/>
      <c r="D381" s="25">
        <f>SUM(C370:C380)</f>
        <v>283283</v>
      </c>
      <c r="E381" s="25"/>
      <c r="F381" s="47"/>
    </row>
    <row r="382" spans="1:6" x14ac:dyDescent="0.25">
      <c r="A382" s="43" t="s">
        <v>503</v>
      </c>
      <c r="B382" s="35" t="s">
        <v>296</v>
      </c>
      <c r="C382" s="292">
        <v>0</v>
      </c>
      <c r="D382" s="25">
        <v>0</v>
      </c>
      <c r="E382" s="16"/>
    </row>
    <row r="383" spans="1:6" x14ac:dyDescent="0.25">
      <c r="A383" s="16" t="s">
        <v>504</v>
      </c>
      <c r="B383" s="16"/>
      <c r="C383" s="22"/>
      <c r="D383" s="25">
        <f>D381+C382</f>
        <v>283283</v>
      </c>
      <c r="E383" s="16"/>
    </row>
    <row r="384" spans="1:6" x14ac:dyDescent="0.25">
      <c r="A384" s="16" t="s">
        <v>505</v>
      </c>
      <c r="B384" s="16"/>
      <c r="C384" s="22"/>
      <c r="D384" s="25">
        <f>D367+D383</f>
        <v>12467535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506</v>
      </c>
      <c r="B388" s="34"/>
      <c r="C388" s="34"/>
      <c r="D388" s="34"/>
      <c r="E388" s="34"/>
    </row>
    <row r="389" spans="1:5" x14ac:dyDescent="0.25">
      <c r="A389" s="16" t="s">
        <v>507</v>
      </c>
      <c r="B389" s="35" t="s">
        <v>296</v>
      </c>
      <c r="C389" s="292">
        <v>6567039</v>
      </c>
      <c r="D389" s="16"/>
      <c r="E389" s="16"/>
    </row>
    <row r="390" spans="1:5" x14ac:dyDescent="0.25">
      <c r="A390" s="16" t="s">
        <v>9</v>
      </c>
      <c r="B390" s="35" t="s">
        <v>296</v>
      </c>
      <c r="C390" s="292">
        <v>1854948</v>
      </c>
      <c r="D390" s="16"/>
      <c r="E390" s="16"/>
    </row>
    <row r="391" spans="1:5" x14ac:dyDescent="0.25">
      <c r="A391" s="16" t="s">
        <v>262</v>
      </c>
      <c r="B391" s="35" t="s">
        <v>296</v>
      </c>
      <c r="C391" s="292">
        <v>2094891</v>
      </c>
      <c r="D391" s="16"/>
      <c r="E391" s="16"/>
    </row>
    <row r="392" spans="1:5" x14ac:dyDescent="0.25">
      <c r="A392" s="16" t="s">
        <v>508</v>
      </c>
      <c r="B392" s="35" t="s">
        <v>296</v>
      </c>
      <c r="C392" s="292">
        <v>936077</v>
      </c>
      <c r="D392" s="16"/>
      <c r="E392" s="16"/>
    </row>
    <row r="393" spans="1:5" x14ac:dyDescent="0.25">
      <c r="A393" s="16" t="s">
        <v>509</v>
      </c>
      <c r="B393" s="35" t="s">
        <v>296</v>
      </c>
      <c r="C393" s="292">
        <v>193897</v>
      </c>
      <c r="D393" s="16"/>
      <c r="E393" s="16"/>
    </row>
    <row r="394" spans="1:5" x14ac:dyDescent="0.25">
      <c r="A394" s="16" t="s">
        <v>510</v>
      </c>
      <c r="B394" s="35" t="s">
        <v>296</v>
      </c>
      <c r="C394" s="292">
        <v>311687</v>
      </c>
      <c r="D394" s="16"/>
      <c r="E394" s="16"/>
    </row>
    <row r="395" spans="1:5" x14ac:dyDescent="0.25">
      <c r="A395" s="16" t="s">
        <v>14</v>
      </c>
      <c r="B395" s="35" t="s">
        <v>296</v>
      </c>
      <c r="C395" s="292">
        <v>281086</v>
      </c>
      <c r="D395" s="16"/>
      <c r="E395" s="16"/>
    </row>
    <row r="396" spans="1:5" x14ac:dyDescent="0.25">
      <c r="A396" s="16" t="s">
        <v>511</v>
      </c>
      <c r="B396" s="35" t="s">
        <v>296</v>
      </c>
      <c r="C396" s="292">
        <v>66023</v>
      </c>
      <c r="D396" s="16"/>
      <c r="E396" s="16"/>
    </row>
    <row r="397" spans="1:5" x14ac:dyDescent="0.25">
      <c r="A397" s="16" t="s">
        <v>512</v>
      </c>
      <c r="B397" s="35" t="s">
        <v>296</v>
      </c>
      <c r="C397" s="294">
        <v>165605</v>
      </c>
      <c r="D397" s="16"/>
      <c r="E397" s="16"/>
    </row>
    <row r="398" spans="1:5" x14ac:dyDescent="0.25">
      <c r="A398" s="16" t="s">
        <v>513</v>
      </c>
      <c r="B398" s="35" t="s">
        <v>296</v>
      </c>
      <c r="C398" s="294">
        <v>53190</v>
      </c>
      <c r="D398" s="16"/>
      <c r="E398" s="16"/>
    </row>
    <row r="399" spans="1:5" x14ac:dyDescent="0.25">
      <c r="A399" s="16" t="s">
        <v>514</v>
      </c>
      <c r="B399" s="35" t="s">
        <v>296</v>
      </c>
      <c r="C399" s="294">
        <v>1784</v>
      </c>
      <c r="D399" s="16"/>
      <c r="E399" s="16"/>
    </row>
    <row r="400" spans="1:5" x14ac:dyDescent="0.25">
      <c r="A400" s="25" t="s">
        <v>515</v>
      </c>
      <c r="B400" s="16"/>
      <c r="C400" s="16"/>
      <c r="D400" s="16"/>
      <c r="E400" s="16"/>
    </row>
    <row r="401" spans="1:9" x14ac:dyDescent="0.25">
      <c r="A401" s="26" t="s">
        <v>268</v>
      </c>
      <c r="B401" s="32" t="s">
        <v>296</v>
      </c>
      <c r="C401" s="292">
        <v>0</v>
      </c>
      <c r="D401" s="25">
        <v>0</v>
      </c>
      <c r="E401" s="25"/>
    </row>
    <row r="402" spans="1:9" x14ac:dyDescent="0.25">
      <c r="A402" s="26" t="s">
        <v>269</v>
      </c>
      <c r="B402" s="32" t="s">
        <v>296</v>
      </c>
      <c r="C402" s="292">
        <v>0</v>
      </c>
      <c r="D402" s="25">
        <v>0</v>
      </c>
      <c r="E402" s="25"/>
    </row>
    <row r="403" spans="1:9" x14ac:dyDescent="0.25">
      <c r="A403" s="26" t="s">
        <v>516</v>
      </c>
      <c r="B403" s="32" t="s">
        <v>296</v>
      </c>
      <c r="C403" s="292">
        <v>0</v>
      </c>
      <c r="D403" s="25">
        <v>0</v>
      </c>
      <c r="E403" s="25"/>
    </row>
    <row r="404" spans="1:9" x14ac:dyDescent="0.25">
      <c r="A404" s="26" t="s">
        <v>271</v>
      </c>
      <c r="B404" s="32" t="s">
        <v>296</v>
      </c>
      <c r="C404" s="292">
        <v>0</v>
      </c>
      <c r="D404" s="25">
        <v>0</v>
      </c>
      <c r="E404" s="25"/>
    </row>
    <row r="405" spans="1:9" x14ac:dyDescent="0.25">
      <c r="A405" s="26" t="s">
        <v>272</v>
      </c>
      <c r="B405" s="32" t="s">
        <v>296</v>
      </c>
      <c r="C405" s="292">
        <v>0</v>
      </c>
      <c r="D405" s="25">
        <v>0</v>
      </c>
      <c r="E405" s="25"/>
    </row>
    <row r="406" spans="1:9" x14ac:dyDescent="0.25">
      <c r="A406" s="26" t="s">
        <v>273</v>
      </c>
      <c r="B406" s="32" t="s">
        <v>296</v>
      </c>
      <c r="C406" s="292">
        <v>0</v>
      </c>
      <c r="D406" s="25">
        <v>0</v>
      </c>
      <c r="E406" s="25"/>
    </row>
    <row r="407" spans="1:9" x14ac:dyDescent="0.25">
      <c r="A407" s="26" t="s">
        <v>274</v>
      </c>
      <c r="B407" s="32" t="s">
        <v>296</v>
      </c>
      <c r="C407" s="292">
        <v>0</v>
      </c>
      <c r="D407" s="25">
        <v>0</v>
      </c>
      <c r="E407" s="25"/>
    </row>
    <row r="408" spans="1:9" x14ac:dyDescent="0.25">
      <c r="A408" s="26" t="s">
        <v>275</v>
      </c>
      <c r="B408" s="32" t="s">
        <v>296</v>
      </c>
      <c r="C408" s="292">
        <v>105053</v>
      </c>
      <c r="D408" s="25">
        <v>0</v>
      </c>
      <c r="E408" s="25"/>
    </row>
    <row r="409" spans="1:9" x14ac:dyDescent="0.25">
      <c r="A409" s="26" t="s">
        <v>276</v>
      </c>
      <c r="B409" s="32" t="s">
        <v>296</v>
      </c>
      <c r="C409" s="292">
        <v>0</v>
      </c>
      <c r="D409" s="25">
        <v>0</v>
      </c>
      <c r="E409" s="25"/>
    </row>
    <row r="410" spans="1:9" x14ac:dyDescent="0.25">
      <c r="A410" s="26" t="s">
        <v>277</v>
      </c>
      <c r="B410" s="32" t="s">
        <v>296</v>
      </c>
      <c r="C410" s="292">
        <v>0</v>
      </c>
      <c r="D410" s="25">
        <v>0</v>
      </c>
      <c r="E410" s="25"/>
    </row>
    <row r="411" spans="1:9" x14ac:dyDescent="0.25">
      <c r="A411" s="26" t="s">
        <v>278</v>
      </c>
      <c r="B411" s="32" t="s">
        <v>296</v>
      </c>
      <c r="C411" s="292">
        <v>64617</v>
      </c>
      <c r="D411" s="25">
        <v>0</v>
      </c>
      <c r="E411" s="25"/>
    </row>
    <row r="412" spans="1:9" x14ac:dyDescent="0.25">
      <c r="A412" s="26" t="s">
        <v>279</v>
      </c>
      <c r="B412" s="32" t="s">
        <v>296</v>
      </c>
      <c r="C412" s="292">
        <v>0</v>
      </c>
      <c r="D412" s="25">
        <v>0</v>
      </c>
      <c r="E412" s="25"/>
    </row>
    <row r="413" spans="1:9" x14ac:dyDescent="0.25">
      <c r="A413" s="26" t="s">
        <v>280</v>
      </c>
      <c r="B413" s="32" t="s">
        <v>296</v>
      </c>
      <c r="C413" s="292">
        <v>0</v>
      </c>
      <c r="D413" s="25">
        <v>0</v>
      </c>
      <c r="E413" s="25"/>
    </row>
    <row r="414" spans="1:9" x14ac:dyDescent="0.25">
      <c r="A414" s="26" t="s">
        <v>281</v>
      </c>
      <c r="B414" s="32" t="s">
        <v>296</v>
      </c>
      <c r="C414" s="294">
        <v>333440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517</v>
      </c>
      <c r="B415" s="35"/>
      <c r="C415" s="35"/>
      <c r="D415" s="25">
        <f>SUM(C401:C414)</f>
        <v>503110</v>
      </c>
      <c r="E415" s="25"/>
      <c r="F415" s="47"/>
      <c r="G415" s="47"/>
      <c r="H415" s="47"/>
      <c r="I415" s="47"/>
    </row>
    <row r="416" spans="1:9" x14ac:dyDescent="0.25">
      <c r="A416" s="25" t="s">
        <v>518</v>
      </c>
      <c r="B416" s="16"/>
      <c r="C416" s="22"/>
      <c r="D416" s="25">
        <f>SUM(C389:C399,D415)</f>
        <v>13029337</v>
      </c>
      <c r="E416" s="25"/>
    </row>
    <row r="417" spans="1:13" x14ac:dyDescent="0.25">
      <c r="A417" s="25" t="s">
        <v>519</v>
      </c>
      <c r="B417" s="16"/>
      <c r="C417" s="22"/>
      <c r="D417" s="25">
        <f>D384-D416</f>
        <v>-561802</v>
      </c>
      <c r="E417" s="25"/>
    </row>
    <row r="418" spans="1:13" x14ac:dyDescent="0.25">
      <c r="A418" s="25" t="s">
        <v>520</v>
      </c>
      <c r="B418" s="16"/>
      <c r="C418" s="294">
        <v>913166</v>
      </c>
      <c r="D418" s="25">
        <v>0</v>
      </c>
      <c r="E418" s="25"/>
    </row>
    <row r="419" spans="1:13" x14ac:dyDescent="0.25">
      <c r="A419" s="46" t="s">
        <v>521</v>
      </c>
      <c r="B419" s="35" t="s">
        <v>296</v>
      </c>
      <c r="C419" s="292">
        <v>0</v>
      </c>
      <c r="D419" s="25">
        <v>0</v>
      </c>
      <c r="E419" s="25"/>
    </row>
    <row r="420" spans="1:13" x14ac:dyDescent="0.25">
      <c r="A420" s="48" t="s">
        <v>522</v>
      </c>
      <c r="B420" s="16"/>
      <c r="C420" s="16"/>
      <c r="D420" s="25">
        <f>SUM(C418:C419)</f>
        <v>913166</v>
      </c>
      <c r="E420" s="25"/>
      <c r="F420" s="11">
        <f>D420-C399</f>
        <v>911382</v>
      </c>
    </row>
    <row r="421" spans="1:13" x14ac:dyDescent="0.25">
      <c r="A421" s="25" t="s">
        <v>523</v>
      </c>
      <c r="B421" s="16"/>
      <c r="C421" s="22"/>
      <c r="D421" s="25">
        <f>D417+D420</f>
        <v>351364</v>
      </c>
      <c r="E421" s="25"/>
      <c r="F421" s="50"/>
    </row>
    <row r="422" spans="1:13" x14ac:dyDescent="0.25">
      <c r="A422" s="25" t="s">
        <v>524</v>
      </c>
      <c r="B422" s="35" t="s">
        <v>296</v>
      </c>
      <c r="C422" s="292">
        <v>0</v>
      </c>
      <c r="D422" s="25">
        <v>0</v>
      </c>
      <c r="E422" s="16"/>
    </row>
    <row r="423" spans="1:13" x14ac:dyDescent="0.25">
      <c r="A423" s="16" t="s">
        <v>525</v>
      </c>
      <c r="B423" s="35" t="s">
        <v>296</v>
      </c>
      <c r="C423" s="292">
        <v>0</v>
      </c>
      <c r="D423" s="25">
        <v>0</v>
      </c>
      <c r="E423" s="16"/>
    </row>
    <row r="424" spans="1:13" x14ac:dyDescent="0.25">
      <c r="A424" s="16" t="s">
        <v>526</v>
      </c>
      <c r="B424" s="16"/>
      <c r="C424" s="22"/>
      <c r="D424" s="25">
        <f>D421+C422-C423</f>
        <v>351364</v>
      </c>
      <c r="E424" s="16"/>
    </row>
    <row r="426" spans="1:13" ht="29.1" customHeight="1" x14ac:dyDescent="0.25">
      <c r="A426" s="328" t="s">
        <v>1346</v>
      </c>
      <c r="B426" s="328"/>
      <c r="C426" s="328"/>
      <c r="D426" s="328"/>
      <c r="E426" s="328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527</v>
      </c>
      <c r="D612" s="217">
        <f>CE90-(BE90+CD90)</f>
        <v>19525</v>
      </c>
      <c r="E612" s="219">
        <f>SUM(C624:D647)+SUM(C668:D713)</f>
        <v>11804690.763482716</v>
      </c>
      <c r="F612" s="219">
        <f>CE64-(AX64+BD64+BE64+BG64+BJ64+BN64+BP64+BQ64+CB64+CC64+CD64)</f>
        <v>875735</v>
      </c>
      <c r="G612" s="217">
        <f>CE91-(AX91+AY91+BD91+BE91+BG91+BJ91+BN91+BP91+BQ91+CB91+CC91+CD91)</f>
        <v>19037</v>
      </c>
      <c r="H612" s="222">
        <f>CE60-(AX60+AY60+AZ60+BD60+BE60+BG60+BJ60+BN60+BO60+BP60+BQ60+BR60+CB60+CC60+CD60)</f>
        <v>66.779999999999987</v>
      </c>
      <c r="I612" s="217">
        <f>CE92-(AX92+AY92+AZ92+BD92+BE92+BF92+BG92+BJ92+BN92+BO92+BP92+BQ92+BR92+CB92+CC92+CD92)</f>
        <v>4134</v>
      </c>
      <c r="J612" s="217">
        <f>CE93-(AX93+AY93+AZ93+BA93+BD93+BE93+BF93+BG93+BJ93+BN93+BO93+BP93+BQ93+BR93+CB93+CC93+CD93)</f>
        <v>6210</v>
      </c>
      <c r="K612" s="217">
        <f>CE89-(AW89+AX89+AY89+AZ89+BA89+BB89+BC89+BD89+BE89+BF89+BG89+BH89+BI89+BJ89+BK89+BL89+BM89+BN89+BO89+BP89+BQ89+BR89+BS89+BT89+BU89+BV89+BW89+BX89+CB89+CC89+CD89)</f>
        <v>9339071</v>
      </c>
      <c r="L612" s="223">
        <f>CE94-(AW94+AX94+AY94+AZ94+BA94+BB94+BC94+BD94+BE94+BF94+BG94+BH94+BI94+BJ94+BK94+BL94+BM94+BN94+BO94+BP94+BQ94+BR94+BS94+BT94+BU94+BV94+BW94+BX94+BY94+BZ94+CA94+CB94+CC94+CD94)</f>
        <v>34.24</v>
      </c>
    </row>
    <row r="613" spans="1:14" s="202" customFormat="1" ht="12.6" customHeight="1" x14ac:dyDescent="0.2">
      <c r="A613" s="212"/>
      <c r="C613" s="210" t="s">
        <v>528</v>
      </c>
      <c r="D613" s="218" t="s">
        <v>529</v>
      </c>
      <c r="E613" s="220" t="s">
        <v>530</v>
      </c>
      <c r="F613" s="221" t="s">
        <v>531</v>
      </c>
      <c r="G613" s="218" t="s">
        <v>532</v>
      </c>
      <c r="H613" s="221" t="s">
        <v>533</v>
      </c>
      <c r="I613" s="218" t="s">
        <v>534</v>
      </c>
      <c r="J613" s="218" t="s">
        <v>535</v>
      </c>
      <c r="K613" s="210" t="s">
        <v>536</v>
      </c>
      <c r="L613" s="211" t="s">
        <v>537</v>
      </c>
    </row>
    <row r="614" spans="1:14" s="202" customFormat="1" ht="12.6" customHeight="1" x14ac:dyDescent="0.2">
      <c r="A614" s="212">
        <v>8430</v>
      </c>
      <c r="B614" s="211" t="s">
        <v>165</v>
      </c>
      <c r="C614" s="217">
        <f>BE85</f>
        <v>474590</v>
      </c>
      <c r="D614" s="217"/>
      <c r="E614" s="219"/>
      <c r="F614" s="219"/>
      <c r="G614" s="217"/>
      <c r="H614" s="219"/>
      <c r="I614" s="217"/>
      <c r="J614" s="217"/>
      <c r="N614" s="213" t="s">
        <v>538</v>
      </c>
    </row>
    <row r="615" spans="1:14" s="202" customFormat="1" ht="12.6" customHeight="1" x14ac:dyDescent="0.2">
      <c r="A615" s="212"/>
      <c r="B615" s="211" t="s">
        <v>539</v>
      </c>
      <c r="C615" s="217">
        <f>CD69-CD84</f>
        <v>220579</v>
      </c>
      <c r="D615" s="217">
        <f>SUM(C614:C615)</f>
        <v>695169</v>
      </c>
      <c r="E615" s="219"/>
      <c r="F615" s="219"/>
      <c r="G615" s="217"/>
      <c r="H615" s="219"/>
      <c r="I615" s="217"/>
      <c r="J615" s="217"/>
      <c r="N615" s="213" t="s">
        <v>540</v>
      </c>
    </row>
    <row r="616" spans="1:14" s="202" customFormat="1" ht="12.6" customHeight="1" x14ac:dyDescent="0.2">
      <c r="A616" s="212">
        <v>8310</v>
      </c>
      <c r="B616" s="216" t="s">
        <v>541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542</v>
      </c>
    </row>
    <row r="617" spans="1:14" s="202" customFormat="1" ht="12.6" customHeight="1" x14ac:dyDescent="0.2">
      <c r="A617" s="212">
        <v>8510</v>
      </c>
      <c r="B617" s="216" t="s">
        <v>170</v>
      </c>
      <c r="C617" s="217">
        <f>BJ85</f>
        <v>386453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543</v>
      </c>
    </row>
    <row r="618" spans="1:14" s="202" customFormat="1" ht="12.6" customHeight="1" x14ac:dyDescent="0.2">
      <c r="A618" s="212">
        <v>8470</v>
      </c>
      <c r="B618" s="216" t="s">
        <v>544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545</v>
      </c>
    </row>
    <row r="619" spans="1:14" s="202" customFormat="1" ht="12.6" customHeight="1" x14ac:dyDescent="0.2">
      <c r="A619" s="212">
        <v>8610</v>
      </c>
      <c r="B619" s="216" t="s">
        <v>546</v>
      </c>
      <c r="C619" s="217">
        <f>BN85</f>
        <v>723561</v>
      </c>
      <c r="D619" s="217">
        <f>(D615/D612)*BN90</f>
        <v>114716.23651728554</v>
      </c>
      <c r="E619" s="219"/>
      <c r="F619" s="219"/>
      <c r="G619" s="217"/>
      <c r="H619" s="219"/>
      <c r="I619" s="217"/>
      <c r="J619" s="217"/>
      <c r="N619" s="213" t="s">
        <v>547</v>
      </c>
    </row>
    <row r="620" spans="1:14" s="202" customFormat="1" ht="12.6" customHeight="1" x14ac:dyDescent="0.2">
      <c r="A620" s="212">
        <v>8790</v>
      </c>
      <c r="B620" s="216" t="s">
        <v>548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549</v>
      </c>
    </row>
    <row r="621" spans="1:14" s="202" customFormat="1" ht="12.6" customHeight="1" x14ac:dyDescent="0.2">
      <c r="A621" s="212">
        <v>8630</v>
      </c>
      <c r="B621" s="216" t="s">
        <v>550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551</v>
      </c>
    </row>
    <row r="622" spans="1:14" s="202" customFormat="1" ht="12.6" customHeight="1" x14ac:dyDescent="0.2">
      <c r="A622" s="212">
        <v>8770</v>
      </c>
      <c r="B622" s="211" t="s">
        <v>552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553</v>
      </c>
    </row>
    <row r="623" spans="1:14" s="202" customFormat="1" ht="12.6" customHeight="1" x14ac:dyDescent="0.2">
      <c r="A623" s="212">
        <v>8640</v>
      </c>
      <c r="B623" s="216" t="s">
        <v>554</v>
      </c>
      <c r="C623" s="217">
        <f>BQ85</f>
        <v>0</v>
      </c>
      <c r="D623" s="217">
        <f>(D615/D612)*BQ90</f>
        <v>0</v>
      </c>
      <c r="E623" s="219">
        <f>SUM(C616:D623)</f>
        <v>1224730.2365172855</v>
      </c>
      <c r="F623" s="219"/>
      <c r="G623" s="217"/>
      <c r="H623" s="219"/>
      <c r="I623" s="217"/>
      <c r="J623" s="217"/>
      <c r="N623" s="213" t="s">
        <v>555</v>
      </c>
    </row>
    <row r="624" spans="1:14" s="202" customFormat="1" ht="12.6" customHeight="1" x14ac:dyDescent="0.2">
      <c r="A624" s="212">
        <v>8420</v>
      </c>
      <c r="B624" s="216" t="s">
        <v>164</v>
      </c>
      <c r="C624" s="217">
        <f>BD85</f>
        <v>0</v>
      </c>
      <c r="D624" s="217">
        <f>(D615/D612)*BD90</f>
        <v>0</v>
      </c>
      <c r="E624" s="219">
        <f>(E623/E612)*SUM(C624:D624)</f>
        <v>0</v>
      </c>
      <c r="F624" s="219">
        <f>SUM(C624:E624)</f>
        <v>0</v>
      </c>
      <c r="G624" s="217"/>
      <c r="H624" s="219"/>
      <c r="I624" s="217"/>
      <c r="J624" s="217"/>
      <c r="N624" s="213" t="s">
        <v>556</v>
      </c>
    </row>
    <row r="625" spans="1:14" s="202" customFormat="1" ht="12.6" customHeight="1" x14ac:dyDescent="0.2">
      <c r="A625" s="212">
        <v>8320</v>
      </c>
      <c r="B625" s="216" t="s">
        <v>160</v>
      </c>
      <c r="C625" s="217">
        <f>AY85</f>
        <v>601638</v>
      </c>
      <c r="D625" s="217">
        <f>(D615/D612)*AY90</f>
        <v>40446.196363636365</v>
      </c>
      <c r="E625" s="219">
        <f>(E623/E612)*SUM(C625:D625)</f>
        <v>66615.885619729976</v>
      </c>
      <c r="F625" s="219">
        <f>(F624/F612)*AY64</f>
        <v>0</v>
      </c>
      <c r="G625" s="217">
        <f>SUM(C625:F625)</f>
        <v>708700.0819833664</v>
      </c>
      <c r="H625" s="219"/>
      <c r="I625" s="217"/>
      <c r="J625" s="217"/>
      <c r="N625" s="213" t="s">
        <v>557</v>
      </c>
    </row>
    <row r="626" spans="1:14" s="202" customFormat="1" ht="12.6" customHeight="1" x14ac:dyDescent="0.2">
      <c r="A626" s="212">
        <v>8650</v>
      </c>
      <c r="B626" s="216" t="s">
        <v>177</v>
      </c>
      <c r="C626" s="217">
        <f>BR85</f>
        <v>147900</v>
      </c>
      <c r="D626" s="217">
        <f>(D615/D612)*BR90</f>
        <v>0</v>
      </c>
      <c r="E626" s="219">
        <f>(E623/E612)*SUM(C626:D626)</f>
        <v>15344.544436627481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558</v>
      </c>
    </row>
    <row r="627" spans="1:14" s="202" customFormat="1" ht="12.6" customHeight="1" x14ac:dyDescent="0.2">
      <c r="A627" s="212">
        <v>8620</v>
      </c>
      <c r="B627" s="211" t="s">
        <v>559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560</v>
      </c>
    </row>
    <row r="628" spans="1:14" s="202" customFormat="1" ht="12.6" customHeight="1" x14ac:dyDescent="0.2">
      <c r="A628" s="212">
        <v>8330</v>
      </c>
      <c r="B628" s="216" t="s">
        <v>161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163244.54443662748</v>
      </c>
      <c r="I628" s="217"/>
      <c r="J628" s="217"/>
      <c r="N628" s="213" t="s">
        <v>561</v>
      </c>
    </row>
    <row r="629" spans="1:14" s="202" customFormat="1" ht="12.6" customHeight="1" x14ac:dyDescent="0.2">
      <c r="A629" s="212">
        <v>8460</v>
      </c>
      <c r="B629" s="216" t="s">
        <v>166</v>
      </c>
      <c r="C629" s="217">
        <f>BF85</f>
        <v>199658</v>
      </c>
      <c r="D629" s="217">
        <f>(D615/D612)*BF90</f>
        <v>6337.5202048655574</v>
      </c>
      <c r="E629" s="219">
        <f>(E623/E612)*SUM(C629:D629)</f>
        <v>21371.923012371561</v>
      </c>
      <c r="F629" s="219">
        <f>(F624/F612)*BF64</f>
        <v>0</v>
      </c>
      <c r="G629" s="217">
        <f>(G625/G612)*BF91</f>
        <v>0</v>
      </c>
      <c r="H629" s="219">
        <f>(H628/H612)*BF60</f>
        <v>7846.8851099367221</v>
      </c>
      <c r="I629" s="217">
        <f>SUM(C629:H629)</f>
        <v>235214.32832717383</v>
      </c>
      <c r="J629" s="217"/>
      <c r="N629" s="213" t="s">
        <v>562</v>
      </c>
    </row>
    <row r="630" spans="1:14" s="202" customFormat="1" ht="12.6" customHeight="1" x14ac:dyDescent="0.2">
      <c r="A630" s="212">
        <v>8350</v>
      </c>
      <c r="B630" s="216" t="s">
        <v>563</v>
      </c>
      <c r="C630" s="217">
        <f>BA85</f>
        <v>101704</v>
      </c>
      <c r="D630" s="217">
        <f>(D615/D612)*BA90</f>
        <v>26453.806248399491</v>
      </c>
      <c r="E630" s="219">
        <f>(E623/E612)*SUM(C630:D630)</f>
        <v>13296.302588771203</v>
      </c>
      <c r="F630" s="219">
        <f>(F624/F612)*BA64</f>
        <v>0</v>
      </c>
      <c r="G630" s="217">
        <f>(G625/G612)*BA91</f>
        <v>0</v>
      </c>
      <c r="H630" s="219">
        <f>(H628/H612)*BA60</f>
        <v>2908.9698694157942</v>
      </c>
      <c r="I630" s="217">
        <f>(I629/I612)*BA92</f>
        <v>11663.990640317037</v>
      </c>
      <c r="J630" s="217">
        <f>SUM(C630:I630)</f>
        <v>156027.06934690353</v>
      </c>
      <c r="N630" s="213" t="s">
        <v>564</v>
      </c>
    </row>
    <row r="631" spans="1:14" s="202" customFormat="1" ht="12.6" customHeight="1" x14ac:dyDescent="0.2">
      <c r="A631" s="212">
        <v>8200</v>
      </c>
      <c r="B631" s="216" t="s">
        <v>565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566</v>
      </c>
    </row>
    <row r="632" spans="1:14" s="202" customFormat="1" ht="12.6" customHeight="1" x14ac:dyDescent="0.2">
      <c r="A632" s="212">
        <v>8360</v>
      </c>
      <c r="B632" s="216" t="s">
        <v>567</v>
      </c>
      <c r="C632" s="217">
        <f>BB85</f>
        <v>169736</v>
      </c>
      <c r="D632" s="217">
        <f>(D615/D612)*BB90</f>
        <v>0</v>
      </c>
      <c r="E632" s="219">
        <f>(E623/E612)*SUM(C632:D632)</f>
        <v>17610.017542227197</v>
      </c>
      <c r="F632" s="219">
        <f>(F624/F612)*BB64</f>
        <v>0</v>
      </c>
      <c r="G632" s="217">
        <f>(G625/G612)*BB91</f>
        <v>0</v>
      </c>
      <c r="H632" s="219">
        <f>(H628/H612)*BB60</f>
        <v>4449.0127414594499</v>
      </c>
      <c r="I632" s="217">
        <f>(I629/I612)*BB92</f>
        <v>0</v>
      </c>
      <c r="J632" s="217">
        <f>(J630/J612)*BB93</f>
        <v>0</v>
      </c>
      <c r="N632" s="213" t="s">
        <v>568</v>
      </c>
    </row>
    <row r="633" spans="1:14" s="202" customFormat="1" ht="12.6" customHeight="1" x14ac:dyDescent="0.2">
      <c r="A633" s="212">
        <v>8370</v>
      </c>
      <c r="B633" s="216" t="s">
        <v>569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570</v>
      </c>
    </row>
    <row r="634" spans="1:14" s="202" customFormat="1" ht="12.6" customHeight="1" x14ac:dyDescent="0.2">
      <c r="A634" s="212">
        <v>8490</v>
      </c>
      <c r="B634" s="216" t="s">
        <v>571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572</v>
      </c>
    </row>
    <row r="635" spans="1:14" s="202" customFormat="1" ht="12.6" customHeight="1" x14ac:dyDescent="0.2">
      <c r="A635" s="212">
        <v>8530</v>
      </c>
      <c r="B635" s="216" t="s">
        <v>573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>
        <f>(G625/G612)*BK91</f>
        <v>0</v>
      </c>
      <c r="H635" s="219">
        <f>(H628/H612)*BK60</f>
        <v>0</v>
      </c>
      <c r="I635" s="217">
        <f>(I629/I612)*BK92</f>
        <v>0</v>
      </c>
      <c r="J635" s="217">
        <f>(J630/J612)*BK93</f>
        <v>0</v>
      </c>
      <c r="N635" s="213" t="s">
        <v>574</v>
      </c>
    </row>
    <row r="636" spans="1:14" s="202" customFormat="1" ht="12.6" customHeight="1" x14ac:dyDescent="0.2">
      <c r="A636" s="212">
        <v>8480</v>
      </c>
      <c r="B636" s="216" t="s">
        <v>575</v>
      </c>
      <c r="C636" s="217">
        <f>BH85</f>
        <v>297859</v>
      </c>
      <c r="D636" s="217">
        <f>(D615/D612)*BH90</f>
        <v>0</v>
      </c>
      <c r="E636" s="219">
        <f>(E623/E612)*SUM(C636:D636)</f>
        <v>30902.709001686442</v>
      </c>
      <c r="F636" s="219">
        <f>(F624/F612)*BH64</f>
        <v>0</v>
      </c>
      <c r="G636" s="217">
        <f>(G625/G612)*BH91</f>
        <v>0</v>
      </c>
      <c r="H636" s="219">
        <f>(H628/H612)*BH60</f>
        <v>2468.957620260464</v>
      </c>
      <c r="I636" s="217">
        <f>(I629/I612)*BH92</f>
        <v>0</v>
      </c>
      <c r="J636" s="217">
        <f>(J630/J612)*BH93</f>
        <v>0</v>
      </c>
      <c r="N636" s="213" t="s">
        <v>576</v>
      </c>
    </row>
    <row r="637" spans="1:14" s="202" customFormat="1" ht="12.6" customHeight="1" x14ac:dyDescent="0.2">
      <c r="A637" s="212">
        <v>8560</v>
      </c>
      <c r="B637" s="216" t="s">
        <v>172</v>
      </c>
      <c r="C637" s="217">
        <f>BL85</f>
        <v>0</v>
      </c>
      <c r="D637" s="217">
        <f>(D615/D612)*BL90</f>
        <v>0</v>
      </c>
      <c r="E637" s="219">
        <f>(E623/E612)*SUM(C637:D637)</f>
        <v>0</v>
      </c>
      <c r="F637" s="219">
        <f>(F624/F612)*BL64</f>
        <v>0</v>
      </c>
      <c r="G637" s="217">
        <f>(G625/G612)*BL91</f>
        <v>0</v>
      </c>
      <c r="H637" s="219">
        <f>(H628/H612)*BL60</f>
        <v>0</v>
      </c>
      <c r="I637" s="217">
        <f>(I629/I612)*BL92</f>
        <v>0</v>
      </c>
      <c r="J637" s="217">
        <f>(J630/J612)*BL93</f>
        <v>0</v>
      </c>
      <c r="N637" s="213" t="s">
        <v>577</v>
      </c>
    </row>
    <row r="638" spans="1:14" s="202" customFormat="1" ht="12.6" customHeight="1" x14ac:dyDescent="0.2">
      <c r="A638" s="212">
        <v>8590</v>
      </c>
      <c r="B638" s="216" t="s">
        <v>578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579</v>
      </c>
    </row>
    <row r="639" spans="1:14" s="202" customFormat="1" ht="12.6" customHeight="1" x14ac:dyDescent="0.2">
      <c r="A639" s="212">
        <v>8660</v>
      </c>
      <c r="B639" s="216" t="s">
        <v>580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581</v>
      </c>
    </row>
    <row r="640" spans="1:14" s="202" customFormat="1" ht="12.6" customHeight="1" x14ac:dyDescent="0.2">
      <c r="A640" s="212">
        <v>8670</v>
      </c>
      <c r="B640" s="216" t="s">
        <v>582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583</v>
      </c>
    </row>
    <row r="641" spans="1:14" s="202" customFormat="1" ht="12.6" customHeight="1" x14ac:dyDescent="0.2">
      <c r="A641" s="212">
        <v>8680</v>
      </c>
      <c r="B641" s="216" t="s">
        <v>584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585</v>
      </c>
    </row>
    <row r="642" spans="1:14" s="202" customFormat="1" ht="12.6" customHeight="1" x14ac:dyDescent="0.2">
      <c r="A642" s="212">
        <v>8690</v>
      </c>
      <c r="B642" s="216" t="s">
        <v>586</v>
      </c>
      <c r="C642" s="217">
        <f>BV85</f>
        <v>420103</v>
      </c>
      <c r="D642" s="217">
        <f>(D615/D612)*BV90</f>
        <v>12675.040409731115</v>
      </c>
      <c r="E642" s="219">
        <f>(E623/E612)*SUM(C642:D642)</f>
        <v>44900.48595174904</v>
      </c>
      <c r="F642" s="219">
        <f>(F624/F612)*BV64</f>
        <v>0</v>
      </c>
      <c r="G642" s="217">
        <f>(G625/G612)*BV91</f>
        <v>0</v>
      </c>
      <c r="H642" s="219">
        <f>(H628/H612)*BV60</f>
        <v>11391.428228132438</v>
      </c>
      <c r="I642" s="217">
        <f>(I629/I612)*BV92</f>
        <v>5575.9565012247303</v>
      </c>
      <c r="J642" s="217">
        <f>(J630/J612)*BV93</f>
        <v>0</v>
      </c>
      <c r="N642" s="213" t="s">
        <v>587</v>
      </c>
    </row>
    <row r="643" spans="1:14" s="202" customFormat="1" ht="12.6" customHeight="1" x14ac:dyDescent="0.2">
      <c r="A643" s="212">
        <v>8700</v>
      </c>
      <c r="B643" s="216" t="s">
        <v>588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589</v>
      </c>
    </row>
    <row r="644" spans="1:14" s="202" customFormat="1" ht="12.6" customHeight="1" x14ac:dyDescent="0.2">
      <c r="A644" s="212">
        <v>8710</v>
      </c>
      <c r="B644" s="216" t="s">
        <v>590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1017671.6079964709</v>
      </c>
      <c r="L644" s="219"/>
      <c r="N644" s="213" t="s">
        <v>591</v>
      </c>
    </row>
    <row r="645" spans="1:14" s="202" customFormat="1" ht="12.6" customHeight="1" x14ac:dyDescent="0.2">
      <c r="A645" s="212">
        <v>8720</v>
      </c>
      <c r="B645" s="216" t="s">
        <v>592</v>
      </c>
      <c r="C645" s="217">
        <f>BY85</f>
        <v>224397</v>
      </c>
      <c r="D645" s="217">
        <f>(D615/D612)*BY90</f>
        <v>1708.9942125480156</v>
      </c>
      <c r="E645" s="219">
        <f>(E623/E612)*SUM(C645:D645)</f>
        <v>23458.3737361885</v>
      </c>
      <c r="F645" s="219">
        <f>(F624/F612)*BY64</f>
        <v>0</v>
      </c>
      <c r="G645" s="217">
        <f>(G625/G612)*BY91</f>
        <v>0</v>
      </c>
      <c r="H645" s="219">
        <f>(H628/H612)*BY60</f>
        <v>1735.6038716682469</v>
      </c>
      <c r="I645" s="217">
        <f>(I629/I612)*BY92</f>
        <v>739.66769914205611</v>
      </c>
      <c r="J645" s="217">
        <f>(J630/J612)*BY93</f>
        <v>0</v>
      </c>
      <c r="K645" s="219">
        <v>0</v>
      </c>
      <c r="L645" s="219"/>
      <c r="N645" s="213" t="s">
        <v>593</v>
      </c>
    </row>
    <row r="646" spans="1:14" s="202" customFormat="1" ht="12.6" customHeight="1" x14ac:dyDescent="0.2">
      <c r="A646" s="212">
        <v>8730</v>
      </c>
      <c r="B646" s="216" t="s">
        <v>594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595</v>
      </c>
    </row>
    <row r="647" spans="1:14" s="202" customFormat="1" ht="12.6" customHeight="1" x14ac:dyDescent="0.2">
      <c r="A647" s="212">
        <v>8740</v>
      </c>
      <c r="B647" s="216" t="s">
        <v>596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252039.63951954685</v>
      </c>
      <c r="N647" s="213" t="s">
        <v>597</v>
      </c>
    </row>
    <row r="648" spans="1:14" s="202" customFormat="1" ht="12.6" customHeight="1" x14ac:dyDescent="0.2">
      <c r="A648" s="212"/>
      <c r="B648" s="212"/>
      <c r="C648" s="202">
        <f>SUM(C614:C647)</f>
        <v>3968178</v>
      </c>
      <c r="L648" s="215"/>
    </row>
    <row r="666" spans="1:14" s="202" customFormat="1" ht="12.6" customHeight="1" x14ac:dyDescent="0.2">
      <c r="C666" s="210" t="s">
        <v>598</v>
      </c>
      <c r="M666" s="210" t="s">
        <v>599</v>
      </c>
    </row>
    <row r="667" spans="1:14" s="202" customFormat="1" ht="12.6" customHeight="1" x14ac:dyDescent="0.2">
      <c r="C667" s="210" t="s">
        <v>528</v>
      </c>
      <c r="D667" s="210" t="s">
        <v>529</v>
      </c>
      <c r="E667" s="211" t="s">
        <v>530</v>
      </c>
      <c r="F667" s="210" t="s">
        <v>531</v>
      </c>
      <c r="G667" s="210" t="s">
        <v>532</v>
      </c>
      <c r="H667" s="210" t="s">
        <v>533</v>
      </c>
      <c r="I667" s="210" t="s">
        <v>534</v>
      </c>
      <c r="J667" s="210" t="s">
        <v>535</v>
      </c>
      <c r="K667" s="210" t="s">
        <v>536</v>
      </c>
      <c r="L667" s="211" t="s">
        <v>537</v>
      </c>
      <c r="M667" s="210" t="s">
        <v>600</v>
      </c>
    </row>
    <row r="668" spans="1:14" s="202" customFormat="1" ht="12.6" customHeight="1" x14ac:dyDescent="0.2">
      <c r="A668" s="212">
        <v>6010</v>
      </c>
      <c r="B668" s="211" t="s">
        <v>327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24">ROUND(SUM(D668:L668),0)</f>
        <v>0</v>
      </c>
      <c r="N668" s="211" t="s">
        <v>601</v>
      </c>
    </row>
    <row r="669" spans="1:14" s="202" customFormat="1" ht="12.6" customHeight="1" x14ac:dyDescent="0.2">
      <c r="A669" s="212">
        <v>6030</v>
      </c>
      <c r="B669" s="211" t="s">
        <v>328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24"/>
        <v>0</v>
      </c>
      <c r="N669" s="211" t="s">
        <v>602</v>
      </c>
    </row>
    <row r="670" spans="1:14" s="202" customFormat="1" ht="12.6" customHeight="1" x14ac:dyDescent="0.2">
      <c r="A670" s="212">
        <v>6070</v>
      </c>
      <c r="B670" s="211" t="s">
        <v>603</v>
      </c>
      <c r="C670" s="217">
        <f>E85</f>
        <v>100814</v>
      </c>
      <c r="D670" s="217">
        <f>(D615/D612)*E90</f>
        <v>7904.0982330345714</v>
      </c>
      <c r="E670" s="219">
        <f>(E623/E612)*SUM(C670:D670)</f>
        <v>11279.443471280802</v>
      </c>
      <c r="F670" s="219">
        <f>(F624/F612)*E64</f>
        <v>0</v>
      </c>
      <c r="G670" s="217">
        <f>(G625/G612)*E91</f>
        <v>15747.236154801911</v>
      </c>
      <c r="H670" s="219">
        <f>(H628/H612)*E60</f>
        <v>1833.3843714805425</v>
      </c>
      <c r="I670" s="217">
        <f>(I629/I612)*E92</f>
        <v>3470.7484344358013</v>
      </c>
      <c r="J670" s="217">
        <f>(J630/J612)*E93</f>
        <v>3467.2682077089671</v>
      </c>
      <c r="K670" s="217">
        <f>(K644/K612)*E89</f>
        <v>28899.300205589192</v>
      </c>
      <c r="L670" s="217">
        <f>(L647/L612)*E94</f>
        <v>5152.6795462524178</v>
      </c>
      <c r="M670" s="202">
        <f t="shared" si="24"/>
        <v>77754</v>
      </c>
      <c r="N670" s="211" t="s">
        <v>604</v>
      </c>
    </row>
    <row r="671" spans="1:14" s="202" customFormat="1" ht="12.6" customHeight="1" x14ac:dyDescent="0.2">
      <c r="A671" s="212">
        <v>6100</v>
      </c>
      <c r="B671" s="211" t="s">
        <v>605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24"/>
        <v>0</v>
      </c>
      <c r="N671" s="211" t="s">
        <v>606</v>
      </c>
    </row>
    <row r="672" spans="1:14" s="202" customFormat="1" ht="12.6" customHeight="1" x14ac:dyDescent="0.2">
      <c r="A672" s="212">
        <v>6120</v>
      </c>
      <c r="B672" s="211" t="s">
        <v>607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4"/>
        <v>0</v>
      </c>
      <c r="N672" s="211" t="s">
        <v>608</v>
      </c>
    </row>
    <row r="673" spans="1:14" s="202" customFormat="1" ht="12.6" customHeight="1" x14ac:dyDescent="0.2">
      <c r="A673" s="212">
        <v>6140</v>
      </c>
      <c r="B673" s="211" t="s">
        <v>609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24"/>
        <v>0</v>
      </c>
      <c r="N673" s="211" t="s">
        <v>610</v>
      </c>
    </row>
    <row r="674" spans="1:14" s="202" customFormat="1" ht="12.6" customHeight="1" x14ac:dyDescent="0.2">
      <c r="A674" s="212">
        <v>6150</v>
      </c>
      <c r="B674" s="211" t="s">
        <v>611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4"/>
        <v>0</v>
      </c>
      <c r="N674" s="211" t="s">
        <v>612</v>
      </c>
    </row>
    <row r="675" spans="1:14" s="202" customFormat="1" ht="12.6" customHeight="1" x14ac:dyDescent="0.2">
      <c r="A675" s="212">
        <v>6170</v>
      </c>
      <c r="B675" s="211" t="s">
        <v>123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24"/>
        <v>0</v>
      </c>
      <c r="N675" s="211" t="s">
        <v>613</v>
      </c>
    </row>
    <row r="676" spans="1:14" s="202" customFormat="1" ht="12.6" customHeight="1" x14ac:dyDescent="0.2">
      <c r="A676" s="212">
        <v>6200</v>
      </c>
      <c r="B676" s="211" t="s">
        <v>333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4"/>
        <v>0</v>
      </c>
      <c r="N676" s="211" t="s">
        <v>614</v>
      </c>
    </row>
    <row r="677" spans="1:14" s="202" customFormat="1" ht="12.6" customHeight="1" x14ac:dyDescent="0.2">
      <c r="A677" s="212">
        <v>6210</v>
      </c>
      <c r="B677" s="211" t="s">
        <v>334</v>
      </c>
      <c r="C677" s="217">
        <f>L85</f>
        <v>4423095</v>
      </c>
      <c r="D677" s="217">
        <f>(D615/D612)*L90</f>
        <v>346178.14017925737</v>
      </c>
      <c r="E677" s="219">
        <f>(E623/E612)*SUM(C677:D677)</f>
        <v>494809.49039820494</v>
      </c>
      <c r="F677" s="219">
        <f>(F624/F612)*L64</f>
        <v>0</v>
      </c>
      <c r="G677" s="217">
        <f>(G625/G612)*L91</f>
        <v>691017.01537927438</v>
      </c>
      <c r="H677" s="219">
        <f>(H628/H612)*L60</f>
        <v>80082.229346270091</v>
      </c>
      <c r="I677" s="217">
        <f>(I629/I612)*L92</f>
        <v>152599.13608453801</v>
      </c>
      <c r="J677" s="217">
        <f>(J630/J612)*L93</f>
        <v>152132.67389621591</v>
      </c>
      <c r="K677" s="217">
        <f>(K644/K612)*L89</f>
        <v>162631.49133025727</v>
      </c>
      <c r="L677" s="217">
        <f>(L647/L612)*L94</f>
        <v>227012.33886632082</v>
      </c>
      <c r="M677" s="202">
        <f t="shared" si="24"/>
        <v>2306463</v>
      </c>
      <c r="N677" s="211" t="s">
        <v>615</v>
      </c>
    </row>
    <row r="678" spans="1:14" s="202" customFormat="1" ht="12.6" customHeight="1" x14ac:dyDescent="0.2">
      <c r="A678" s="212">
        <v>6330</v>
      </c>
      <c r="B678" s="211" t="s">
        <v>616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4"/>
        <v>0</v>
      </c>
      <c r="N678" s="211" t="s">
        <v>617</v>
      </c>
    </row>
    <row r="679" spans="1:14" s="202" customFormat="1" ht="12.6" customHeight="1" x14ac:dyDescent="0.2">
      <c r="A679" s="212">
        <v>6400</v>
      </c>
      <c r="B679" s="211" t="s">
        <v>618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4"/>
        <v>0</v>
      </c>
      <c r="N679" s="211" t="s">
        <v>619</v>
      </c>
    </row>
    <row r="680" spans="1:14" s="202" customFormat="1" ht="12.6" customHeight="1" x14ac:dyDescent="0.2">
      <c r="A680" s="212">
        <v>7010</v>
      </c>
      <c r="B680" s="211" t="s">
        <v>620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24"/>
        <v>0</v>
      </c>
      <c r="N680" s="211" t="s">
        <v>621</v>
      </c>
    </row>
    <row r="681" spans="1:14" s="202" customFormat="1" ht="12.6" customHeight="1" x14ac:dyDescent="0.2">
      <c r="A681" s="212">
        <v>7020</v>
      </c>
      <c r="B681" s="211" t="s">
        <v>622</v>
      </c>
      <c r="C681" s="217">
        <f>P85</f>
        <v>0</v>
      </c>
      <c r="D681" s="217">
        <f>(D615/D612)*P90</f>
        <v>0</v>
      </c>
      <c r="E681" s="219">
        <f>(E623/E612)*SUM(C681:D681)</f>
        <v>0</v>
      </c>
      <c r="F681" s="219">
        <f>(F624/F612)*P64</f>
        <v>0</v>
      </c>
      <c r="G681" s="217">
        <f>(G625/G612)*P91</f>
        <v>0</v>
      </c>
      <c r="H681" s="219">
        <f>(H628/H612)*P60</f>
        <v>0</v>
      </c>
      <c r="I681" s="217">
        <f>(I629/I612)*P92</f>
        <v>0</v>
      </c>
      <c r="J681" s="217">
        <f>(J630/J612)*P93</f>
        <v>0</v>
      </c>
      <c r="K681" s="217">
        <f>(K644/K612)*P89</f>
        <v>0</v>
      </c>
      <c r="L681" s="217">
        <f>(L647/L612)*P94</f>
        <v>0</v>
      </c>
      <c r="M681" s="202">
        <f t="shared" si="24"/>
        <v>0</v>
      </c>
      <c r="N681" s="211" t="s">
        <v>623</v>
      </c>
    </row>
    <row r="682" spans="1:14" s="202" customFormat="1" ht="12.6" customHeight="1" x14ac:dyDescent="0.2">
      <c r="A682" s="212">
        <v>7030</v>
      </c>
      <c r="B682" s="211" t="s">
        <v>624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0</v>
      </c>
      <c r="L682" s="217">
        <f>(L647/L612)*Q94</f>
        <v>0</v>
      </c>
      <c r="M682" s="202">
        <f t="shared" si="24"/>
        <v>0</v>
      </c>
      <c r="N682" s="211" t="s">
        <v>625</v>
      </c>
    </row>
    <row r="683" spans="1:14" s="202" customFormat="1" ht="12.6" customHeight="1" x14ac:dyDescent="0.2">
      <c r="A683" s="212">
        <v>7040</v>
      </c>
      <c r="B683" s="211" t="s">
        <v>131</v>
      </c>
      <c r="C683" s="217">
        <f>R85</f>
        <v>0</v>
      </c>
      <c r="D683" s="217">
        <f>(D615/D612)*R90</f>
        <v>0</v>
      </c>
      <c r="E683" s="219">
        <f>(E623/E612)*SUM(C683:D683)</f>
        <v>0</v>
      </c>
      <c r="F683" s="219">
        <f>(F624/F612)*R64</f>
        <v>0</v>
      </c>
      <c r="G683" s="217">
        <f>(G625/G612)*R91</f>
        <v>0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>
        <f>(K644/K612)*R89</f>
        <v>0</v>
      </c>
      <c r="L683" s="217">
        <f>(L647/L612)*R94</f>
        <v>0</v>
      </c>
      <c r="M683" s="202">
        <f t="shared" si="24"/>
        <v>0</v>
      </c>
      <c r="N683" s="211" t="s">
        <v>626</v>
      </c>
    </row>
    <row r="684" spans="1:14" s="202" customFormat="1" ht="12.6" customHeight="1" x14ac:dyDescent="0.2">
      <c r="A684" s="212">
        <v>7050</v>
      </c>
      <c r="B684" s="211" t="s">
        <v>627</v>
      </c>
      <c r="C684" s="217">
        <f>S85</f>
        <v>116974</v>
      </c>
      <c r="D684" s="217">
        <f>(D615/D612)*S90</f>
        <v>10218.361229193342</v>
      </c>
      <c r="E684" s="219">
        <f>(E623/E612)*SUM(C684:D684)</f>
        <v>13196.138193921106</v>
      </c>
      <c r="F684" s="219">
        <f>(F624/F612)*S64</f>
        <v>0</v>
      </c>
      <c r="G684" s="217">
        <f>(G625/G612)*S91</f>
        <v>0</v>
      </c>
      <c r="H684" s="219">
        <f>(H628/H612)*S60</f>
        <v>2053.3904960582076</v>
      </c>
      <c r="I684" s="217">
        <f>(I629/I612)*S92</f>
        <v>4494.9037101709564</v>
      </c>
      <c r="J684" s="217">
        <f>(J630/J612)*S93</f>
        <v>0</v>
      </c>
      <c r="K684" s="217">
        <f>(K644/K612)*S89</f>
        <v>1963.7349419127879</v>
      </c>
      <c r="L684" s="217">
        <f>(L647/L612)*S94</f>
        <v>0</v>
      </c>
      <c r="M684" s="202">
        <f t="shared" si="24"/>
        <v>31927</v>
      </c>
      <c r="N684" s="211" t="s">
        <v>628</v>
      </c>
    </row>
    <row r="685" spans="1:14" s="202" customFormat="1" ht="12.6" customHeight="1" x14ac:dyDescent="0.2">
      <c r="A685" s="212">
        <v>7060</v>
      </c>
      <c r="B685" s="211" t="s">
        <v>629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24"/>
        <v>0</v>
      </c>
      <c r="N685" s="211" t="s">
        <v>630</v>
      </c>
    </row>
    <row r="686" spans="1:14" s="202" customFormat="1" ht="12.6" customHeight="1" x14ac:dyDescent="0.2">
      <c r="A686" s="212">
        <v>7070</v>
      </c>
      <c r="B686" s="211" t="s">
        <v>134</v>
      </c>
      <c r="C686" s="217">
        <f>U85</f>
        <v>850397</v>
      </c>
      <c r="D686" s="217">
        <f>(D615/D612)*U90</f>
        <v>26097.765787451986</v>
      </c>
      <c r="E686" s="219">
        <f>(E623/E612)*SUM(C686:D686)</f>
        <v>90935.854510459452</v>
      </c>
      <c r="F686" s="219">
        <f>(F624/F612)*U64</f>
        <v>0</v>
      </c>
      <c r="G686" s="217">
        <f>(G625/G612)*U91</f>
        <v>0</v>
      </c>
      <c r="H686" s="219">
        <f>(H628/H612)*U60</f>
        <v>14275.952972595158</v>
      </c>
      <c r="I686" s="217">
        <f>(I629/I612)*U92</f>
        <v>11493.298094361178</v>
      </c>
      <c r="J686" s="217">
        <f>(J630/J612)*U93</f>
        <v>0</v>
      </c>
      <c r="K686" s="217">
        <f>(K644/K612)*U89</f>
        <v>144164.47170837389</v>
      </c>
      <c r="L686" s="217">
        <f>(L647/L612)*U94</f>
        <v>73.609707803605971</v>
      </c>
      <c r="M686" s="202">
        <f t="shared" si="24"/>
        <v>287041</v>
      </c>
      <c r="N686" s="211" t="s">
        <v>631</v>
      </c>
    </row>
    <row r="687" spans="1:14" s="202" customFormat="1" ht="12.6" customHeight="1" x14ac:dyDescent="0.2">
      <c r="A687" s="212">
        <v>7110</v>
      </c>
      <c r="B687" s="211" t="s">
        <v>632</v>
      </c>
      <c r="C687" s="217">
        <f>V85</f>
        <v>12342</v>
      </c>
      <c r="D687" s="217">
        <f>(D615/D612)*V90</f>
        <v>0</v>
      </c>
      <c r="E687" s="219">
        <f>(E623/E612)*SUM(C687:D687)</f>
        <v>1280.4757771254656</v>
      </c>
      <c r="F687" s="219">
        <f>(F624/F612)*V64</f>
        <v>0</v>
      </c>
      <c r="G687" s="217">
        <f>(G625/G612)*V91</f>
        <v>0</v>
      </c>
      <c r="H687" s="219">
        <f>(H628/H612)*V60</f>
        <v>73.335374859221702</v>
      </c>
      <c r="I687" s="217">
        <f>(I629/I612)*V92</f>
        <v>682.77018382343635</v>
      </c>
      <c r="J687" s="217">
        <f>(J630/J612)*V93</f>
        <v>0</v>
      </c>
      <c r="K687" s="217">
        <f>(K644/K612)*V89</f>
        <v>9749.697171234724</v>
      </c>
      <c r="L687" s="217">
        <f>(L647/L612)*V94</f>
        <v>0</v>
      </c>
      <c r="M687" s="202">
        <f t="shared" si="24"/>
        <v>11786</v>
      </c>
      <c r="N687" s="211" t="s">
        <v>633</v>
      </c>
    </row>
    <row r="688" spans="1:14" s="202" customFormat="1" ht="12.6" customHeight="1" x14ac:dyDescent="0.2">
      <c r="A688" s="212">
        <v>7120</v>
      </c>
      <c r="B688" s="211" t="s">
        <v>634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>
        <f>(F624/F612)*W64</f>
        <v>0</v>
      </c>
      <c r="G688" s="217">
        <f>(G625/G612)*W91</f>
        <v>0</v>
      </c>
      <c r="H688" s="219">
        <f>(H628/H612)*W60</f>
        <v>0</v>
      </c>
      <c r="I688" s="217">
        <f>(I629/I612)*W92</f>
        <v>0</v>
      </c>
      <c r="J688" s="217">
        <f>(J630/J612)*W93</f>
        <v>0</v>
      </c>
      <c r="K688" s="217">
        <f>(K644/K612)*W89</f>
        <v>0</v>
      </c>
      <c r="L688" s="217">
        <f>(L647/L612)*W94</f>
        <v>0</v>
      </c>
      <c r="M688" s="202">
        <f t="shared" si="24"/>
        <v>0</v>
      </c>
      <c r="N688" s="211" t="s">
        <v>635</v>
      </c>
    </row>
    <row r="689" spans="1:14" s="202" customFormat="1" ht="12.6" customHeight="1" x14ac:dyDescent="0.2">
      <c r="A689" s="212">
        <v>7130</v>
      </c>
      <c r="B689" s="211" t="s">
        <v>636</v>
      </c>
      <c r="C689" s="217">
        <f>X85</f>
        <v>0</v>
      </c>
      <c r="D689" s="217">
        <f>(D615/D612)*X90</f>
        <v>0</v>
      </c>
      <c r="E689" s="219">
        <f>(E623/E612)*SUM(C689:D689)</f>
        <v>0</v>
      </c>
      <c r="F689" s="219">
        <f>(F624/F612)*X64</f>
        <v>0</v>
      </c>
      <c r="G689" s="217">
        <f>(G625/G612)*X91</f>
        <v>0</v>
      </c>
      <c r="H689" s="219">
        <f>(H628/H612)*X60</f>
        <v>0</v>
      </c>
      <c r="I689" s="217">
        <f>(I629/I612)*X92</f>
        <v>0</v>
      </c>
      <c r="J689" s="217">
        <f>(J630/J612)*X93</f>
        <v>0</v>
      </c>
      <c r="K689" s="217">
        <f>(K644/K612)*X89</f>
        <v>0</v>
      </c>
      <c r="L689" s="217">
        <f>(L647/L612)*X94</f>
        <v>0</v>
      </c>
      <c r="M689" s="202">
        <f t="shared" si="24"/>
        <v>0</v>
      </c>
      <c r="N689" s="211" t="s">
        <v>637</v>
      </c>
    </row>
    <row r="690" spans="1:14" s="202" customFormat="1" ht="12.6" customHeight="1" x14ac:dyDescent="0.2">
      <c r="A690" s="212">
        <v>7140</v>
      </c>
      <c r="B690" s="211" t="s">
        <v>638</v>
      </c>
      <c r="C690" s="217">
        <f>Y85</f>
        <v>588894</v>
      </c>
      <c r="D690" s="217">
        <f>(D615/D612)*Y90</f>
        <v>13743.161792573625</v>
      </c>
      <c r="E690" s="219">
        <f>(E623/E612)*SUM(C690:D690)</f>
        <v>62523.277270380058</v>
      </c>
      <c r="F690" s="219">
        <f>(F624/F612)*Y64</f>
        <v>0</v>
      </c>
      <c r="G690" s="217">
        <f>(G625/G612)*Y91</f>
        <v>0</v>
      </c>
      <c r="H690" s="219">
        <f>(H628/H612)*Y60</f>
        <v>13029.251599988389</v>
      </c>
      <c r="I690" s="217">
        <f>(I629/I612)*Y92</f>
        <v>5348.3664399502513</v>
      </c>
      <c r="J690" s="217">
        <f>(J630/J612)*Y93</f>
        <v>0</v>
      </c>
      <c r="K690" s="217">
        <f>(K644/K612)*Y89</f>
        <v>77397.156775574505</v>
      </c>
      <c r="L690" s="217">
        <f>(L647/L612)*Y94</f>
        <v>0</v>
      </c>
      <c r="M690" s="202">
        <f t="shared" si="24"/>
        <v>172041</v>
      </c>
      <c r="N690" s="211" t="s">
        <v>639</v>
      </c>
    </row>
    <row r="691" spans="1:14" s="202" customFormat="1" ht="12.6" customHeight="1" x14ac:dyDescent="0.2">
      <c r="A691" s="212">
        <v>7150</v>
      </c>
      <c r="B691" s="211" t="s">
        <v>640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24"/>
        <v>0</v>
      </c>
      <c r="N691" s="211" t="s">
        <v>641</v>
      </c>
    </row>
    <row r="692" spans="1:14" s="202" customFormat="1" ht="12.6" customHeight="1" x14ac:dyDescent="0.2">
      <c r="A692" s="212">
        <v>7160</v>
      </c>
      <c r="B692" s="211" t="s">
        <v>642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24"/>
        <v>0</v>
      </c>
      <c r="N692" s="211" t="s">
        <v>643</v>
      </c>
    </row>
    <row r="693" spans="1:14" s="202" customFormat="1" ht="12.6" customHeight="1" x14ac:dyDescent="0.2">
      <c r="A693" s="212">
        <v>7170</v>
      </c>
      <c r="B693" s="211" t="s">
        <v>140</v>
      </c>
      <c r="C693" s="217">
        <f>AB85</f>
        <v>525743</v>
      </c>
      <c r="D693" s="217">
        <f>(D615/D612)*AB90</f>
        <v>2029.4306274007683</v>
      </c>
      <c r="E693" s="219">
        <f>(E623/E612)*SUM(C693:D693)</f>
        <v>54756.102191947568</v>
      </c>
      <c r="F693" s="219">
        <f>(F624/F612)*AB64</f>
        <v>0</v>
      </c>
      <c r="G693" s="217">
        <f>(G625/G612)*AB91</f>
        <v>0</v>
      </c>
      <c r="H693" s="219">
        <f>(H628/H612)*AB60</f>
        <v>0</v>
      </c>
      <c r="I693" s="217">
        <f>(I629/I612)*AB92</f>
        <v>910.36024509791514</v>
      </c>
      <c r="J693" s="217">
        <f>(J630/J612)*AB93</f>
        <v>0</v>
      </c>
      <c r="K693" s="217">
        <f>(K644/K612)*AB89</f>
        <v>131553.45984290767</v>
      </c>
      <c r="L693" s="217">
        <f>(L647/L612)*AB94</f>
        <v>0</v>
      </c>
      <c r="M693" s="202">
        <f t="shared" si="24"/>
        <v>189249</v>
      </c>
      <c r="N693" s="211" t="s">
        <v>644</v>
      </c>
    </row>
    <row r="694" spans="1:14" s="202" customFormat="1" ht="12.6" customHeight="1" x14ac:dyDescent="0.2">
      <c r="A694" s="212">
        <v>7180</v>
      </c>
      <c r="B694" s="211" t="s">
        <v>645</v>
      </c>
      <c r="C694" s="217">
        <f>AC85</f>
        <v>0</v>
      </c>
      <c r="D694" s="217">
        <f>(D615/D612)*AC90</f>
        <v>0</v>
      </c>
      <c r="E694" s="219">
        <f>(E623/E612)*SUM(C694:D694)</f>
        <v>0</v>
      </c>
      <c r="F694" s="219">
        <f>(F624/F612)*AC64</f>
        <v>0</v>
      </c>
      <c r="G694" s="217">
        <f>(G625/G612)*AC91</f>
        <v>0</v>
      </c>
      <c r="H694" s="219">
        <f>(H628/H612)*AC60</f>
        <v>0</v>
      </c>
      <c r="I694" s="217">
        <f>(I629/I612)*AC92</f>
        <v>0</v>
      </c>
      <c r="J694" s="217">
        <f>(J630/J612)*AC93</f>
        <v>0</v>
      </c>
      <c r="K694" s="217">
        <f>(K644/K612)*AC89</f>
        <v>0</v>
      </c>
      <c r="L694" s="217">
        <f>(L647/L612)*AC94</f>
        <v>0</v>
      </c>
      <c r="M694" s="202">
        <f t="shared" si="24"/>
        <v>0</v>
      </c>
      <c r="N694" s="211" t="s">
        <v>646</v>
      </c>
    </row>
    <row r="695" spans="1:14" s="202" customFormat="1" ht="12.6" customHeight="1" x14ac:dyDescent="0.2">
      <c r="A695" s="212">
        <v>7190</v>
      </c>
      <c r="B695" s="211" t="s">
        <v>142</v>
      </c>
      <c r="C695" s="217">
        <f>AD85</f>
        <v>173190</v>
      </c>
      <c r="D695" s="217">
        <f>(D615/D612)*AD90</f>
        <v>0</v>
      </c>
      <c r="E695" s="219">
        <f>(E623/E612)*SUM(C695:D695)</f>
        <v>17968.368160781025</v>
      </c>
      <c r="F695" s="219">
        <f>(F624/F612)*AD64</f>
        <v>0</v>
      </c>
      <c r="G695" s="217">
        <f>(G625/G612)*AD91</f>
        <v>0</v>
      </c>
      <c r="H695" s="219">
        <f>(H628/H612)*AD60</f>
        <v>122.2256247653695</v>
      </c>
      <c r="I695" s="217">
        <f>(I629/I612)*AD92</f>
        <v>0</v>
      </c>
      <c r="J695" s="217">
        <f>(J630/J612)*AD93</f>
        <v>0</v>
      </c>
      <c r="K695" s="217">
        <f>(K644/K612)*AD89</f>
        <v>2212.0758737489368</v>
      </c>
      <c r="L695" s="217">
        <f>(L647/L612)*AD94</f>
        <v>0</v>
      </c>
      <c r="M695" s="202">
        <f t="shared" si="24"/>
        <v>20303</v>
      </c>
      <c r="N695" s="211" t="s">
        <v>647</v>
      </c>
    </row>
    <row r="696" spans="1:14" s="202" customFormat="1" ht="12.6" customHeight="1" x14ac:dyDescent="0.2">
      <c r="A696" s="212">
        <v>7200</v>
      </c>
      <c r="B696" s="211" t="s">
        <v>648</v>
      </c>
      <c r="C696" s="217">
        <f>AE85</f>
        <v>220323</v>
      </c>
      <c r="D696" s="217">
        <f>(D615/D612)*AE90</f>
        <v>17837.627093469913</v>
      </c>
      <c r="E696" s="219">
        <f>(E623/E612)*SUM(C696:D696)</f>
        <v>24709.035331242838</v>
      </c>
      <c r="F696" s="219">
        <f>(F624/F612)*AE64</f>
        <v>0</v>
      </c>
      <c r="G696" s="217">
        <f>(G625/G612)*AE91</f>
        <v>0</v>
      </c>
      <c r="H696" s="219">
        <f>(H628/H612)*AE60</f>
        <v>2517.8478701666118</v>
      </c>
      <c r="I696" s="217">
        <f>(I629/I612)*AE92</f>
        <v>7851.8571139695177</v>
      </c>
      <c r="J696" s="217">
        <f>(J630/J612)*AE93</f>
        <v>0</v>
      </c>
      <c r="K696" s="217">
        <f>(K644/K612)*AE89</f>
        <v>70783.158882320044</v>
      </c>
      <c r="L696" s="217">
        <f>(L647/L612)*AE94</f>
        <v>0</v>
      </c>
      <c r="M696" s="202">
        <f t="shared" si="24"/>
        <v>123700</v>
      </c>
      <c r="N696" s="211" t="s">
        <v>649</v>
      </c>
    </row>
    <row r="697" spans="1:14" s="202" customFormat="1" ht="12.6" customHeight="1" x14ac:dyDescent="0.2">
      <c r="A697" s="212">
        <v>7220</v>
      </c>
      <c r="B697" s="211" t="s">
        <v>650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4"/>
        <v>0</v>
      </c>
      <c r="N697" s="211" t="s">
        <v>651</v>
      </c>
    </row>
    <row r="698" spans="1:14" s="202" customFormat="1" ht="12.6" customHeight="1" x14ac:dyDescent="0.2">
      <c r="A698" s="212">
        <v>7230</v>
      </c>
      <c r="B698" s="211" t="s">
        <v>652</v>
      </c>
      <c r="C698" s="217">
        <f>AG85</f>
        <v>1094248</v>
      </c>
      <c r="D698" s="217">
        <f>(D615/D612)*AG90</f>
        <v>30975.52010243278</v>
      </c>
      <c r="E698" s="219">
        <f>(E623/E612)*SUM(C698:D698)</f>
        <v>116741.3272843149</v>
      </c>
      <c r="F698" s="219">
        <f>(F624/F612)*AG64</f>
        <v>0</v>
      </c>
      <c r="G698" s="217">
        <f>(G625/G612)*AG91</f>
        <v>0</v>
      </c>
      <c r="H698" s="219">
        <f>(H628/H612)*AG60</f>
        <v>5891.27511369081</v>
      </c>
      <c r="I698" s="217">
        <f>(I629/I612)*AG92</f>
        <v>13655.403676468726</v>
      </c>
      <c r="J698" s="217">
        <f>(J630/J612)*AG93</f>
        <v>0</v>
      </c>
      <c r="K698" s="217">
        <f>(K644/K612)*AG89</f>
        <v>235700.28033335975</v>
      </c>
      <c r="L698" s="217">
        <f>(L647/L612)*AG94</f>
        <v>0</v>
      </c>
      <c r="M698" s="202">
        <f t="shared" si="24"/>
        <v>402964</v>
      </c>
      <c r="N698" s="211" t="s">
        <v>653</v>
      </c>
    </row>
    <row r="699" spans="1:14" s="202" customFormat="1" ht="12.6" customHeight="1" x14ac:dyDescent="0.2">
      <c r="A699" s="212">
        <v>7240</v>
      </c>
      <c r="B699" s="211" t="s">
        <v>144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24"/>
        <v>0</v>
      </c>
      <c r="N699" s="211" t="s">
        <v>654</v>
      </c>
    </row>
    <row r="700" spans="1:14" s="202" customFormat="1" ht="12.6" customHeight="1" x14ac:dyDescent="0.2">
      <c r="A700" s="212">
        <v>7250</v>
      </c>
      <c r="B700" s="211" t="s">
        <v>655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24"/>
        <v>0</v>
      </c>
      <c r="N700" s="211" t="s">
        <v>656</v>
      </c>
    </row>
    <row r="701" spans="1:14" s="202" customFormat="1" ht="12.6" customHeight="1" x14ac:dyDescent="0.2">
      <c r="A701" s="212">
        <v>7260</v>
      </c>
      <c r="B701" s="211" t="s">
        <v>146</v>
      </c>
      <c r="C701" s="217">
        <f>AJ85</f>
        <v>942810</v>
      </c>
      <c r="D701" s="217">
        <f>(D615/D612)*AJ90</f>
        <v>36885.791754161335</v>
      </c>
      <c r="E701" s="219">
        <f>(E623/E612)*SUM(C701:D701)</f>
        <v>101642.90473934193</v>
      </c>
      <c r="F701" s="219">
        <f>(F624/F612)*AJ64</f>
        <v>0</v>
      </c>
      <c r="G701" s="217">
        <f>(G625/G612)*AJ91</f>
        <v>0</v>
      </c>
      <c r="H701" s="219">
        <f>(H628/H612)*AJ60</f>
        <v>12344.78810130232</v>
      </c>
      <c r="I701" s="217">
        <f>(I629/I612)*AJ92</f>
        <v>16272.689381125234</v>
      </c>
      <c r="J701" s="217">
        <f>(J630/J612)*AJ93</f>
        <v>0</v>
      </c>
      <c r="K701" s="217">
        <f>(K644/K612)*AJ89</f>
        <v>114400.93634245452</v>
      </c>
      <c r="L701" s="217">
        <f>(L647/L612)*AJ94</f>
        <v>19138.524028937554</v>
      </c>
      <c r="M701" s="202">
        <f t="shared" si="24"/>
        <v>300686</v>
      </c>
      <c r="N701" s="211" t="s">
        <v>657</v>
      </c>
    </row>
    <row r="702" spans="1:14" s="202" customFormat="1" ht="12.6" customHeight="1" x14ac:dyDescent="0.2">
      <c r="A702" s="212">
        <v>7310</v>
      </c>
      <c r="B702" s="211" t="s">
        <v>658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24"/>
        <v>0</v>
      </c>
      <c r="N702" s="211" t="s">
        <v>659</v>
      </c>
    </row>
    <row r="703" spans="1:14" s="202" customFormat="1" ht="12.6" customHeight="1" x14ac:dyDescent="0.2">
      <c r="A703" s="212">
        <v>7320</v>
      </c>
      <c r="B703" s="211" t="s">
        <v>660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24"/>
        <v>0</v>
      </c>
      <c r="N703" s="211" t="s">
        <v>661</v>
      </c>
    </row>
    <row r="704" spans="1:14" s="202" customFormat="1" ht="12.6" customHeight="1" x14ac:dyDescent="0.2">
      <c r="A704" s="212">
        <v>7330</v>
      </c>
      <c r="B704" s="211" t="s">
        <v>662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4"/>
        <v>0</v>
      </c>
      <c r="N704" s="211" t="s">
        <v>663</v>
      </c>
    </row>
    <row r="705" spans="1:14" s="202" customFormat="1" ht="12.6" customHeight="1" x14ac:dyDescent="0.2">
      <c r="A705" s="212">
        <v>7340</v>
      </c>
      <c r="B705" s="211" t="s">
        <v>664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4"/>
        <v>0</v>
      </c>
      <c r="N705" s="211" t="s">
        <v>665</v>
      </c>
    </row>
    <row r="706" spans="1:14" s="202" customFormat="1" ht="12.6" customHeight="1" x14ac:dyDescent="0.2">
      <c r="A706" s="212">
        <v>7350</v>
      </c>
      <c r="B706" s="211" t="s">
        <v>666</v>
      </c>
      <c r="C706" s="217">
        <f>AO85</f>
        <v>12413</v>
      </c>
      <c r="D706" s="217">
        <f>(D615/D612)*AO90</f>
        <v>961.30924455825868</v>
      </c>
      <c r="E706" s="219">
        <f>(E623/E612)*SUM(C706:D706)</f>
        <v>1387.5772989338873</v>
      </c>
      <c r="F706" s="219">
        <f>(F624/F612)*AO64</f>
        <v>0</v>
      </c>
      <c r="G706" s="217">
        <f>(G625/G612)*AO91</f>
        <v>1935.8304492900693</v>
      </c>
      <c r="H706" s="219">
        <f>(H628/H612)*AO60</f>
        <v>220.0061245776651</v>
      </c>
      <c r="I706" s="217">
        <f>(I629/I612)*AO92</f>
        <v>455.18012254895757</v>
      </c>
      <c r="J706" s="217">
        <f>(J630/J612)*AO93</f>
        <v>427.12724297864088</v>
      </c>
      <c r="K706" s="217">
        <f>(K644/K612)*AO89</f>
        <v>38215.844588737607</v>
      </c>
      <c r="L706" s="217">
        <f>(L647/L612)*AO94</f>
        <v>662.48737023245371</v>
      </c>
      <c r="M706" s="202">
        <f t="shared" si="24"/>
        <v>44265</v>
      </c>
      <c r="N706" s="211" t="s">
        <v>667</v>
      </c>
    </row>
    <row r="707" spans="1:14" s="202" customFormat="1" ht="12.6" customHeight="1" x14ac:dyDescent="0.2">
      <c r="A707" s="212">
        <v>7380</v>
      </c>
      <c r="B707" s="211" t="s">
        <v>668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24"/>
        <v>0</v>
      </c>
      <c r="N707" s="211" t="s">
        <v>669</v>
      </c>
    </row>
    <row r="708" spans="1:14" s="202" customFormat="1" ht="12.6" customHeight="1" x14ac:dyDescent="0.2">
      <c r="A708" s="212">
        <v>7390</v>
      </c>
      <c r="B708" s="211" t="s">
        <v>670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4"/>
        <v>0</v>
      </c>
      <c r="N708" s="211" t="s">
        <v>671</v>
      </c>
    </row>
    <row r="709" spans="1:14" s="202" customFormat="1" ht="12.6" customHeight="1" x14ac:dyDescent="0.2">
      <c r="A709" s="212">
        <v>7400</v>
      </c>
      <c r="B709" s="211" t="s">
        <v>672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24"/>
        <v>0</v>
      </c>
      <c r="N709" s="211" t="s">
        <v>673</v>
      </c>
    </row>
    <row r="710" spans="1:14" s="202" customFormat="1" ht="12.6" customHeight="1" x14ac:dyDescent="0.2">
      <c r="A710" s="212">
        <v>7410</v>
      </c>
      <c r="B710" s="211" t="s">
        <v>154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4"/>
        <v>0</v>
      </c>
      <c r="N710" s="211" t="s">
        <v>674</v>
      </c>
    </row>
    <row r="711" spans="1:14" s="202" customFormat="1" ht="12.6" customHeight="1" x14ac:dyDescent="0.2">
      <c r="A711" s="212">
        <v>7420</v>
      </c>
      <c r="B711" s="211" t="s">
        <v>675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4"/>
        <v>0</v>
      </c>
      <c r="N711" s="211" t="s">
        <v>676</v>
      </c>
    </row>
    <row r="712" spans="1:14" s="202" customFormat="1" ht="12.6" customHeight="1" x14ac:dyDescent="0.2">
      <c r="A712" s="212">
        <v>7430</v>
      </c>
      <c r="B712" s="211" t="s">
        <v>677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4"/>
        <v>0</v>
      </c>
      <c r="N712" s="211" t="s">
        <v>678</v>
      </c>
    </row>
    <row r="713" spans="1:14" s="202" customFormat="1" ht="12.6" customHeight="1" x14ac:dyDescent="0.2">
      <c r="A713" s="212">
        <v>7490</v>
      </c>
      <c r="B713" s="211" t="s">
        <v>679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>
        <f>(G625/G612)*AV91</f>
        <v>0</v>
      </c>
      <c r="H713" s="219">
        <f>(H628/H612)*AV60</f>
        <v>0</v>
      </c>
      <c r="I713" s="217">
        <f>(I629/I612)*AV92</f>
        <v>0</v>
      </c>
      <c r="J713" s="217">
        <f>(J630/J612)*AV93</f>
        <v>0</v>
      </c>
      <c r="K713" s="217">
        <f>(K644/K612)*AV89</f>
        <v>0</v>
      </c>
      <c r="L713" s="217">
        <f>(L647/L612)*AV94</f>
        <v>0</v>
      </c>
      <c r="M713" s="202">
        <f t="shared" si="24"/>
        <v>0</v>
      </c>
      <c r="N713" s="213" t="s">
        <v>680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13029421</v>
      </c>
      <c r="D715" s="202">
        <f>SUM(D616:D647)+SUM(D668:D713)</f>
        <v>695169</v>
      </c>
      <c r="E715" s="202">
        <f>SUM(E624:E647)+SUM(E668:E713)</f>
        <v>1224730.2365172852</v>
      </c>
      <c r="F715" s="202">
        <f>SUM(F625:F648)+SUM(F668:F713)</f>
        <v>0</v>
      </c>
      <c r="G715" s="202">
        <f>SUM(G626:G647)+SUM(G668:G713)</f>
        <v>708700.0819833664</v>
      </c>
      <c r="H715" s="202">
        <f>SUM(H629:H647)+SUM(H668:H713)</f>
        <v>163244.54443662748</v>
      </c>
      <c r="I715" s="202">
        <f>SUM(I630:I647)+SUM(I668:I713)</f>
        <v>235214.32832717383</v>
      </c>
      <c r="J715" s="202">
        <f>SUM(J631:J647)+SUM(J668:J713)</f>
        <v>156027.0693469035</v>
      </c>
      <c r="K715" s="202">
        <f>SUM(K668:K713)</f>
        <v>1017671.6079964709</v>
      </c>
      <c r="L715" s="202">
        <f>SUM(L668:L713)</f>
        <v>252039.63951954685</v>
      </c>
      <c r="M715" s="202">
        <f>SUM(M668:M713)</f>
        <v>3968179</v>
      </c>
      <c r="N715" s="211" t="s">
        <v>681</v>
      </c>
    </row>
    <row r="716" spans="1:14" s="202" customFormat="1" ht="12.6" customHeight="1" x14ac:dyDescent="0.2">
      <c r="C716" s="214">
        <f>CE85</f>
        <v>13029421</v>
      </c>
      <c r="D716" s="202">
        <f>D615</f>
        <v>695169</v>
      </c>
      <c r="E716" s="202">
        <f>E623</f>
        <v>1224730.2365172855</v>
      </c>
      <c r="F716" s="202">
        <f>F624</f>
        <v>0</v>
      </c>
      <c r="G716" s="202">
        <f>G625</f>
        <v>708700.0819833664</v>
      </c>
      <c r="H716" s="202">
        <f>H628</f>
        <v>163244.54443662748</v>
      </c>
      <c r="I716" s="202">
        <f>I629</f>
        <v>235214.32832717383</v>
      </c>
      <c r="J716" s="202">
        <f>J630</f>
        <v>156027.06934690353</v>
      </c>
      <c r="K716" s="202">
        <f>K644</f>
        <v>1017671.6079964709</v>
      </c>
      <c r="L716" s="202">
        <f>L647</f>
        <v>252039.63951954685</v>
      </c>
      <c r="M716" s="202">
        <f>C648</f>
        <v>3968178</v>
      </c>
      <c r="N716" s="211" t="s">
        <v>682</v>
      </c>
    </row>
  </sheetData>
  <sheetProtection algorithmName="SHA-512" hashValue="YdyQvljCCUX5L8LHTrSeUPM4EJ9vGXL+krGnfookX8nvVWv7VO/59vh7aj3hIwba4rWAPOqHyLM2gnEzqukNfw==" saltValue="0+FGBZjXAqr2zOemZYDumQ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topLeftCell="A145" zoomScaleNormal="100" workbookViewId="0">
      <selection activeCell="C135" sqref="C135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8" width="57.44140625" style="11" customWidth="1"/>
    <col min="9" max="16384" width="57.44140625" style="11"/>
  </cols>
  <sheetData>
    <row r="1" spans="1:3" ht="20.100000000000001" customHeight="1" x14ac:dyDescent="0.25">
      <c r="A1" s="168" t="s">
        <v>886</v>
      </c>
      <c r="B1" s="169"/>
      <c r="C1" s="169"/>
    </row>
    <row r="2" spans="1:3" ht="20.100000000000001" customHeight="1" x14ac:dyDescent="0.25">
      <c r="A2" s="168"/>
      <c r="B2" s="169"/>
      <c r="C2" s="94" t="s">
        <v>887</v>
      </c>
    </row>
    <row r="3" spans="1:3" ht="20.100000000000001" customHeight="1" x14ac:dyDescent="0.25">
      <c r="A3" s="120" t="str">
        <f>"Hospital: "&amp;data!C98</f>
        <v xml:space="preserve">Hospital: Garfield County Public Hospital District 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888</v>
      </c>
      <c r="C4" s="173"/>
    </row>
    <row r="5" spans="1:3" ht="20.100000000000001" customHeight="1" x14ac:dyDescent="0.25">
      <c r="A5" s="174">
        <v>1</v>
      </c>
      <c r="B5" s="175" t="s">
        <v>408</v>
      </c>
      <c r="C5" s="175"/>
    </row>
    <row r="6" spans="1:3" ht="20.100000000000001" customHeight="1" x14ac:dyDescent="0.25">
      <c r="A6" s="174">
        <v>2</v>
      </c>
      <c r="B6" s="176" t="s">
        <v>409</v>
      </c>
      <c r="C6" s="176">
        <f>data!C266</f>
        <v>5730134</v>
      </c>
    </row>
    <row r="7" spans="1:3" ht="20.100000000000001" customHeight="1" x14ac:dyDescent="0.25">
      <c r="A7" s="174">
        <v>3</v>
      </c>
      <c r="B7" s="176" t="s">
        <v>410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411</v>
      </c>
      <c r="C8" s="176">
        <f>data!C268</f>
        <v>1203294</v>
      </c>
    </row>
    <row r="9" spans="1:3" ht="20.100000000000001" customHeight="1" x14ac:dyDescent="0.25">
      <c r="A9" s="174">
        <v>5</v>
      </c>
      <c r="B9" s="176" t="s">
        <v>889</v>
      </c>
      <c r="C9" s="176">
        <f>data!C269</f>
        <v>0</v>
      </c>
    </row>
    <row r="10" spans="1:3" ht="20.100000000000001" customHeight="1" x14ac:dyDescent="0.25">
      <c r="A10" s="174">
        <v>6</v>
      </c>
      <c r="B10" s="176" t="s">
        <v>890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891</v>
      </c>
      <c r="C11" s="176">
        <f>data!C271</f>
        <v>135973</v>
      </c>
    </row>
    <row r="12" spans="1:3" ht="20.100000000000001" customHeight="1" x14ac:dyDescent="0.25">
      <c r="A12" s="174">
        <v>8</v>
      </c>
      <c r="B12" s="176" t="s">
        <v>415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416</v>
      </c>
      <c r="C13" s="176">
        <f>data!C273</f>
        <v>109604</v>
      </c>
    </row>
    <row r="14" spans="1:3" ht="20.100000000000001" customHeight="1" x14ac:dyDescent="0.25">
      <c r="A14" s="174">
        <v>10</v>
      </c>
      <c r="B14" s="176" t="s">
        <v>417</v>
      </c>
      <c r="C14" s="176">
        <f>data!C274</f>
        <v>84565</v>
      </c>
    </row>
    <row r="15" spans="1:3" ht="20.100000000000001" customHeight="1" x14ac:dyDescent="0.25">
      <c r="A15" s="174">
        <v>11</v>
      </c>
      <c r="B15" s="176" t="s">
        <v>892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893</v>
      </c>
      <c r="C16" s="176">
        <f>data!D276</f>
        <v>7263570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894</v>
      </c>
      <c r="C18" s="175"/>
    </row>
    <row r="19" spans="1:3" ht="20.100000000000001" customHeight="1" x14ac:dyDescent="0.25">
      <c r="A19" s="174">
        <v>15</v>
      </c>
      <c r="B19" s="176" t="s">
        <v>409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410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421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895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896</v>
      </c>
      <c r="C24" s="175"/>
    </row>
    <row r="25" spans="1:3" ht="20.100000000000001" customHeight="1" x14ac:dyDescent="0.25">
      <c r="A25" s="174">
        <v>21</v>
      </c>
      <c r="B25" s="176" t="s">
        <v>378</v>
      </c>
      <c r="C25" s="176">
        <f>data!C283</f>
        <v>83983</v>
      </c>
    </row>
    <row r="26" spans="1:3" ht="20.100000000000001" customHeight="1" x14ac:dyDescent="0.25">
      <c r="A26" s="174">
        <v>22</v>
      </c>
      <c r="B26" s="176" t="s">
        <v>379</v>
      </c>
      <c r="C26" s="176">
        <f>data!C284</f>
        <v>234472</v>
      </c>
    </row>
    <row r="27" spans="1:3" ht="20.100000000000001" customHeight="1" x14ac:dyDescent="0.25">
      <c r="A27" s="174">
        <v>23</v>
      </c>
      <c r="B27" s="176" t="s">
        <v>380</v>
      </c>
      <c r="C27" s="176">
        <f>data!C285</f>
        <v>1527831</v>
      </c>
    </row>
    <row r="28" spans="1:3" ht="20.100000000000001" customHeight="1" x14ac:dyDescent="0.25">
      <c r="A28" s="174">
        <v>24</v>
      </c>
      <c r="B28" s="176" t="s">
        <v>897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382</v>
      </c>
      <c r="C29" s="176">
        <f>data!C287</f>
        <v>283418</v>
      </c>
    </row>
    <row r="30" spans="1:3" ht="20.100000000000001" customHeight="1" x14ac:dyDescent="0.25">
      <c r="A30" s="174">
        <v>26</v>
      </c>
      <c r="B30" s="176" t="s">
        <v>426</v>
      </c>
      <c r="C30" s="176">
        <f>data!C288</f>
        <v>3157507</v>
      </c>
    </row>
    <row r="31" spans="1:3" ht="20.100000000000001" customHeight="1" x14ac:dyDescent="0.25">
      <c r="A31" s="174">
        <v>27</v>
      </c>
      <c r="B31" s="176" t="s">
        <v>385</v>
      </c>
      <c r="C31" s="176">
        <f>data!C289</f>
        <v>172145</v>
      </c>
    </row>
    <row r="32" spans="1:3" ht="20.100000000000001" customHeight="1" x14ac:dyDescent="0.25">
      <c r="A32" s="174">
        <v>28</v>
      </c>
      <c r="B32" s="176" t="s">
        <v>386</v>
      </c>
      <c r="C32" s="176">
        <f>data!C290</f>
        <v>1949247</v>
      </c>
    </row>
    <row r="33" spans="1:3" ht="20.100000000000001" customHeight="1" x14ac:dyDescent="0.25">
      <c r="A33" s="174">
        <v>29</v>
      </c>
      <c r="B33" s="176" t="s">
        <v>599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898</v>
      </c>
      <c r="C34" s="176">
        <f>data!C292</f>
        <v>4578556</v>
      </c>
    </row>
    <row r="35" spans="1:3" ht="20.100000000000001" customHeight="1" x14ac:dyDescent="0.25">
      <c r="A35" s="174">
        <v>31</v>
      </c>
      <c r="B35" s="176" t="s">
        <v>899</v>
      </c>
      <c r="C35" s="176">
        <f>data!D293</f>
        <v>2830047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900</v>
      </c>
      <c r="C37" s="175"/>
    </row>
    <row r="38" spans="1:3" ht="20.100000000000001" customHeight="1" x14ac:dyDescent="0.25">
      <c r="A38" s="174">
        <v>34</v>
      </c>
      <c r="B38" s="176" t="s">
        <v>901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902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433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421</v>
      </c>
      <c r="C41" s="176">
        <f>data!C298</f>
        <v>0</v>
      </c>
    </row>
    <row r="42" spans="1:3" ht="20.100000000000001" customHeight="1" x14ac:dyDescent="0.25">
      <c r="A42" s="174">
        <v>38</v>
      </c>
      <c r="B42" s="176" t="s">
        <v>903</v>
      </c>
      <c r="C42" s="176">
        <f>data!D299</f>
        <v>0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904</v>
      </c>
      <c r="C44" s="175"/>
    </row>
    <row r="45" spans="1:3" ht="20.100000000000001" customHeight="1" x14ac:dyDescent="0.25">
      <c r="A45" s="174">
        <v>41</v>
      </c>
      <c r="B45" s="176" t="s">
        <v>436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437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905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439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906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907</v>
      </c>
      <c r="C50" s="176">
        <f>data!D308</f>
        <v>10093617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908</v>
      </c>
      <c r="B53" s="169"/>
      <c r="C53" s="169"/>
    </row>
    <row r="54" spans="1:3" ht="20.100000000000001" customHeight="1" x14ac:dyDescent="0.25">
      <c r="A54" s="168"/>
      <c r="B54" s="169"/>
      <c r="C54" s="94" t="s">
        <v>909</v>
      </c>
    </row>
    <row r="55" spans="1:3" ht="20.100000000000001" customHeight="1" x14ac:dyDescent="0.25">
      <c r="A55" s="120" t="str">
        <f>"Hospital: "&amp;data!C98</f>
        <v xml:space="preserve">Hospital: Garfield County Public Hospital District 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910</v>
      </c>
      <c r="C56" s="173"/>
    </row>
    <row r="57" spans="1:3" ht="20.100000000000001" customHeight="1" x14ac:dyDescent="0.25">
      <c r="A57" s="183">
        <v>1</v>
      </c>
      <c r="B57" s="168" t="s">
        <v>443</v>
      </c>
      <c r="C57" s="184"/>
    </row>
    <row r="58" spans="1:3" ht="20.100000000000001" customHeight="1" x14ac:dyDescent="0.25">
      <c r="A58" s="174">
        <v>2</v>
      </c>
      <c r="B58" s="176" t="s">
        <v>444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911</v>
      </c>
      <c r="C59" s="176">
        <f>data!C315</f>
        <v>361358</v>
      </c>
    </row>
    <row r="60" spans="1:3" ht="20.100000000000001" customHeight="1" x14ac:dyDescent="0.25">
      <c r="A60" s="174">
        <v>4</v>
      </c>
      <c r="B60" s="176" t="s">
        <v>912</v>
      </c>
      <c r="C60" s="176">
        <f>data!C316</f>
        <v>421887</v>
      </c>
    </row>
    <row r="61" spans="1:3" ht="20.100000000000001" customHeight="1" x14ac:dyDescent="0.25">
      <c r="A61" s="174">
        <v>5</v>
      </c>
      <c r="B61" s="176" t="s">
        <v>447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913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914</v>
      </c>
      <c r="C63" s="176">
        <f>data!C319</f>
        <v>0</v>
      </c>
    </row>
    <row r="64" spans="1:3" ht="20.100000000000001" customHeight="1" x14ac:dyDescent="0.25">
      <c r="A64" s="174">
        <v>8</v>
      </c>
      <c r="B64" s="176" t="s">
        <v>450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451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452</v>
      </c>
      <c r="C66" s="176">
        <f>data!C322</f>
        <v>583000</v>
      </c>
    </row>
    <row r="67" spans="1:3" ht="20.100000000000001" customHeight="1" x14ac:dyDescent="0.25">
      <c r="A67" s="174">
        <v>11</v>
      </c>
      <c r="B67" s="176" t="s">
        <v>915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916</v>
      </c>
      <c r="C68" s="176">
        <f>data!D324</f>
        <v>1366245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917</v>
      </c>
      <c r="C70" s="175"/>
    </row>
    <row r="71" spans="1:3" ht="20.100000000000001" customHeight="1" x14ac:dyDescent="0.25">
      <c r="A71" s="174">
        <v>15</v>
      </c>
      <c r="B71" s="176" t="s">
        <v>456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918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458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919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460</v>
      </c>
      <c r="C76" s="175"/>
    </row>
    <row r="77" spans="1:3" ht="20.100000000000001" customHeight="1" x14ac:dyDescent="0.25">
      <c r="A77" s="174">
        <v>21</v>
      </c>
      <c r="B77" s="176" t="s">
        <v>461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920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463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921</v>
      </c>
      <c r="C80" s="176">
        <f>data!C334</f>
        <v>11506</v>
      </c>
    </row>
    <row r="81" spans="1:3" ht="20.100000000000001" customHeight="1" x14ac:dyDescent="0.25">
      <c r="A81" s="174">
        <v>25</v>
      </c>
      <c r="B81" s="176" t="s">
        <v>465</v>
      </c>
      <c r="C81" s="176">
        <f>data!C335</f>
        <v>0</v>
      </c>
    </row>
    <row r="82" spans="1:3" ht="20.100000000000001" customHeight="1" x14ac:dyDescent="0.25">
      <c r="A82" s="174">
        <v>26</v>
      </c>
      <c r="B82" s="176" t="s">
        <v>922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467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468</v>
      </c>
      <c r="C84" s="176">
        <f>data!C338</f>
        <v>1388912</v>
      </c>
    </row>
    <row r="85" spans="1:3" ht="20.100000000000001" customHeight="1" x14ac:dyDescent="0.25">
      <c r="A85" s="174">
        <v>29</v>
      </c>
      <c r="B85" s="176" t="s">
        <v>599</v>
      </c>
      <c r="C85" s="176">
        <f>data!D339</f>
        <v>1400418</v>
      </c>
    </row>
    <row r="86" spans="1:3" ht="20.100000000000001" customHeight="1" x14ac:dyDescent="0.25">
      <c r="A86" s="174">
        <v>30</v>
      </c>
      <c r="B86" s="176" t="s">
        <v>923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924</v>
      </c>
      <c r="C87" s="176">
        <f>data!D341</f>
        <v>1400418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925</v>
      </c>
      <c r="C89" s="176">
        <f>data!C343</f>
        <v>7326954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926</v>
      </c>
      <c r="C91" s="175"/>
    </row>
    <row r="92" spans="1:3" ht="20.100000000000001" customHeight="1" x14ac:dyDescent="0.25">
      <c r="A92" s="174">
        <v>36</v>
      </c>
      <c r="B92" s="176" t="s">
        <v>472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473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927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928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929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930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931</v>
      </c>
      <c r="C102" s="176">
        <f>data!C343+data!C345+data!C346+data!C347+data!C348-data!C349</f>
        <v>7326954</v>
      </c>
    </row>
    <row r="103" spans="1:3" ht="20.100000000000001" customHeight="1" x14ac:dyDescent="0.25">
      <c r="A103" s="174">
        <v>47</v>
      </c>
      <c r="B103" s="176" t="s">
        <v>932</v>
      </c>
      <c r="C103" s="176">
        <f>data!D352</f>
        <v>10093617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933</v>
      </c>
      <c r="B106" s="169"/>
      <c r="C106" s="169"/>
    </row>
    <row r="107" spans="1:3" ht="20.100000000000001" customHeight="1" x14ac:dyDescent="0.25">
      <c r="A107" s="170"/>
      <c r="C107" s="94" t="s">
        <v>934</v>
      </c>
    </row>
    <row r="108" spans="1:3" ht="20.100000000000001" customHeight="1" x14ac:dyDescent="0.25">
      <c r="A108" s="120" t="str">
        <f>"Hospital: "&amp;data!C98</f>
        <v xml:space="preserve">Hospital: Garfield County Public Hospital District 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935</v>
      </c>
      <c r="C110" s="175"/>
    </row>
    <row r="111" spans="1:3" ht="20.100000000000001" customHeight="1" x14ac:dyDescent="0.25">
      <c r="A111" s="174">
        <v>2</v>
      </c>
      <c r="B111" s="176" t="s">
        <v>481</v>
      </c>
      <c r="C111" s="176">
        <f>data!C358</f>
        <v>2639458</v>
      </c>
    </row>
    <row r="112" spans="1:3" ht="20.100000000000001" customHeight="1" x14ac:dyDescent="0.25">
      <c r="A112" s="174">
        <v>3</v>
      </c>
      <c r="B112" s="176" t="s">
        <v>482</v>
      </c>
      <c r="C112" s="176">
        <f>data!C359</f>
        <v>6699613</v>
      </c>
    </row>
    <row r="113" spans="1:3" ht="20.100000000000001" customHeight="1" x14ac:dyDescent="0.25">
      <c r="A113" s="174">
        <v>4</v>
      </c>
      <c r="B113" s="176" t="s">
        <v>936</v>
      </c>
      <c r="C113" s="176">
        <f>data!D360</f>
        <v>9339071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937</v>
      </c>
      <c r="C115" s="175"/>
    </row>
    <row r="116" spans="1:3" ht="20.100000000000001" customHeight="1" x14ac:dyDescent="0.25">
      <c r="A116" s="174">
        <v>7</v>
      </c>
      <c r="B116" s="188" t="s">
        <v>938</v>
      </c>
      <c r="C116" s="189">
        <f>data!C362</f>
        <v>118614</v>
      </c>
    </row>
    <row r="117" spans="1:3" ht="20.100000000000001" customHeight="1" x14ac:dyDescent="0.25">
      <c r="A117" s="174">
        <v>8</v>
      </c>
      <c r="B117" s="176" t="s">
        <v>485</v>
      </c>
      <c r="C117" s="189">
        <f>data!C363</f>
        <v>-3026638</v>
      </c>
    </row>
    <row r="118" spans="1:3" ht="20.100000000000001" customHeight="1" x14ac:dyDescent="0.25">
      <c r="A118" s="174">
        <v>9</v>
      </c>
      <c r="B118" s="176" t="s">
        <v>939</v>
      </c>
      <c r="C118" s="189">
        <f>data!C364</f>
        <v>62843</v>
      </c>
    </row>
    <row r="119" spans="1:3" ht="20.100000000000001" customHeight="1" x14ac:dyDescent="0.25">
      <c r="A119" s="174">
        <v>10</v>
      </c>
      <c r="B119" s="176" t="s">
        <v>940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884</v>
      </c>
      <c r="C120" s="189">
        <f>data!D366</f>
        <v>-2845181</v>
      </c>
    </row>
    <row r="121" spans="1:3" ht="20.100000000000001" customHeight="1" x14ac:dyDescent="0.25">
      <c r="A121" s="174">
        <v>12</v>
      </c>
      <c r="B121" s="176" t="s">
        <v>941</v>
      </c>
      <c r="C121" s="189">
        <f>data!D367</f>
        <v>12184252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489</v>
      </c>
      <c r="C123" s="175"/>
    </row>
    <row r="124" spans="1:3" ht="20.100000000000001" customHeight="1" x14ac:dyDescent="0.25">
      <c r="A124" s="174">
        <v>15</v>
      </c>
      <c r="B124" s="190" t="s">
        <v>490</v>
      </c>
      <c r="C124" s="191"/>
    </row>
    <row r="125" spans="1:3" ht="20.100000000000001" customHeight="1" x14ac:dyDescent="0.25">
      <c r="A125" s="195" t="s">
        <v>942</v>
      </c>
      <c r="B125" s="192" t="s">
        <v>491</v>
      </c>
      <c r="C125" s="191">
        <f>data!C370</f>
        <v>0</v>
      </c>
    </row>
    <row r="126" spans="1:3" ht="20.100000000000001" customHeight="1" x14ac:dyDescent="0.25">
      <c r="A126" s="195" t="s">
        <v>943</v>
      </c>
      <c r="B126" s="192" t="s">
        <v>492</v>
      </c>
      <c r="C126" s="191">
        <f>data!C371</f>
        <v>215567</v>
      </c>
    </row>
    <row r="127" spans="1:3" ht="20.100000000000001" customHeight="1" x14ac:dyDescent="0.25">
      <c r="A127" s="195" t="s">
        <v>944</v>
      </c>
      <c r="B127" s="192" t="s">
        <v>493</v>
      </c>
      <c r="C127" s="191">
        <f>data!C372</f>
        <v>0</v>
      </c>
    </row>
    <row r="128" spans="1:3" ht="20.100000000000001" customHeight="1" x14ac:dyDescent="0.25">
      <c r="A128" s="195" t="s">
        <v>945</v>
      </c>
      <c r="B128" s="192" t="s">
        <v>494</v>
      </c>
      <c r="C128" s="191">
        <f>data!C373</f>
        <v>0</v>
      </c>
    </row>
    <row r="129" spans="1:3" ht="20.100000000000001" customHeight="1" x14ac:dyDescent="0.25">
      <c r="A129" s="195" t="s">
        <v>946</v>
      </c>
      <c r="B129" s="192" t="s">
        <v>495</v>
      </c>
      <c r="C129" s="191">
        <f>data!C374</f>
        <v>0</v>
      </c>
    </row>
    <row r="130" spans="1:3" ht="20.100000000000001" customHeight="1" x14ac:dyDescent="0.25">
      <c r="A130" s="195" t="s">
        <v>947</v>
      </c>
      <c r="B130" s="192" t="s">
        <v>496</v>
      </c>
      <c r="C130" s="191">
        <f>data!C375</f>
        <v>0</v>
      </c>
    </row>
    <row r="131" spans="1:3" ht="20.100000000000001" customHeight="1" x14ac:dyDescent="0.25">
      <c r="A131" s="195" t="s">
        <v>948</v>
      </c>
      <c r="B131" s="192" t="s">
        <v>497</v>
      </c>
      <c r="C131" s="191">
        <f>data!C376</f>
        <v>0</v>
      </c>
    </row>
    <row r="132" spans="1:3" ht="20.100000000000001" customHeight="1" x14ac:dyDescent="0.25">
      <c r="A132" s="195" t="s">
        <v>949</v>
      </c>
      <c r="B132" s="192" t="s">
        <v>498</v>
      </c>
      <c r="C132" s="191">
        <f>data!C377</f>
        <v>0</v>
      </c>
    </row>
    <row r="133" spans="1:3" ht="20.100000000000001" customHeight="1" x14ac:dyDescent="0.25">
      <c r="A133" s="195" t="s">
        <v>950</v>
      </c>
      <c r="B133" s="192" t="s">
        <v>499</v>
      </c>
      <c r="C133" s="191">
        <f>data!C378</f>
        <v>0</v>
      </c>
    </row>
    <row r="134" spans="1:3" ht="20.100000000000001" customHeight="1" x14ac:dyDescent="0.25">
      <c r="A134" s="195" t="s">
        <v>951</v>
      </c>
      <c r="B134" s="192" t="s">
        <v>500</v>
      </c>
      <c r="C134" s="191">
        <f>data!C379</f>
        <v>0</v>
      </c>
    </row>
    <row r="135" spans="1:3" ht="20.100000000000001" customHeight="1" x14ac:dyDescent="0.25">
      <c r="A135" s="195" t="s">
        <v>952</v>
      </c>
      <c r="B135" s="192" t="s">
        <v>501</v>
      </c>
      <c r="C135" s="191">
        <f>data!C380</f>
        <v>67716</v>
      </c>
    </row>
    <row r="136" spans="1:3" ht="20.100000000000001" customHeight="1" x14ac:dyDescent="0.25">
      <c r="A136" s="174">
        <v>16</v>
      </c>
      <c r="B136" s="176" t="s">
        <v>503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953</v>
      </c>
      <c r="C137" s="189">
        <f>data!D383</f>
        <v>283283</v>
      </c>
    </row>
    <row r="138" spans="1:3" ht="20.100000000000001" customHeight="1" x14ac:dyDescent="0.25">
      <c r="A138" s="174">
        <v>18</v>
      </c>
      <c r="B138" s="176" t="s">
        <v>954</v>
      </c>
      <c r="C138" s="189">
        <f>data!D384</f>
        <v>12467535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955</v>
      </c>
      <c r="C140" s="175"/>
    </row>
    <row r="141" spans="1:3" ht="20.100000000000001" customHeight="1" x14ac:dyDescent="0.25">
      <c r="A141" s="174">
        <v>21</v>
      </c>
      <c r="B141" s="176" t="s">
        <v>507</v>
      </c>
      <c r="C141" s="189">
        <f>data!C389</f>
        <v>6567039</v>
      </c>
    </row>
    <row r="142" spans="1:3" ht="20.100000000000001" customHeight="1" x14ac:dyDescent="0.25">
      <c r="A142" s="174">
        <v>22</v>
      </c>
      <c r="B142" s="176" t="s">
        <v>9</v>
      </c>
      <c r="C142" s="189">
        <f>data!C390</f>
        <v>1854948</v>
      </c>
    </row>
    <row r="143" spans="1:3" ht="20.100000000000001" customHeight="1" x14ac:dyDescent="0.25">
      <c r="A143" s="174">
        <v>23</v>
      </c>
      <c r="B143" s="176" t="s">
        <v>262</v>
      </c>
      <c r="C143" s="189">
        <f>data!C391</f>
        <v>2094891</v>
      </c>
    </row>
    <row r="144" spans="1:3" ht="20.100000000000001" customHeight="1" x14ac:dyDescent="0.25">
      <c r="A144" s="174">
        <v>24</v>
      </c>
      <c r="B144" s="176" t="s">
        <v>263</v>
      </c>
      <c r="C144" s="189">
        <f>data!C392</f>
        <v>936077</v>
      </c>
    </row>
    <row r="145" spans="1:3" ht="20.100000000000001" customHeight="1" x14ac:dyDescent="0.25">
      <c r="A145" s="174">
        <v>25</v>
      </c>
      <c r="B145" s="176" t="s">
        <v>956</v>
      </c>
      <c r="C145" s="189">
        <f>data!C393</f>
        <v>193897</v>
      </c>
    </row>
    <row r="146" spans="1:3" ht="20.100000000000001" customHeight="1" x14ac:dyDescent="0.25">
      <c r="A146" s="174">
        <v>26</v>
      </c>
      <c r="B146" s="176" t="s">
        <v>957</v>
      </c>
      <c r="C146" s="189">
        <f>data!C394</f>
        <v>311687</v>
      </c>
    </row>
    <row r="147" spans="1:3" ht="20.100000000000001" customHeight="1" x14ac:dyDescent="0.25">
      <c r="A147" s="174">
        <v>27</v>
      </c>
      <c r="B147" s="176" t="s">
        <v>14</v>
      </c>
      <c r="C147" s="189">
        <f>data!C395</f>
        <v>281086</v>
      </c>
    </row>
    <row r="148" spans="1:3" ht="20.100000000000001" customHeight="1" x14ac:dyDescent="0.25">
      <c r="A148" s="174">
        <v>28</v>
      </c>
      <c r="B148" s="176" t="s">
        <v>958</v>
      </c>
      <c r="C148" s="189">
        <f>data!C396</f>
        <v>66023</v>
      </c>
    </row>
    <row r="149" spans="1:3" ht="20.100000000000001" customHeight="1" x14ac:dyDescent="0.25">
      <c r="A149" s="174">
        <v>29</v>
      </c>
      <c r="B149" s="176" t="s">
        <v>512</v>
      </c>
      <c r="C149" s="189">
        <f>data!C397</f>
        <v>165605</v>
      </c>
    </row>
    <row r="150" spans="1:3" ht="20.100000000000001" customHeight="1" x14ac:dyDescent="0.25">
      <c r="A150" s="174">
        <v>30</v>
      </c>
      <c r="B150" s="176" t="s">
        <v>959</v>
      </c>
      <c r="C150" s="189">
        <f>data!C398</f>
        <v>53190</v>
      </c>
    </row>
    <row r="151" spans="1:3" ht="20.100000000000001" customHeight="1" x14ac:dyDescent="0.25">
      <c r="A151" s="174">
        <v>31</v>
      </c>
      <c r="B151" s="176" t="s">
        <v>514</v>
      </c>
      <c r="C151" s="189">
        <f>data!C399</f>
        <v>1784</v>
      </c>
    </row>
    <row r="152" spans="1:3" ht="20.100000000000001" customHeight="1" x14ac:dyDescent="0.25">
      <c r="A152" s="174">
        <v>32</v>
      </c>
      <c r="B152" s="176" t="s">
        <v>267</v>
      </c>
      <c r="C152" s="189"/>
    </row>
    <row r="153" spans="1:3" ht="20.100000000000001" customHeight="1" x14ac:dyDescent="0.25">
      <c r="A153" s="195" t="s">
        <v>960</v>
      </c>
      <c r="B153" s="193" t="s">
        <v>268</v>
      </c>
      <c r="C153" s="189">
        <f>data!C401</f>
        <v>0</v>
      </c>
    </row>
    <row r="154" spans="1:3" ht="20.100000000000001" customHeight="1" x14ac:dyDescent="0.25">
      <c r="A154" s="195" t="s">
        <v>961</v>
      </c>
      <c r="B154" s="193" t="s">
        <v>269</v>
      </c>
      <c r="C154" s="189">
        <f>data!C402</f>
        <v>0</v>
      </c>
    </row>
    <row r="155" spans="1:3" ht="20.100000000000001" customHeight="1" x14ac:dyDescent="0.25">
      <c r="A155" s="195" t="s">
        <v>962</v>
      </c>
      <c r="B155" s="193" t="s">
        <v>963</v>
      </c>
      <c r="C155" s="189">
        <f>data!C403</f>
        <v>0</v>
      </c>
    </row>
    <row r="156" spans="1:3" ht="20.100000000000001" customHeight="1" x14ac:dyDescent="0.25">
      <c r="A156" s="195" t="s">
        <v>964</v>
      </c>
      <c r="B156" s="193" t="s">
        <v>271</v>
      </c>
      <c r="C156" s="189">
        <f>data!C404</f>
        <v>0</v>
      </c>
    </row>
    <row r="157" spans="1:3" ht="20.100000000000001" customHeight="1" x14ac:dyDescent="0.25">
      <c r="A157" s="195" t="s">
        <v>965</v>
      </c>
      <c r="B157" s="193" t="s">
        <v>272</v>
      </c>
      <c r="C157" s="189">
        <f>data!C405</f>
        <v>0</v>
      </c>
    </row>
    <row r="158" spans="1:3" ht="20.100000000000001" customHeight="1" x14ac:dyDescent="0.25">
      <c r="A158" s="195" t="s">
        <v>966</v>
      </c>
      <c r="B158" s="193" t="s">
        <v>273</v>
      </c>
      <c r="C158" s="189">
        <f>data!C406</f>
        <v>0</v>
      </c>
    </row>
    <row r="159" spans="1:3" ht="20.100000000000001" customHeight="1" x14ac:dyDescent="0.25">
      <c r="A159" s="195" t="s">
        <v>967</v>
      </c>
      <c r="B159" s="193" t="s">
        <v>274</v>
      </c>
      <c r="C159" s="189">
        <f>data!C407</f>
        <v>0</v>
      </c>
    </row>
    <row r="160" spans="1:3" ht="20.100000000000001" customHeight="1" x14ac:dyDescent="0.25">
      <c r="A160" s="195" t="s">
        <v>968</v>
      </c>
      <c r="B160" s="193" t="s">
        <v>275</v>
      </c>
      <c r="C160" s="189">
        <f>data!C408</f>
        <v>105053</v>
      </c>
    </row>
    <row r="161" spans="1:3" ht="20.100000000000001" customHeight="1" x14ac:dyDescent="0.25">
      <c r="A161" s="195" t="s">
        <v>969</v>
      </c>
      <c r="B161" s="193" t="s">
        <v>276</v>
      </c>
      <c r="C161" s="189">
        <f>data!C409</f>
        <v>0</v>
      </c>
    </row>
    <row r="162" spans="1:3" ht="20.100000000000001" customHeight="1" x14ac:dyDescent="0.25">
      <c r="A162" s="195" t="s">
        <v>970</v>
      </c>
      <c r="B162" s="193" t="s">
        <v>277</v>
      </c>
      <c r="C162" s="189">
        <f>data!C410</f>
        <v>0</v>
      </c>
    </row>
    <row r="163" spans="1:3" ht="20.100000000000001" customHeight="1" x14ac:dyDescent="0.25">
      <c r="A163" s="195" t="s">
        <v>971</v>
      </c>
      <c r="B163" s="193" t="s">
        <v>278</v>
      </c>
      <c r="C163" s="189">
        <f>data!C411</f>
        <v>64617</v>
      </c>
    </row>
    <row r="164" spans="1:3" ht="20.100000000000001" customHeight="1" x14ac:dyDescent="0.25">
      <c r="A164" s="195" t="s">
        <v>972</v>
      </c>
      <c r="B164" s="193" t="s">
        <v>279</v>
      </c>
      <c r="C164" s="189">
        <f>data!C412</f>
        <v>0</v>
      </c>
    </row>
    <row r="165" spans="1:3" ht="20.100000000000001" customHeight="1" x14ac:dyDescent="0.25">
      <c r="A165" s="195" t="s">
        <v>973</v>
      </c>
      <c r="B165" s="193" t="s">
        <v>280</v>
      </c>
      <c r="C165" s="189">
        <f>data!C413</f>
        <v>0</v>
      </c>
    </row>
    <row r="166" spans="1:3" ht="20.100000000000001" customHeight="1" x14ac:dyDescent="0.25">
      <c r="A166" s="195" t="s">
        <v>974</v>
      </c>
      <c r="B166" s="193" t="s">
        <v>975</v>
      </c>
      <c r="C166" s="189">
        <f>data!C414</f>
        <v>333440</v>
      </c>
    </row>
    <row r="167" spans="1:3" ht="20.100000000000001" customHeight="1" x14ac:dyDescent="0.25">
      <c r="A167" s="174">
        <v>34</v>
      </c>
      <c r="B167" s="176" t="s">
        <v>976</v>
      </c>
      <c r="C167" s="189">
        <f>data!D416</f>
        <v>13029337</v>
      </c>
    </row>
    <row r="168" spans="1:3" ht="20.100000000000001" customHeight="1" x14ac:dyDescent="0.25">
      <c r="A168" s="174">
        <v>35</v>
      </c>
      <c r="B168" s="176" t="s">
        <v>977</v>
      </c>
      <c r="C168" s="189">
        <f>data!D417</f>
        <v>-561802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978</v>
      </c>
      <c r="C170" s="189">
        <f>data!D420</f>
        <v>913166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979</v>
      </c>
      <c r="C172" s="176">
        <f>data!D421</f>
        <v>351364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980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981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982</v>
      </c>
      <c r="C177" s="189">
        <f>data!D424</f>
        <v>351364</v>
      </c>
    </row>
    <row r="178" spans="1:3" ht="20.100000000000001" customHeight="1" x14ac:dyDescent="0.25">
      <c r="A178" s="179">
        <v>45</v>
      </c>
      <c r="B178" s="178" t="s">
        <v>983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22" zoomScale="65" workbookViewId="0">
      <selection activeCell="E46" sqref="E46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2" width="8.88671875" style="233" customWidth="1"/>
    <col min="13" max="16384" width="8.88671875" style="233"/>
  </cols>
  <sheetData>
    <row r="1" spans="1:9" ht="20.100000000000001" customHeight="1" x14ac:dyDescent="0.2">
      <c r="A1" s="231" t="s">
        <v>984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985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 xml:space="preserve">Hospital: Garfield County Public Hospital District 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234</v>
      </c>
      <c r="C5" s="239" t="s">
        <v>34</v>
      </c>
      <c r="D5" s="240" t="s">
        <v>35</v>
      </c>
      <c r="E5" s="240" t="s">
        <v>36</v>
      </c>
      <c r="F5" s="240" t="s">
        <v>37</v>
      </c>
      <c r="G5" s="240" t="s">
        <v>38</v>
      </c>
      <c r="H5" s="240" t="s">
        <v>39</v>
      </c>
      <c r="I5" s="240" t="s">
        <v>40</v>
      </c>
    </row>
    <row r="6" spans="1:9" ht="20.100000000000001" customHeight="1" x14ac:dyDescent="0.2">
      <c r="A6" s="241">
        <v>2</v>
      </c>
      <c r="B6" s="242" t="s">
        <v>986</v>
      </c>
      <c r="C6" s="243" t="s">
        <v>116</v>
      </c>
      <c r="D6" s="244" t="s">
        <v>987</v>
      </c>
      <c r="E6" s="244" t="s">
        <v>118</v>
      </c>
      <c r="F6" s="244" t="s">
        <v>119</v>
      </c>
      <c r="G6" s="244" t="s">
        <v>120</v>
      </c>
      <c r="H6" s="244" t="s">
        <v>121</v>
      </c>
      <c r="I6" s="244" t="s">
        <v>122</v>
      </c>
    </row>
    <row r="7" spans="1:9" ht="20.100000000000001" customHeight="1" x14ac:dyDescent="0.2">
      <c r="A7" s="241"/>
      <c r="B7" s="242"/>
      <c r="C7" s="244" t="s">
        <v>188</v>
      </c>
      <c r="D7" s="244" t="s">
        <v>988</v>
      </c>
      <c r="E7" s="244" t="s">
        <v>188</v>
      </c>
      <c r="F7" s="244" t="s">
        <v>989</v>
      </c>
      <c r="G7" s="244" t="s">
        <v>190</v>
      </c>
      <c r="H7" s="244" t="s">
        <v>188</v>
      </c>
      <c r="I7" s="244" t="s">
        <v>191</v>
      </c>
    </row>
    <row r="8" spans="1:9" ht="20.100000000000001" customHeight="1" x14ac:dyDescent="0.2">
      <c r="A8" s="230">
        <v>3</v>
      </c>
      <c r="B8" s="238" t="s">
        <v>990</v>
      </c>
      <c r="C8" s="240" t="s">
        <v>240</v>
      </c>
      <c r="D8" s="240" t="s">
        <v>240</v>
      </c>
      <c r="E8" s="240" t="s">
        <v>240</v>
      </c>
      <c r="F8" s="240" t="s">
        <v>240</v>
      </c>
      <c r="G8" s="240" t="s">
        <v>240</v>
      </c>
      <c r="H8" s="240" t="s">
        <v>240</v>
      </c>
      <c r="I8" s="240" t="s">
        <v>240</v>
      </c>
    </row>
    <row r="9" spans="1:9" ht="20.100000000000001" customHeight="1" x14ac:dyDescent="0.2">
      <c r="A9" s="230">
        <v>4</v>
      </c>
      <c r="B9" s="238" t="s">
        <v>259</v>
      </c>
      <c r="C9" s="238">
        <f>data!C59</f>
        <v>0</v>
      </c>
      <c r="D9" s="238">
        <f>data!D59</f>
        <v>0</v>
      </c>
      <c r="E9" s="238">
        <f>data!E59</f>
        <v>138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260</v>
      </c>
      <c r="C10" s="245">
        <f>data!C60</f>
        <v>0</v>
      </c>
      <c r="D10" s="245">
        <f>data!D60</f>
        <v>0</v>
      </c>
      <c r="E10" s="245">
        <f>data!E60</f>
        <v>0.75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261</v>
      </c>
      <c r="C11" s="238">
        <f>data!C61</f>
        <v>0</v>
      </c>
      <c r="D11" s="238">
        <f>data!D61</f>
        <v>0</v>
      </c>
      <c r="E11" s="238">
        <f>data!E61</f>
        <v>54927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9</v>
      </c>
      <c r="C12" s="238">
        <f>data!C62</f>
        <v>0</v>
      </c>
      <c r="D12" s="238">
        <f>data!D62</f>
        <v>0</v>
      </c>
      <c r="E12" s="238">
        <f>data!E62</f>
        <v>15516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262</v>
      </c>
      <c r="C13" s="238">
        <f>data!C63</f>
        <v>0</v>
      </c>
      <c r="D13" s="238">
        <f>data!D63</f>
        <v>0</v>
      </c>
      <c r="E13" s="238">
        <f>data!E63</f>
        <v>20823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263</v>
      </c>
      <c r="C14" s="238">
        <f>data!C64</f>
        <v>0</v>
      </c>
      <c r="D14" s="238">
        <f>data!D64</f>
        <v>0</v>
      </c>
      <c r="E14" s="238">
        <f>data!E64</f>
        <v>3128</v>
      </c>
      <c r="F14" s="238">
        <f>data!F64</f>
        <v>0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509</v>
      </c>
      <c r="C15" s="238">
        <f>data!C65</f>
        <v>0</v>
      </c>
      <c r="D15" s="238">
        <f>data!D65</f>
        <v>0</v>
      </c>
      <c r="E15" s="238">
        <f>data!E65</f>
        <v>144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510</v>
      </c>
      <c r="C16" s="238">
        <f>data!C66</f>
        <v>0</v>
      </c>
      <c r="D16" s="238">
        <f>data!D66</f>
        <v>0</v>
      </c>
      <c r="E16" s="238">
        <f>data!E66</f>
        <v>1696</v>
      </c>
      <c r="F16" s="238">
        <f>data!F66</f>
        <v>0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14</v>
      </c>
      <c r="C17" s="238">
        <f>data!C67</f>
        <v>0</v>
      </c>
      <c r="D17" s="238">
        <f>data!D67</f>
        <v>0</v>
      </c>
      <c r="E17" s="238">
        <f>data!E67</f>
        <v>2967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991</v>
      </c>
      <c r="C18" s="238">
        <f>data!C68</f>
        <v>0</v>
      </c>
      <c r="D18" s="238">
        <f>data!D68</f>
        <v>0</v>
      </c>
      <c r="E18" s="238">
        <f>data!E68</f>
        <v>545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992</v>
      </c>
      <c r="C19" s="238">
        <f>data!C69</f>
        <v>0</v>
      </c>
      <c r="D19" s="238">
        <f>data!D69</f>
        <v>0</v>
      </c>
      <c r="E19" s="238">
        <f>data!E69</f>
        <v>1068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282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993</v>
      </c>
      <c r="C21" s="238">
        <f>data!C85</f>
        <v>0</v>
      </c>
      <c r="D21" s="238">
        <f>data!D85</f>
        <v>0</v>
      </c>
      <c r="E21" s="238">
        <f>data!E85</f>
        <v>100814</v>
      </c>
      <c r="F21" s="238">
        <f>data!F85</f>
        <v>0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284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994</v>
      </c>
      <c r="C23" s="246">
        <f>+data!M668</f>
        <v>0</v>
      </c>
      <c r="D23" s="246">
        <f>+data!M669</f>
        <v>0</v>
      </c>
      <c r="E23" s="246">
        <f>+data!M670</f>
        <v>77754</v>
      </c>
      <c r="F23" s="246">
        <f>+data!M671</f>
        <v>0</v>
      </c>
      <c r="G23" s="246">
        <f>+data!M672</f>
        <v>0</v>
      </c>
      <c r="H23" s="246">
        <f>+data!M673</f>
        <v>0</v>
      </c>
      <c r="I23" s="246">
        <f>+data!M674</f>
        <v>0</v>
      </c>
    </row>
    <row r="24" spans="1:9" ht="20.100000000000001" customHeight="1" x14ac:dyDescent="0.2">
      <c r="A24" s="230">
        <v>19</v>
      </c>
      <c r="B24" s="246" t="s">
        <v>995</v>
      </c>
      <c r="C24" s="238">
        <f>data!C87</f>
        <v>0</v>
      </c>
      <c r="D24" s="238">
        <f>data!D87</f>
        <v>0</v>
      </c>
      <c r="E24" s="238">
        <f>data!E87</f>
        <v>254781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996</v>
      </c>
      <c r="C25" s="238">
        <f>data!C88</f>
        <v>0</v>
      </c>
      <c r="D25" s="238">
        <f>data!D88</f>
        <v>0</v>
      </c>
      <c r="E25" s="238">
        <f>data!E88</f>
        <v>10425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997</v>
      </c>
      <c r="C26" s="238">
        <f>data!C89</f>
        <v>0</v>
      </c>
      <c r="D26" s="238">
        <f>data!D89</f>
        <v>0</v>
      </c>
      <c r="E26" s="238">
        <f>data!E89</f>
        <v>265206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998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999</v>
      </c>
      <c r="C28" s="238">
        <f>data!C90</f>
        <v>0</v>
      </c>
      <c r="D28" s="238">
        <f>data!D90</f>
        <v>0</v>
      </c>
      <c r="E28" s="238">
        <f>data!E90</f>
        <v>222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1000</v>
      </c>
      <c r="C29" s="238">
        <f>data!C91</f>
        <v>0</v>
      </c>
      <c r="D29" s="238">
        <f>data!D91</f>
        <v>0</v>
      </c>
      <c r="E29" s="238">
        <f>data!E91</f>
        <v>423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1001</v>
      </c>
      <c r="C30" s="238">
        <f>data!C92</f>
        <v>0</v>
      </c>
      <c r="D30" s="238">
        <f>data!D92</f>
        <v>0</v>
      </c>
      <c r="E30" s="238">
        <f>data!E92</f>
        <v>61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1002</v>
      </c>
      <c r="C31" s="238">
        <f>data!C93</f>
        <v>0</v>
      </c>
      <c r="D31" s="238">
        <f>data!D93</f>
        <v>0</v>
      </c>
      <c r="E31" s="238">
        <f>data!E93</f>
        <v>138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292</v>
      </c>
      <c r="C32" s="245">
        <f>data!C94</f>
        <v>0</v>
      </c>
      <c r="D32" s="245">
        <f>data!D94</f>
        <v>0</v>
      </c>
      <c r="E32" s="245">
        <f>data!E94</f>
        <v>0.7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984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1003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 xml:space="preserve">Hospital: Garfield County Public Hospital District 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234</v>
      </c>
      <c r="C37" s="240" t="s">
        <v>41</v>
      </c>
      <c r="D37" s="240" t="s">
        <v>42</v>
      </c>
      <c r="E37" s="240" t="s">
        <v>43</v>
      </c>
      <c r="F37" s="240" t="s">
        <v>44</v>
      </c>
      <c r="G37" s="240" t="s">
        <v>45</v>
      </c>
      <c r="H37" s="240" t="s">
        <v>46</v>
      </c>
      <c r="I37" s="240" t="s">
        <v>47</v>
      </c>
    </row>
    <row r="38" spans="1:9" ht="20.100000000000001" customHeight="1" x14ac:dyDescent="0.2">
      <c r="A38" s="241">
        <v>2</v>
      </c>
      <c r="B38" s="242" t="s">
        <v>986</v>
      </c>
      <c r="C38" s="244"/>
      <c r="D38" s="244" t="s">
        <v>124</v>
      </c>
      <c r="E38" s="244" t="s">
        <v>125</v>
      </c>
      <c r="F38" s="244" t="s">
        <v>1004</v>
      </c>
      <c r="G38" s="244" t="s">
        <v>127</v>
      </c>
      <c r="H38" s="244" t="s">
        <v>1005</v>
      </c>
      <c r="I38" s="244" t="s">
        <v>129</v>
      </c>
    </row>
    <row r="39" spans="1:9" ht="20.100000000000001" customHeight="1" x14ac:dyDescent="0.2">
      <c r="A39" s="241"/>
      <c r="B39" s="242"/>
      <c r="C39" s="244" t="s">
        <v>123</v>
      </c>
      <c r="D39" s="244" t="s">
        <v>182</v>
      </c>
      <c r="E39" s="243" t="s">
        <v>192</v>
      </c>
      <c r="F39" s="244" t="s">
        <v>193</v>
      </c>
      <c r="G39" s="244" t="s">
        <v>194</v>
      </c>
      <c r="H39" s="244" t="s">
        <v>195</v>
      </c>
      <c r="I39" s="244" t="s">
        <v>194</v>
      </c>
    </row>
    <row r="40" spans="1:9" ht="20.100000000000001" customHeight="1" x14ac:dyDescent="0.2">
      <c r="A40" s="230">
        <v>3</v>
      </c>
      <c r="B40" s="238" t="s">
        <v>990</v>
      </c>
      <c r="C40" s="240" t="s">
        <v>241</v>
      </c>
      <c r="D40" s="240" t="s">
        <v>240</v>
      </c>
      <c r="E40" s="240" t="s">
        <v>240</v>
      </c>
      <c r="F40" s="240" t="s">
        <v>240</v>
      </c>
      <c r="G40" s="240" t="s">
        <v>240</v>
      </c>
      <c r="H40" s="240" t="s">
        <v>242</v>
      </c>
      <c r="I40" s="239" t="s">
        <v>243</v>
      </c>
    </row>
    <row r="41" spans="1:9" ht="20.100000000000001" customHeight="1" x14ac:dyDescent="0.2">
      <c r="A41" s="230">
        <v>4</v>
      </c>
      <c r="B41" s="238" t="s">
        <v>259</v>
      </c>
      <c r="C41" s="238">
        <f>data!J59</f>
        <v>0</v>
      </c>
      <c r="D41" s="238">
        <f>data!K59</f>
        <v>0</v>
      </c>
      <c r="E41" s="238">
        <f>data!L59</f>
        <v>6055</v>
      </c>
      <c r="F41" s="238">
        <f>data!M59</f>
        <v>0</v>
      </c>
      <c r="G41" s="238">
        <f>data!N59</f>
        <v>0</v>
      </c>
      <c r="H41" s="238">
        <f>data!O59</f>
        <v>0</v>
      </c>
      <c r="I41" s="238">
        <f>data!P59</f>
        <v>0</v>
      </c>
    </row>
    <row r="42" spans="1:9" ht="20.100000000000001" customHeight="1" x14ac:dyDescent="0.2">
      <c r="A42" s="230">
        <v>5</v>
      </c>
      <c r="B42" s="238" t="s">
        <v>260</v>
      </c>
      <c r="C42" s="245">
        <f>data!J60</f>
        <v>0</v>
      </c>
      <c r="D42" s="245">
        <f>data!K60</f>
        <v>0</v>
      </c>
      <c r="E42" s="245">
        <f>data!L60</f>
        <v>32.76</v>
      </c>
      <c r="F42" s="245">
        <f>data!M60</f>
        <v>0</v>
      </c>
      <c r="G42" s="245">
        <f>data!N60</f>
        <v>0</v>
      </c>
      <c r="H42" s="245">
        <f>data!O60</f>
        <v>0</v>
      </c>
      <c r="I42" s="245">
        <f>data!P60</f>
        <v>0</v>
      </c>
    </row>
    <row r="43" spans="1:9" ht="20.100000000000001" customHeight="1" x14ac:dyDescent="0.2">
      <c r="A43" s="230">
        <v>6</v>
      </c>
      <c r="B43" s="238" t="s">
        <v>261</v>
      </c>
      <c r="C43" s="238">
        <f>data!J61</f>
        <v>0</v>
      </c>
      <c r="D43" s="238">
        <f>data!K61</f>
        <v>0</v>
      </c>
      <c r="E43" s="238">
        <f>data!L61</f>
        <v>2410011</v>
      </c>
      <c r="F43" s="238">
        <f>data!M61</f>
        <v>0</v>
      </c>
      <c r="G43" s="238">
        <f>data!N61</f>
        <v>0</v>
      </c>
      <c r="H43" s="238">
        <f>data!O61</f>
        <v>0</v>
      </c>
      <c r="I43" s="238">
        <f>data!P61</f>
        <v>0</v>
      </c>
    </row>
    <row r="44" spans="1:9" ht="20.100000000000001" customHeight="1" x14ac:dyDescent="0.2">
      <c r="A44" s="230">
        <v>7</v>
      </c>
      <c r="B44" s="238" t="s">
        <v>9</v>
      </c>
      <c r="C44" s="238">
        <f>data!J62</f>
        <v>0</v>
      </c>
      <c r="D44" s="238">
        <f>data!K62</f>
        <v>0</v>
      </c>
      <c r="E44" s="238">
        <f>data!L62</f>
        <v>680770</v>
      </c>
      <c r="F44" s="238">
        <f>data!M62</f>
        <v>0</v>
      </c>
      <c r="G44" s="238">
        <f>data!N62</f>
        <v>0</v>
      </c>
      <c r="H44" s="238">
        <f>data!O62</f>
        <v>0</v>
      </c>
      <c r="I44" s="238">
        <f>data!P62</f>
        <v>0</v>
      </c>
    </row>
    <row r="45" spans="1:9" ht="20.100000000000001" customHeight="1" x14ac:dyDescent="0.2">
      <c r="A45" s="230">
        <v>8</v>
      </c>
      <c r="B45" s="238" t="s">
        <v>262</v>
      </c>
      <c r="C45" s="238">
        <f>data!J63</f>
        <v>0</v>
      </c>
      <c r="D45" s="238">
        <f>data!K63</f>
        <v>0</v>
      </c>
      <c r="E45" s="238">
        <f>data!L63</f>
        <v>913629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0</v>
      </c>
    </row>
    <row r="46" spans="1:9" ht="20.100000000000001" customHeight="1" x14ac:dyDescent="0.2">
      <c r="A46" s="230">
        <v>9</v>
      </c>
      <c r="B46" s="238" t="s">
        <v>263</v>
      </c>
      <c r="C46" s="238">
        <f>data!J64</f>
        <v>0</v>
      </c>
      <c r="D46" s="238">
        <f>data!K64</f>
        <v>0</v>
      </c>
      <c r="E46" s="238">
        <f>data!L64</f>
        <v>137230</v>
      </c>
      <c r="F46" s="238">
        <f>data!M64</f>
        <v>0</v>
      </c>
      <c r="G46" s="238">
        <f>data!N64</f>
        <v>0</v>
      </c>
      <c r="H46" s="238">
        <f>data!O64</f>
        <v>0</v>
      </c>
      <c r="I46" s="238">
        <f>data!P64</f>
        <v>0</v>
      </c>
    </row>
    <row r="47" spans="1:9" ht="20.100000000000001" customHeight="1" x14ac:dyDescent="0.2">
      <c r="A47" s="230">
        <v>10</v>
      </c>
      <c r="B47" s="238" t="s">
        <v>509</v>
      </c>
      <c r="C47" s="238">
        <f>data!J65</f>
        <v>0</v>
      </c>
      <c r="D47" s="238">
        <f>data!K65</f>
        <v>0</v>
      </c>
      <c r="E47" s="238">
        <f>data!L65</f>
        <v>6340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510</v>
      </c>
      <c r="C48" s="238">
        <f>data!J66</f>
        <v>0</v>
      </c>
      <c r="D48" s="238">
        <f>data!K66</f>
        <v>0</v>
      </c>
      <c r="E48" s="238">
        <f>data!L66</f>
        <v>74397</v>
      </c>
      <c r="F48" s="238">
        <f>data!M66</f>
        <v>0</v>
      </c>
      <c r="G48" s="238">
        <f>data!N66</f>
        <v>0</v>
      </c>
      <c r="H48" s="238">
        <f>data!O66</f>
        <v>0</v>
      </c>
      <c r="I48" s="238">
        <f>data!P66</f>
        <v>0</v>
      </c>
    </row>
    <row r="49" spans="1:11" ht="20.100000000000001" customHeight="1" x14ac:dyDescent="0.2">
      <c r="A49" s="230">
        <v>12</v>
      </c>
      <c r="B49" s="238" t="s">
        <v>14</v>
      </c>
      <c r="C49" s="238">
        <f>data!J67</f>
        <v>0</v>
      </c>
      <c r="D49" s="238">
        <f>data!K67</f>
        <v>0</v>
      </c>
      <c r="E49" s="238">
        <f>data!L67</f>
        <v>129963</v>
      </c>
      <c r="F49" s="238">
        <f>data!M67</f>
        <v>0</v>
      </c>
      <c r="G49" s="238">
        <f>data!N67</f>
        <v>0</v>
      </c>
      <c r="H49" s="238">
        <f>data!O67</f>
        <v>0</v>
      </c>
      <c r="I49" s="238">
        <f>data!P67</f>
        <v>0</v>
      </c>
    </row>
    <row r="50" spans="1:11" ht="20.100000000000001" customHeight="1" x14ac:dyDescent="0.2">
      <c r="A50" s="230">
        <v>13</v>
      </c>
      <c r="B50" s="238" t="s">
        <v>991</v>
      </c>
      <c r="C50" s="238">
        <f>data!J68</f>
        <v>0</v>
      </c>
      <c r="D50" s="238">
        <f>data!K68</f>
        <v>0</v>
      </c>
      <c r="E50" s="238">
        <f>data!L68</f>
        <v>23902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0</v>
      </c>
    </row>
    <row r="51" spans="1:11" ht="20.100000000000001" customHeight="1" x14ac:dyDescent="0.2">
      <c r="A51" s="230">
        <v>14</v>
      </c>
      <c r="B51" s="238" t="s">
        <v>992</v>
      </c>
      <c r="C51" s="238">
        <f>data!J69</f>
        <v>0</v>
      </c>
      <c r="D51" s="238">
        <f>data!K69</f>
        <v>0</v>
      </c>
      <c r="E51" s="238">
        <f>data!L69</f>
        <v>46853</v>
      </c>
      <c r="F51" s="238">
        <f>data!M69</f>
        <v>0</v>
      </c>
      <c r="G51" s="238">
        <f>data!N69</f>
        <v>0</v>
      </c>
      <c r="H51" s="238">
        <f>data!O69</f>
        <v>0</v>
      </c>
      <c r="I51" s="238">
        <f>data!P69</f>
        <v>0</v>
      </c>
    </row>
    <row r="52" spans="1:11" ht="20.100000000000001" customHeight="1" x14ac:dyDescent="0.2">
      <c r="A52" s="230">
        <v>15</v>
      </c>
      <c r="B52" s="238" t="s">
        <v>282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993</v>
      </c>
      <c r="C53" s="238">
        <f>data!J85</f>
        <v>0</v>
      </c>
      <c r="D53" s="238">
        <f>data!K85</f>
        <v>0</v>
      </c>
      <c r="E53" s="238">
        <f>data!L85</f>
        <v>4423095</v>
      </c>
      <c r="F53" s="238">
        <f>data!M85</f>
        <v>0</v>
      </c>
      <c r="G53" s="238">
        <f>data!N85</f>
        <v>0</v>
      </c>
      <c r="H53" s="238">
        <f>data!O85</f>
        <v>0</v>
      </c>
      <c r="I53" s="238">
        <f>data!P85</f>
        <v>0</v>
      </c>
    </row>
    <row r="54" spans="1:11" ht="20.100000000000001" customHeight="1" x14ac:dyDescent="0.2">
      <c r="A54" s="230">
        <v>17</v>
      </c>
      <c r="B54" s="238" t="s">
        <v>284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994</v>
      </c>
      <c r="C55" s="246">
        <f>+data!M675</f>
        <v>0</v>
      </c>
      <c r="D55" s="246">
        <f>+data!M676</f>
        <v>0</v>
      </c>
      <c r="E55" s="246">
        <f>+data!M677</f>
        <v>2306463</v>
      </c>
      <c r="F55" s="246">
        <f>+data!M678</f>
        <v>0</v>
      </c>
      <c r="G55" s="246">
        <v>0</v>
      </c>
      <c r="H55" s="246">
        <f>+data!M680</f>
        <v>0</v>
      </c>
      <c r="I55" s="246">
        <f>+data!M681</f>
        <v>0</v>
      </c>
    </row>
    <row r="56" spans="1:11" ht="20.100000000000001" customHeight="1" x14ac:dyDescent="0.2">
      <c r="A56" s="230">
        <v>19</v>
      </c>
      <c r="B56" s="246" t="s">
        <v>995</v>
      </c>
      <c r="C56" s="238">
        <f>data!J87</f>
        <v>0</v>
      </c>
      <c r="D56" s="238">
        <f>data!K87</f>
        <v>0</v>
      </c>
      <c r="E56" s="238">
        <f>data!L87</f>
        <v>1492453</v>
      </c>
      <c r="F56" s="238">
        <f>data!M87</f>
        <v>0</v>
      </c>
      <c r="G56" s="238">
        <f>data!N87</f>
        <v>0</v>
      </c>
      <c r="H56" s="238">
        <f>data!O87</f>
        <v>0</v>
      </c>
      <c r="I56" s="238">
        <f>data!P87</f>
        <v>0</v>
      </c>
    </row>
    <row r="57" spans="1:11" ht="20.100000000000001" customHeight="1" x14ac:dyDescent="0.2">
      <c r="A57" s="230">
        <v>20</v>
      </c>
      <c r="B57" s="246" t="s">
        <v>996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0</v>
      </c>
      <c r="I57" s="238">
        <f>data!P88</f>
        <v>0</v>
      </c>
    </row>
    <row r="58" spans="1:11" ht="20.100000000000001" customHeight="1" x14ac:dyDescent="0.2">
      <c r="A58" s="230">
        <v>21</v>
      </c>
      <c r="B58" s="246" t="s">
        <v>997</v>
      </c>
      <c r="C58" s="238">
        <f>data!J89</f>
        <v>0</v>
      </c>
      <c r="D58" s="238">
        <f>data!K89</f>
        <v>0</v>
      </c>
      <c r="E58" s="238">
        <f>data!L89</f>
        <v>1492453</v>
      </c>
      <c r="F58" s="238">
        <f>data!M89</f>
        <v>0</v>
      </c>
      <c r="G58" s="238">
        <f>data!N89</f>
        <v>0</v>
      </c>
      <c r="H58" s="238">
        <f>data!O89</f>
        <v>0</v>
      </c>
      <c r="I58" s="238">
        <f>data!P89</f>
        <v>0</v>
      </c>
    </row>
    <row r="59" spans="1:11" ht="20.100000000000001" customHeight="1" x14ac:dyDescent="0.2">
      <c r="A59" s="230" t="s">
        <v>998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999</v>
      </c>
      <c r="C60" s="238">
        <f>data!J90</f>
        <v>0</v>
      </c>
      <c r="D60" s="238">
        <f>data!K90</f>
        <v>0</v>
      </c>
      <c r="E60" s="238">
        <f>data!L90</f>
        <v>9723</v>
      </c>
      <c r="F60" s="238">
        <f>data!M90</f>
        <v>0</v>
      </c>
      <c r="G60" s="238">
        <f>data!N90</f>
        <v>0</v>
      </c>
      <c r="H60" s="238">
        <f>data!O90</f>
        <v>0</v>
      </c>
      <c r="I60" s="238">
        <f>data!P90</f>
        <v>0</v>
      </c>
      <c r="K60" s="249"/>
    </row>
    <row r="61" spans="1:11" ht="20.100000000000001" customHeight="1" x14ac:dyDescent="0.2">
      <c r="A61" s="230">
        <v>23</v>
      </c>
      <c r="B61" s="238" t="s">
        <v>1000</v>
      </c>
      <c r="C61" s="238">
        <f>data!J91</f>
        <v>0</v>
      </c>
      <c r="D61" s="238">
        <f>data!K91</f>
        <v>0</v>
      </c>
      <c r="E61" s="238">
        <f>data!L91</f>
        <v>18562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1001</v>
      </c>
      <c r="C62" s="238">
        <f>data!J92</f>
        <v>0</v>
      </c>
      <c r="D62" s="238">
        <f>data!K92</f>
        <v>0</v>
      </c>
      <c r="E62" s="238">
        <f>data!L92</f>
        <v>2682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0</v>
      </c>
    </row>
    <row r="63" spans="1:11" ht="20.100000000000001" customHeight="1" x14ac:dyDescent="0.2">
      <c r="A63" s="230">
        <v>25</v>
      </c>
      <c r="B63" s="238" t="s">
        <v>1002</v>
      </c>
      <c r="C63" s="238">
        <f>data!J93</f>
        <v>0</v>
      </c>
      <c r="D63" s="238">
        <f>data!K93</f>
        <v>0</v>
      </c>
      <c r="E63" s="238">
        <f>data!L93</f>
        <v>6055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292</v>
      </c>
      <c r="C64" s="245">
        <f>data!J94</f>
        <v>0</v>
      </c>
      <c r="D64" s="245">
        <f>data!K94</f>
        <v>0</v>
      </c>
      <c r="E64" s="245">
        <f>data!L94</f>
        <v>30.84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0</v>
      </c>
    </row>
    <row r="65" spans="1:9" ht="20.100000000000001" customHeight="1" x14ac:dyDescent="0.2">
      <c r="A65" s="231" t="s">
        <v>984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1006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 xml:space="preserve">Hospital: Garfield County Public Hospital District 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234</v>
      </c>
      <c r="C69" s="240" t="s">
        <v>48</v>
      </c>
      <c r="D69" s="240" t="s">
        <v>49</v>
      </c>
      <c r="E69" s="240" t="s">
        <v>50</v>
      </c>
      <c r="F69" s="240" t="s">
        <v>51</v>
      </c>
      <c r="G69" s="240" t="s">
        <v>52</v>
      </c>
      <c r="H69" s="240" t="s">
        <v>53</v>
      </c>
      <c r="I69" s="240" t="s">
        <v>54</v>
      </c>
    </row>
    <row r="70" spans="1:9" ht="20.100000000000001" customHeight="1" x14ac:dyDescent="0.2">
      <c r="A70" s="241">
        <v>2</v>
      </c>
      <c r="B70" s="242" t="s">
        <v>986</v>
      </c>
      <c r="C70" s="244" t="s">
        <v>130</v>
      </c>
      <c r="D70" s="244"/>
      <c r="E70" s="244" t="s">
        <v>132</v>
      </c>
      <c r="F70" s="244" t="s">
        <v>133</v>
      </c>
      <c r="G70" s="244"/>
      <c r="H70" s="244" t="s">
        <v>135</v>
      </c>
      <c r="I70" s="244" t="s">
        <v>136</v>
      </c>
    </row>
    <row r="71" spans="1:9" ht="20.100000000000001" customHeight="1" x14ac:dyDescent="0.2">
      <c r="A71" s="241"/>
      <c r="B71" s="242"/>
      <c r="C71" s="244" t="s">
        <v>196</v>
      </c>
      <c r="D71" s="244" t="s">
        <v>1007</v>
      </c>
      <c r="E71" s="244" t="s">
        <v>194</v>
      </c>
      <c r="F71" s="244" t="s">
        <v>197</v>
      </c>
      <c r="G71" s="244" t="s">
        <v>134</v>
      </c>
      <c r="H71" s="244" t="s">
        <v>198</v>
      </c>
      <c r="I71" s="244" t="s">
        <v>199</v>
      </c>
    </row>
    <row r="72" spans="1:9" ht="20.100000000000001" customHeight="1" x14ac:dyDescent="0.2">
      <c r="A72" s="230">
        <v>3</v>
      </c>
      <c r="B72" s="238" t="s">
        <v>990</v>
      </c>
      <c r="C72" s="240" t="s">
        <v>1008</v>
      </c>
      <c r="D72" s="239" t="s">
        <v>1009</v>
      </c>
      <c r="E72" s="250"/>
      <c r="F72" s="250"/>
      <c r="G72" s="239" t="s">
        <v>1010</v>
      </c>
      <c r="H72" s="239" t="s">
        <v>1010</v>
      </c>
      <c r="I72" s="240" t="s">
        <v>248</v>
      </c>
    </row>
    <row r="73" spans="1:9" ht="20.100000000000001" customHeight="1" x14ac:dyDescent="0.2">
      <c r="A73" s="230">
        <v>4</v>
      </c>
      <c r="B73" s="238" t="s">
        <v>259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3483</v>
      </c>
      <c r="H73" s="238">
        <f>data!V59</f>
        <v>295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260</v>
      </c>
      <c r="C74" s="245">
        <f>data!Q60</f>
        <v>0</v>
      </c>
      <c r="D74" s="245">
        <f>data!R60</f>
        <v>0</v>
      </c>
      <c r="E74" s="245">
        <f>data!S60</f>
        <v>0.84</v>
      </c>
      <c r="F74" s="245">
        <f>data!T60</f>
        <v>0</v>
      </c>
      <c r="G74" s="245">
        <f>data!U60</f>
        <v>5.84</v>
      </c>
      <c r="H74" s="245">
        <f>data!V60</f>
        <v>0.03</v>
      </c>
      <c r="I74" s="245">
        <f>data!W60</f>
        <v>0</v>
      </c>
    </row>
    <row r="75" spans="1:9" ht="20.100000000000001" customHeight="1" x14ac:dyDescent="0.2">
      <c r="A75" s="230">
        <v>6</v>
      </c>
      <c r="B75" s="238" t="s">
        <v>261</v>
      </c>
      <c r="C75" s="238">
        <f>data!Q61</f>
        <v>0</v>
      </c>
      <c r="D75" s="238">
        <f>data!R61</f>
        <v>0</v>
      </c>
      <c r="E75" s="238">
        <f>data!S61</f>
        <v>55623</v>
      </c>
      <c r="F75" s="238">
        <f>data!T61</f>
        <v>0</v>
      </c>
      <c r="G75" s="238">
        <f>data!U61</f>
        <v>350991</v>
      </c>
      <c r="H75" s="238">
        <f>data!V61</f>
        <v>2363</v>
      </c>
      <c r="I75" s="238">
        <f>data!W61</f>
        <v>0</v>
      </c>
    </row>
    <row r="76" spans="1:9" ht="20.100000000000001" customHeight="1" x14ac:dyDescent="0.2">
      <c r="A76" s="230">
        <v>7</v>
      </c>
      <c r="B76" s="238" t="s">
        <v>9</v>
      </c>
      <c r="C76" s="238">
        <f>data!Q62</f>
        <v>0</v>
      </c>
      <c r="D76" s="238">
        <f>data!R62</f>
        <v>0</v>
      </c>
      <c r="E76" s="238">
        <f>data!S62</f>
        <v>15712</v>
      </c>
      <c r="F76" s="238">
        <f>data!T62</f>
        <v>0</v>
      </c>
      <c r="G76" s="238">
        <f>data!U62</f>
        <v>99147</v>
      </c>
      <c r="H76" s="238">
        <f>data!V62</f>
        <v>667</v>
      </c>
      <c r="I76" s="238">
        <f>data!W62</f>
        <v>0</v>
      </c>
    </row>
    <row r="77" spans="1:9" ht="20.100000000000001" customHeight="1" x14ac:dyDescent="0.2">
      <c r="A77" s="230">
        <v>8</v>
      </c>
      <c r="B77" s="238" t="s">
        <v>262</v>
      </c>
      <c r="C77" s="238">
        <f>data!Q63</f>
        <v>0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39798</v>
      </c>
      <c r="H77" s="238">
        <f>data!V63</f>
        <v>4718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263</v>
      </c>
      <c r="C78" s="238">
        <f>data!Q64</f>
        <v>0</v>
      </c>
      <c r="D78" s="238">
        <f>data!R64</f>
        <v>0</v>
      </c>
      <c r="E78" s="238">
        <f>data!S64</f>
        <v>39534</v>
      </c>
      <c r="F78" s="238">
        <f>data!T64</f>
        <v>0</v>
      </c>
      <c r="G78" s="238">
        <f>data!U64</f>
        <v>236480</v>
      </c>
      <c r="H78" s="238">
        <f>data!V64</f>
        <v>225</v>
      </c>
      <c r="I78" s="238">
        <f>data!W64</f>
        <v>0</v>
      </c>
    </row>
    <row r="79" spans="1:9" ht="20.100000000000001" customHeight="1" x14ac:dyDescent="0.2">
      <c r="A79" s="230">
        <v>10</v>
      </c>
      <c r="B79" s="238" t="s">
        <v>509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510</v>
      </c>
      <c r="C80" s="238">
        <f>data!Q66</f>
        <v>0</v>
      </c>
      <c r="D80" s="238">
        <f>data!R66</f>
        <v>0</v>
      </c>
      <c r="E80" s="238">
        <f>data!S66</f>
        <v>592</v>
      </c>
      <c r="F80" s="238">
        <f>data!T66</f>
        <v>0</v>
      </c>
      <c r="G80" s="238">
        <f>data!U66</f>
        <v>109343</v>
      </c>
      <c r="H80" s="238">
        <f>data!V66</f>
        <v>3578</v>
      </c>
      <c r="I80" s="238">
        <f>data!W66</f>
        <v>0</v>
      </c>
    </row>
    <row r="81" spans="1:9" ht="20.100000000000001" customHeight="1" x14ac:dyDescent="0.2">
      <c r="A81" s="230">
        <v>12</v>
      </c>
      <c r="B81" s="238" t="s">
        <v>14</v>
      </c>
      <c r="C81" s="238">
        <f>data!Q67</f>
        <v>0</v>
      </c>
      <c r="D81" s="238">
        <f>data!R67</f>
        <v>0</v>
      </c>
      <c r="E81" s="238">
        <f>data!S67</f>
        <v>3836</v>
      </c>
      <c r="F81" s="238">
        <f>data!T67</f>
        <v>0</v>
      </c>
      <c r="G81" s="238">
        <f>data!U67</f>
        <v>9798</v>
      </c>
      <c r="H81" s="238">
        <f>data!V67</f>
        <v>0</v>
      </c>
      <c r="I81" s="238">
        <f>data!W67</f>
        <v>0</v>
      </c>
    </row>
    <row r="82" spans="1:9" ht="20.100000000000001" customHeight="1" x14ac:dyDescent="0.2">
      <c r="A82" s="230">
        <v>13</v>
      </c>
      <c r="B82" s="238" t="s">
        <v>991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0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992</v>
      </c>
      <c r="C83" s="238">
        <f>data!Q69</f>
        <v>0</v>
      </c>
      <c r="D83" s="238">
        <f>data!R69</f>
        <v>0</v>
      </c>
      <c r="E83" s="238">
        <f>data!S69</f>
        <v>1677</v>
      </c>
      <c r="F83" s="238">
        <f>data!T69</f>
        <v>0</v>
      </c>
      <c r="G83" s="238">
        <f>data!U69</f>
        <v>4840</v>
      </c>
      <c r="H83" s="238">
        <f>data!V69</f>
        <v>791</v>
      </c>
      <c r="I83" s="238">
        <f>data!W69</f>
        <v>0</v>
      </c>
    </row>
    <row r="84" spans="1:9" ht="20.100000000000001" customHeight="1" x14ac:dyDescent="0.2">
      <c r="A84" s="230">
        <v>15</v>
      </c>
      <c r="B84" s="238" t="s">
        <v>282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993</v>
      </c>
      <c r="C85" s="238">
        <f>data!Q85</f>
        <v>0</v>
      </c>
      <c r="D85" s="238">
        <f>data!R85</f>
        <v>0</v>
      </c>
      <c r="E85" s="238">
        <f>data!S85</f>
        <v>116974</v>
      </c>
      <c r="F85" s="238">
        <f>data!T85</f>
        <v>0</v>
      </c>
      <c r="G85" s="238">
        <f>data!U85</f>
        <v>850397</v>
      </c>
      <c r="H85" s="238">
        <f>data!V85</f>
        <v>12342</v>
      </c>
      <c r="I85" s="238">
        <f>data!W85</f>
        <v>0</v>
      </c>
    </row>
    <row r="86" spans="1:9" ht="20.100000000000001" customHeight="1" x14ac:dyDescent="0.2">
      <c r="A86" s="230">
        <v>17</v>
      </c>
      <c r="B86" s="238" t="s">
        <v>284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994</v>
      </c>
      <c r="C87" s="246">
        <f>+data!M682</f>
        <v>0</v>
      </c>
      <c r="D87" s="246">
        <f>+data!M683</f>
        <v>0</v>
      </c>
      <c r="E87" s="246">
        <f>+data!M684</f>
        <v>31927</v>
      </c>
      <c r="F87" s="246">
        <f>+data!M685</f>
        <v>0</v>
      </c>
      <c r="G87" s="246">
        <f>+data!M686</f>
        <v>287041</v>
      </c>
      <c r="H87" s="246">
        <f>+data!M687</f>
        <v>11786</v>
      </c>
      <c r="I87" s="246">
        <f>+data!M688</f>
        <v>0</v>
      </c>
    </row>
    <row r="88" spans="1:9" ht="20.100000000000001" customHeight="1" x14ac:dyDescent="0.2">
      <c r="A88" s="230">
        <v>19</v>
      </c>
      <c r="B88" s="246" t="s">
        <v>995</v>
      </c>
      <c r="C88" s="238">
        <f>data!Q87</f>
        <v>0</v>
      </c>
      <c r="D88" s="238">
        <f>data!R87</f>
        <v>0</v>
      </c>
      <c r="E88" s="238">
        <f>data!S87</f>
        <v>4053</v>
      </c>
      <c r="F88" s="238">
        <f>data!T87</f>
        <v>0</v>
      </c>
      <c r="G88" s="238">
        <f>data!U87</f>
        <v>131124</v>
      </c>
      <c r="H88" s="238">
        <f>data!V87</f>
        <v>3939</v>
      </c>
      <c r="I88" s="238">
        <f>data!W87</f>
        <v>0</v>
      </c>
    </row>
    <row r="89" spans="1:9" ht="20.100000000000001" customHeight="1" x14ac:dyDescent="0.2">
      <c r="A89" s="230">
        <v>20</v>
      </c>
      <c r="B89" s="246" t="s">
        <v>996</v>
      </c>
      <c r="C89" s="238">
        <f>data!Q88</f>
        <v>0</v>
      </c>
      <c r="D89" s="238">
        <f>data!R88</f>
        <v>0</v>
      </c>
      <c r="E89" s="238">
        <f>data!S88</f>
        <v>13968</v>
      </c>
      <c r="F89" s="238">
        <f>data!T88</f>
        <v>0</v>
      </c>
      <c r="G89" s="238">
        <f>data!U88</f>
        <v>1191859</v>
      </c>
      <c r="H89" s="238">
        <f>data!V88</f>
        <v>85533</v>
      </c>
      <c r="I89" s="238">
        <f>data!W88</f>
        <v>0</v>
      </c>
    </row>
    <row r="90" spans="1:9" ht="20.100000000000001" customHeight="1" x14ac:dyDescent="0.2">
      <c r="A90" s="230">
        <v>21</v>
      </c>
      <c r="B90" s="246" t="s">
        <v>997</v>
      </c>
      <c r="C90" s="238">
        <f>data!Q89</f>
        <v>0</v>
      </c>
      <c r="D90" s="238">
        <f>data!R89</f>
        <v>0</v>
      </c>
      <c r="E90" s="238">
        <f>data!S89</f>
        <v>18021</v>
      </c>
      <c r="F90" s="238">
        <f>data!T89</f>
        <v>0</v>
      </c>
      <c r="G90" s="238">
        <f>data!U89</f>
        <v>1322983</v>
      </c>
      <c r="H90" s="238">
        <f>data!V89</f>
        <v>89472</v>
      </c>
      <c r="I90" s="238">
        <f>data!W89</f>
        <v>0</v>
      </c>
    </row>
    <row r="91" spans="1:9" ht="20.100000000000001" customHeight="1" x14ac:dyDescent="0.2">
      <c r="A91" s="230" t="s">
        <v>998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999</v>
      </c>
      <c r="C92" s="238">
        <f>data!Q90</f>
        <v>0</v>
      </c>
      <c r="D92" s="238">
        <f>data!R90</f>
        <v>0</v>
      </c>
      <c r="E92" s="238">
        <f>data!S90</f>
        <v>287</v>
      </c>
      <c r="F92" s="238">
        <f>data!T90</f>
        <v>0</v>
      </c>
      <c r="G92" s="238">
        <f>data!U90</f>
        <v>733</v>
      </c>
      <c r="H92" s="238">
        <f>data!V90</f>
        <v>0</v>
      </c>
      <c r="I92" s="238">
        <f>data!W90</f>
        <v>0</v>
      </c>
    </row>
    <row r="93" spans="1:9" ht="20.100000000000001" customHeight="1" x14ac:dyDescent="0.2">
      <c r="A93" s="230">
        <v>23</v>
      </c>
      <c r="B93" s="238" t="s">
        <v>1000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1001</v>
      </c>
      <c r="C94" s="238">
        <f>data!Q92</f>
        <v>0</v>
      </c>
      <c r="D94" s="238">
        <f>data!R92</f>
        <v>0</v>
      </c>
      <c r="E94" s="238">
        <f>data!S92</f>
        <v>79</v>
      </c>
      <c r="F94" s="238">
        <f>data!T92</f>
        <v>0</v>
      </c>
      <c r="G94" s="238">
        <f>data!U92</f>
        <v>202</v>
      </c>
      <c r="H94" s="238">
        <f>data!V92</f>
        <v>12</v>
      </c>
      <c r="I94" s="238">
        <f>data!W92</f>
        <v>0</v>
      </c>
    </row>
    <row r="95" spans="1:9" ht="20.100000000000001" customHeight="1" x14ac:dyDescent="0.2">
      <c r="A95" s="230">
        <v>25</v>
      </c>
      <c r="B95" s="238" t="s">
        <v>1002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292</v>
      </c>
      <c r="C96" s="245">
        <f>data!Q94</f>
        <v>0</v>
      </c>
      <c r="D96" s="245">
        <f>data!R94</f>
        <v>0</v>
      </c>
      <c r="E96" s="245">
        <f>data!S94</f>
        <v>0</v>
      </c>
      <c r="F96" s="245">
        <f>data!T94</f>
        <v>0</v>
      </c>
      <c r="G96" s="245">
        <f>data!U94</f>
        <v>0.01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984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1011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 xml:space="preserve">Hospital: Garfield County Public Hospital District 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234</v>
      </c>
      <c r="C101" s="240" t="s">
        <v>55</v>
      </c>
      <c r="D101" s="240" t="s">
        <v>56</v>
      </c>
      <c r="E101" s="240" t="s">
        <v>57</v>
      </c>
      <c r="F101" s="240" t="s">
        <v>58</v>
      </c>
      <c r="G101" s="240" t="s">
        <v>59</v>
      </c>
      <c r="H101" s="240" t="s">
        <v>60</v>
      </c>
      <c r="I101" s="240" t="s">
        <v>61</v>
      </c>
    </row>
    <row r="102" spans="1:9" ht="20.100000000000001" customHeight="1" x14ac:dyDescent="0.2">
      <c r="A102" s="241">
        <v>2</v>
      </c>
      <c r="B102" s="242" t="s">
        <v>986</v>
      </c>
      <c r="C102" s="244" t="s">
        <v>1012</v>
      </c>
      <c r="D102" s="244" t="s">
        <v>1013</v>
      </c>
      <c r="E102" s="244" t="s">
        <v>1013</v>
      </c>
      <c r="F102" s="244" t="s">
        <v>139</v>
      </c>
      <c r="G102" s="244"/>
      <c r="H102" s="244" t="s">
        <v>141</v>
      </c>
      <c r="I102" s="244"/>
    </row>
    <row r="103" spans="1:9" ht="20.100000000000001" customHeight="1" x14ac:dyDescent="0.2">
      <c r="A103" s="241"/>
      <c r="B103" s="242"/>
      <c r="C103" s="244" t="s">
        <v>200</v>
      </c>
      <c r="D103" s="244" t="s">
        <v>201</v>
      </c>
      <c r="E103" s="244" t="s">
        <v>202</v>
      </c>
      <c r="F103" s="244" t="s">
        <v>203</v>
      </c>
      <c r="G103" s="244" t="s">
        <v>140</v>
      </c>
      <c r="H103" s="244" t="s">
        <v>197</v>
      </c>
      <c r="I103" s="244" t="s">
        <v>142</v>
      </c>
    </row>
    <row r="104" spans="1:9" ht="20.100000000000001" customHeight="1" x14ac:dyDescent="0.2">
      <c r="A104" s="230">
        <v>3</v>
      </c>
      <c r="B104" s="238" t="s">
        <v>990</v>
      </c>
      <c r="C104" s="239" t="s">
        <v>249</v>
      </c>
      <c r="D104" s="240" t="s">
        <v>1014</v>
      </c>
      <c r="E104" s="240" t="s">
        <v>1014</v>
      </c>
      <c r="F104" s="240" t="s">
        <v>1014</v>
      </c>
      <c r="G104" s="250"/>
      <c r="H104" s="240" t="s">
        <v>251</v>
      </c>
      <c r="I104" s="240" t="s">
        <v>252</v>
      </c>
    </row>
    <row r="105" spans="1:9" ht="20.100000000000001" customHeight="1" x14ac:dyDescent="0.2">
      <c r="A105" s="230">
        <v>4</v>
      </c>
      <c r="B105" s="238" t="s">
        <v>259</v>
      </c>
      <c r="C105" s="238">
        <f>data!X59</f>
        <v>0</v>
      </c>
      <c r="D105" s="238">
        <f>data!Y59</f>
        <v>1481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9</v>
      </c>
    </row>
    <row r="106" spans="1:9" ht="20.100000000000001" customHeight="1" x14ac:dyDescent="0.2">
      <c r="A106" s="230">
        <v>5</v>
      </c>
      <c r="B106" s="238" t="s">
        <v>260</v>
      </c>
      <c r="C106" s="245">
        <f>data!X60</f>
        <v>0</v>
      </c>
      <c r="D106" s="245">
        <f>data!Y60</f>
        <v>5.33</v>
      </c>
      <c r="E106" s="245">
        <f>data!Z60</f>
        <v>0</v>
      </c>
      <c r="F106" s="245">
        <f>data!AA60</f>
        <v>0</v>
      </c>
      <c r="G106" s="245">
        <f>data!AB60</f>
        <v>0</v>
      </c>
      <c r="H106" s="245">
        <f>data!AC60</f>
        <v>0</v>
      </c>
      <c r="I106" s="245">
        <f>data!AD60</f>
        <v>0.05</v>
      </c>
    </row>
    <row r="107" spans="1:9" ht="20.100000000000001" customHeight="1" x14ac:dyDescent="0.2">
      <c r="A107" s="230">
        <v>6</v>
      </c>
      <c r="B107" s="238" t="s">
        <v>261</v>
      </c>
      <c r="C107" s="238">
        <f>data!X61</f>
        <v>0</v>
      </c>
      <c r="D107" s="238">
        <f>data!Y61</f>
        <v>397519</v>
      </c>
      <c r="E107" s="238">
        <f>data!Z61</f>
        <v>0</v>
      </c>
      <c r="F107" s="238">
        <f>data!AA61</f>
        <v>0</v>
      </c>
      <c r="G107" s="238">
        <f>data!AB61</f>
        <v>0</v>
      </c>
      <c r="H107" s="238">
        <f>data!AC61</f>
        <v>0</v>
      </c>
      <c r="I107" s="238">
        <f>data!AD61</f>
        <v>3315</v>
      </c>
    </row>
    <row r="108" spans="1:9" ht="20.100000000000001" customHeight="1" x14ac:dyDescent="0.2">
      <c r="A108" s="230">
        <v>7</v>
      </c>
      <c r="B108" s="238" t="s">
        <v>9</v>
      </c>
      <c r="C108" s="238">
        <f>data!X62</f>
        <v>0</v>
      </c>
      <c r="D108" s="238">
        <f>data!Y62</f>
        <v>112290</v>
      </c>
      <c r="E108" s="238">
        <f>data!Z62</f>
        <v>0</v>
      </c>
      <c r="F108" s="238">
        <f>data!AA62</f>
        <v>0</v>
      </c>
      <c r="G108" s="238">
        <f>data!AB62</f>
        <v>0</v>
      </c>
      <c r="H108" s="238">
        <f>data!AC62</f>
        <v>0</v>
      </c>
      <c r="I108" s="238">
        <f>data!AD62</f>
        <v>936</v>
      </c>
    </row>
    <row r="109" spans="1:9" ht="20.100000000000001" customHeight="1" x14ac:dyDescent="0.2">
      <c r="A109" s="230">
        <v>8</v>
      </c>
      <c r="B109" s="238" t="s">
        <v>262</v>
      </c>
      <c r="C109" s="238">
        <f>data!X63</f>
        <v>0</v>
      </c>
      <c r="D109" s="238">
        <f>data!Y63</f>
        <v>37455</v>
      </c>
      <c r="E109" s="238">
        <f>data!Z63</f>
        <v>0</v>
      </c>
      <c r="F109" s="238">
        <f>data!AA63</f>
        <v>0</v>
      </c>
      <c r="G109" s="238">
        <f>data!AB63</f>
        <v>277351</v>
      </c>
      <c r="H109" s="238">
        <f>data!AC63</f>
        <v>0</v>
      </c>
      <c r="I109" s="238">
        <f>data!AD63</f>
        <v>134853</v>
      </c>
    </row>
    <row r="110" spans="1:9" ht="20.100000000000001" customHeight="1" x14ac:dyDescent="0.2">
      <c r="A110" s="230">
        <v>9</v>
      </c>
      <c r="B110" s="238" t="s">
        <v>263</v>
      </c>
      <c r="C110" s="238">
        <f>data!X64</f>
        <v>0</v>
      </c>
      <c r="D110" s="238">
        <f>data!Y64</f>
        <v>1787</v>
      </c>
      <c r="E110" s="238">
        <f>data!Z64</f>
        <v>0</v>
      </c>
      <c r="F110" s="238">
        <f>data!AA64</f>
        <v>0</v>
      </c>
      <c r="G110" s="238">
        <f>data!AB64</f>
        <v>227363</v>
      </c>
      <c r="H110" s="238">
        <f>data!AC64</f>
        <v>0</v>
      </c>
      <c r="I110" s="238">
        <f>data!AD64</f>
        <v>3508</v>
      </c>
    </row>
    <row r="111" spans="1:9" ht="20.100000000000001" customHeight="1" x14ac:dyDescent="0.2">
      <c r="A111" s="230">
        <v>10</v>
      </c>
      <c r="B111" s="238" t="s">
        <v>509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1036</v>
      </c>
    </row>
    <row r="112" spans="1:9" ht="20.100000000000001" customHeight="1" x14ac:dyDescent="0.2">
      <c r="A112" s="230">
        <v>11</v>
      </c>
      <c r="B112" s="238" t="s">
        <v>510</v>
      </c>
      <c r="C112" s="238">
        <f>data!X66</f>
        <v>0</v>
      </c>
      <c r="D112" s="238">
        <f>data!Y66</f>
        <v>28405</v>
      </c>
      <c r="E112" s="238">
        <f>data!Z66</f>
        <v>0</v>
      </c>
      <c r="F112" s="238">
        <f>data!AA66</f>
        <v>0</v>
      </c>
      <c r="G112" s="238">
        <f>data!AB66</f>
        <v>19842</v>
      </c>
      <c r="H112" s="238">
        <f>data!AC66</f>
        <v>0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14</v>
      </c>
      <c r="C113" s="238">
        <f>data!X67</f>
        <v>0</v>
      </c>
      <c r="D113" s="238">
        <f>data!Y67</f>
        <v>5160</v>
      </c>
      <c r="E113" s="238">
        <f>data!Z67</f>
        <v>0</v>
      </c>
      <c r="F113" s="238">
        <f>data!AA67</f>
        <v>0</v>
      </c>
      <c r="G113" s="238">
        <f>data!AB67</f>
        <v>762</v>
      </c>
      <c r="H113" s="238">
        <f>data!AC67</f>
        <v>0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991</v>
      </c>
      <c r="C114" s="238">
        <f>data!X68</f>
        <v>0</v>
      </c>
      <c r="D114" s="238">
        <f>data!Y68</f>
        <v>0</v>
      </c>
      <c r="E114" s="238">
        <f>data!Z68</f>
        <v>0</v>
      </c>
      <c r="F114" s="238">
        <f>data!AA68</f>
        <v>0</v>
      </c>
      <c r="G114" s="238">
        <f>data!AB68</f>
        <v>0</v>
      </c>
      <c r="H114" s="238">
        <f>data!AC68</f>
        <v>0</v>
      </c>
      <c r="I114" s="238">
        <f>data!AD68</f>
        <v>20000</v>
      </c>
    </row>
    <row r="115" spans="1:9" ht="20.100000000000001" customHeight="1" x14ac:dyDescent="0.2">
      <c r="A115" s="230">
        <v>14</v>
      </c>
      <c r="B115" s="238" t="s">
        <v>992</v>
      </c>
      <c r="C115" s="238">
        <f>data!X69</f>
        <v>0</v>
      </c>
      <c r="D115" s="238">
        <f>data!Y69</f>
        <v>6278</v>
      </c>
      <c r="E115" s="238">
        <f>data!Z69</f>
        <v>0</v>
      </c>
      <c r="F115" s="238">
        <f>data!AA69</f>
        <v>0</v>
      </c>
      <c r="G115" s="238">
        <f>data!AB69</f>
        <v>425</v>
      </c>
      <c r="H115" s="238">
        <f>data!AC69</f>
        <v>0</v>
      </c>
      <c r="I115" s="238">
        <f>data!AD69</f>
        <v>9542</v>
      </c>
    </row>
    <row r="116" spans="1:9" ht="20.100000000000001" customHeight="1" x14ac:dyDescent="0.2">
      <c r="A116" s="230">
        <v>15</v>
      </c>
      <c r="B116" s="238" t="s">
        <v>282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993</v>
      </c>
      <c r="C117" s="238">
        <f>data!X85</f>
        <v>0</v>
      </c>
      <c r="D117" s="238">
        <f>data!Y85</f>
        <v>588894</v>
      </c>
      <c r="E117" s="238">
        <f>data!Z85</f>
        <v>0</v>
      </c>
      <c r="F117" s="238">
        <f>data!AA85</f>
        <v>0</v>
      </c>
      <c r="G117" s="238">
        <f>data!AB85</f>
        <v>525743</v>
      </c>
      <c r="H117" s="238">
        <f>data!AC85</f>
        <v>0</v>
      </c>
      <c r="I117" s="238">
        <f>data!AD85</f>
        <v>173190</v>
      </c>
    </row>
    <row r="118" spans="1:9" ht="20.100000000000001" customHeight="1" x14ac:dyDescent="0.2">
      <c r="A118" s="230">
        <v>17</v>
      </c>
      <c r="B118" s="238" t="s">
        <v>284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994</v>
      </c>
      <c r="C119" s="246">
        <f>+data!M689</f>
        <v>0</v>
      </c>
      <c r="D119" s="246">
        <f>+data!M690</f>
        <v>172041</v>
      </c>
      <c r="E119" s="246">
        <f>+data!M691</f>
        <v>0</v>
      </c>
      <c r="F119" s="246">
        <f>+data!M692</f>
        <v>0</v>
      </c>
      <c r="G119" s="246">
        <f>+data!M693</f>
        <v>189249</v>
      </c>
      <c r="H119" s="246">
        <f>+data!M694</f>
        <v>0</v>
      </c>
      <c r="I119" s="246">
        <f>+data!M695</f>
        <v>20303</v>
      </c>
    </row>
    <row r="120" spans="1:9" ht="20.100000000000001" customHeight="1" x14ac:dyDescent="0.2">
      <c r="A120" s="230">
        <v>19</v>
      </c>
      <c r="B120" s="246" t="s">
        <v>995</v>
      </c>
      <c r="C120" s="238">
        <f>data!X87</f>
        <v>0</v>
      </c>
      <c r="D120" s="238">
        <f>data!Y87</f>
        <v>84260</v>
      </c>
      <c r="E120" s="238">
        <f>data!Z87</f>
        <v>0</v>
      </c>
      <c r="F120" s="238">
        <f>data!AA87</f>
        <v>0</v>
      </c>
      <c r="G120" s="238">
        <f>data!AB87</f>
        <v>527002</v>
      </c>
      <c r="H120" s="238">
        <f>data!AC87</f>
        <v>0</v>
      </c>
      <c r="I120" s="238">
        <f>data!AD87</f>
        <v>20300</v>
      </c>
    </row>
    <row r="121" spans="1:9" ht="20.100000000000001" customHeight="1" x14ac:dyDescent="0.2">
      <c r="A121" s="230">
        <v>20</v>
      </c>
      <c r="B121" s="246" t="s">
        <v>996</v>
      </c>
      <c r="C121" s="238">
        <f>data!X88</f>
        <v>0</v>
      </c>
      <c r="D121" s="238">
        <f>data!Y88</f>
        <v>626006</v>
      </c>
      <c r="E121" s="238">
        <f>data!Z88</f>
        <v>0</v>
      </c>
      <c r="F121" s="238">
        <f>data!AA88</f>
        <v>0</v>
      </c>
      <c r="G121" s="238">
        <f>data!AB88</f>
        <v>680251</v>
      </c>
      <c r="H121" s="238">
        <f>data!AC88</f>
        <v>0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997</v>
      </c>
      <c r="C122" s="238">
        <f>data!X89</f>
        <v>0</v>
      </c>
      <c r="D122" s="238">
        <f>data!Y89</f>
        <v>710266</v>
      </c>
      <c r="E122" s="238">
        <f>data!Z89</f>
        <v>0</v>
      </c>
      <c r="F122" s="238">
        <f>data!AA89</f>
        <v>0</v>
      </c>
      <c r="G122" s="238">
        <f>data!AB89</f>
        <v>1207253</v>
      </c>
      <c r="H122" s="238">
        <f>data!AC89</f>
        <v>0</v>
      </c>
      <c r="I122" s="238">
        <f>data!AD89</f>
        <v>20300</v>
      </c>
    </row>
    <row r="123" spans="1:9" ht="20.100000000000001" customHeight="1" x14ac:dyDescent="0.2">
      <c r="A123" s="230" t="s">
        <v>998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999</v>
      </c>
      <c r="C124" s="238">
        <f>data!X90</f>
        <v>0</v>
      </c>
      <c r="D124" s="238">
        <f>data!Y90</f>
        <v>386</v>
      </c>
      <c r="E124" s="238">
        <f>data!Z90</f>
        <v>0</v>
      </c>
      <c r="F124" s="238">
        <f>data!AA90</f>
        <v>0</v>
      </c>
      <c r="G124" s="238">
        <f>data!AB90</f>
        <v>57</v>
      </c>
      <c r="H124" s="238">
        <f>data!AC90</f>
        <v>0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1000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1001</v>
      </c>
      <c r="C126" s="238">
        <f>data!X92</f>
        <v>0</v>
      </c>
      <c r="D126" s="238">
        <f>data!Y92</f>
        <v>94</v>
      </c>
      <c r="E126" s="238">
        <f>data!Z92</f>
        <v>0</v>
      </c>
      <c r="F126" s="238">
        <f>data!AA92</f>
        <v>0</v>
      </c>
      <c r="G126" s="238">
        <f>data!AB92</f>
        <v>16</v>
      </c>
      <c r="H126" s="238">
        <f>data!AC92</f>
        <v>0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1002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292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984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1015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 xml:space="preserve">Hospital: Garfield County Public Hospital District 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234</v>
      </c>
      <c r="C133" s="240" t="s">
        <v>62</v>
      </c>
      <c r="D133" s="240" t="s">
        <v>63</v>
      </c>
      <c r="E133" s="240" t="s">
        <v>64</v>
      </c>
      <c r="F133" s="240" t="s">
        <v>65</v>
      </c>
      <c r="G133" s="240" t="s">
        <v>66</v>
      </c>
      <c r="H133" s="240" t="s">
        <v>67</v>
      </c>
      <c r="I133" s="240" t="s">
        <v>68</v>
      </c>
    </row>
    <row r="134" spans="1:14" ht="20.100000000000001" customHeight="1" x14ac:dyDescent="0.2">
      <c r="A134" s="241">
        <v>2</v>
      </c>
      <c r="B134" s="242" t="s">
        <v>986</v>
      </c>
      <c r="C134" s="244" t="s">
        <v>120</v>
      </c>
      <c r="D134" s="244" t="s">
        <v>121</v>
      </c>
      <c r="E134" s="244" t="s">
        <v>143</v>
      </c>
      <c r="F134" s="244"/>
      <c r="G134" s="244" t="s">
        <v>1016</v>
      </c>
      <c r="H134" s="244"/>
      <c r="I134" s="244" t="s">
        <v>147</v>
      </c>
    </row>
    <row r="135" spans="1:14" ht="20.100000000000001" customHeight="1" x14ac:dyDescent="0.2">
      <c r="A135" s="241"/>
      <c r="B135" s="242"/>
      <c r="C135" s="244" t="s">
        <v>197</v>
      </c>
      <c r="D135" s="244" t="s">
        <v>204</v>
      </c>
      <c r="E135" s="244" t="s">
        <v>196</v>
      </c>
      <c r="F135" s="244" t="s">
        <v>144</v>
      </c>
      <c r="G135" s="244" t="s">
        <v>205</v>
      </c>
      <c r="H135" s="244" t="s">
        <v>146</v>
      </c>
      <c r="I135" s="244" t="s">
        <v>197</v>
      </c>
    </row>
    <row r="136" spans="1:14" ht="20.100000000000001" customHeight="1" x14ac:dyDescent="0.2">
      <c r="A136" s="230">
        <v>3</v>
      </c>
      <c r="B136" s="238" t="s">
        <v>990</v>
      </c>
      <c r="C136" s="240" t="s">
        <v>251</v>
      </c>
      <c r="D136" s="240" t="s">
        <v>253</v>
      </c>
      <c r="E136" s="240" t="s">
        <v>253</v>
      </c>
      <c r="F136" s="240" t="s">
        <v>254</v>
      </c>
      <c r="G136" s="239" t="s">
        <v>1017</v>
      </c>
      <c r="H136" s="240" t="s">
        <v>253</v>
      </c>
      <c r="I136" s="240" t="s">
        <v>251</v>
      </c>
    </row>
    <row r="137" spans="1:14" ht="20.100000000000001" customHeight="1" x14ac:dyDescent="0.25">
      <c r="A137" s="230">
        <v>4</v>
      </c>
      <c r="B137" s="238" t="s">
        <v>259</v>
      </c>
      <c r="C137" s="238">
        <f>data!AE59</f>
        <v>2106</v>
      </c>
      <c r="D137" s="238">
        <f>data!AF59</f>
        <v>0</v>
      </c>
      <c r="E137" s="238">
        <f>data!AG59</f>
        <v>965</v>
      </c>
      <c r="F137" s="238">
        <f>data!AH59</f>
        <v>0</v>
      </c>
      <c r="G137" s="238">
        <f>data!AI59</f>
        <v>0</v>
      </c>
      <c r="H137" s="238">
        <f>data!AJ59</f>
        <v>3632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260</v>
      </c>
      <c r="C138" s="245">
        <f>data!AE60</f>
        <v>1.03</v>
      </c>
      <c r="D138" s="245">
        <f>data!AF60</f>
        <v>0</v>
      </c>
      <c r="E138" s="245">
        <f>data!AG60</f>
        <v>2.41</v>
      </c>
      <c r="F138" s="245">
        <f>data!AH60</f>
        <v>0</v>
      </c>
      <c r="G138" s="245">
        <f>data!AI60</f>
        <v>0</v>
      </c>
      <c r="H138" s="245">
        <f>data!AJ60</f>
        <v>5.05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261</v>
      </c>
      <c r="C139" s="238">
        <f>data!AE61</f>
        <v>153083</v>
      </c>
      <c r="D139" s="238">
        <f>data!AF61</f>
        <v>0</v>
      </c>
      <c r="E139" s="238">
        <f>data!AG61</f>
        <v>760004</v>
      </c>
      <c r="F139" s="238">
        <f>data!AH61</f>
        <v>0</v>
      </c>
      <c r="G139" s="238">
        <f>data!AI61</f>
        <v>0</v>
      </c>
      <c r="H139" s="238">
        <f>data!AJ61</f>
        <v>531871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9</v>
      </c>
      <c r="C140" s="238">
        <f>data!AE62</f>
        <v>43242</v>
      </c>
      <c r="D140" s="238">
        <f>data!AF62</f>
        <v>0</v>
      </c>
      <c r="E140" s="238">
        <f>data!AG62</f>
        <v>214683</v>
      </c>
      <c r="F140" s="238">
        <f>data!AH62</f>
        <v>0</v>
      </c>
      <c r="G140" s="238">
        <f>data!AI62</f>
        <v>0</v>
      </c>
      <c r="H140" s="238">
        <f>data!AJ62</f>
        <v>150241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262</v>
      </c>
      <c r="C141" s="238">
        <f>data!AE63</f>
        <v>12524</v>
      </c>
      <c r="D141" s="238">
        <f>data!AF63</f>
        <v>0</v>
      </c>
      <c r="E141" s="238">
        <f>data!AG63</f>
        <v>59140</v>
      </c>
      <c r="F141" s="238">
        <f>data!AH63</f>
        <v>0</v>
      </c>
      <c r="G141" s="238">
        <f>data!AI63</f>
        <v>0</v>
      </c>
      <c r="H141" s="238">
        <f>data!AJ63</f>
        <v>184134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263</v>
      </c>
      <c r="C142" s="238">
        <f>data!AE64</f>
        <v>1246</v>
      </c>
      <c r="D142" s="238">
        <f>data!AF64</f>
        <v>0</v>
      </c>
      <c r="E142" s="238">
        <f>data!AG64</f>
        <v>24066</v>
      </c>
      <c r="F142" s="238">
        <f>data!AH64</f>
        <v>0</v>
      </c>
      <c r="G142" s="238">
        <f>data!AI64</f>
        <v>0</v>
      </c>
      <c r="H142" s="238">
        <f>data!AJ64</f>
        <v>30121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509</v>
      </c>
      <c r="C143" s="238">
        <f>data!AE65</f>
        <v>0</v>
      </c>
      <c r="D143" s="238">
        <f>data!AF65</f>
        <v>0</v>
      </c>
      <c r="E143" s="238">
        <f>data!AG65</f>
        <v>1049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510</v>
      </c>
      <c r="C144" s="238">
        <f>data!AE66</f>
        <v>3426</v>
      </c>
      <c r="D144" s="238">
        <f>data!AF66</f>
        <v>0</v>
      </c>
      <c r="E144" s="238">
        <f>data!AG66</f>
        <v>0</v>
      </c>
      <c r="F144" s="238">
        <f>data!AH66</f>
        <v>0</v>
      </c>
      <c r="G144" s="238">
        <f>data!AI66</f>
        <v>0</v>
      </c>
      <c r="H144" s="238">
        <f>data!AJ66</f>
        <v>21793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14</v>
      </c>
      <c r="C145" s="238">
        <f>data!AE67</f>
        <v>6697</v>
      </c>
      <c r="D145" s="238">
        <f>data!AF67</f>
        <v>0</v>
      </c>
      <c r="E145" s="238">
        <f>data!AG67</f>
        <v>11629</v>
      </c>
      <c r="F145" s="238">
        <f>data!AH67</f>
        <v>0</v>
      </c>
      <c r="G145" s="238">
        <f>data!AI67</f>
        <v>0</v>
      </c>
      <c r="H145" s="238">
        <f>data!AJ67</f>
        <v>13848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991</v>
      </c>
      <c r="C146" s="238">
        <f>data!AE68</f>
        <v>0</v>
      </c>
      <c r="D146" s="238">
        <f>data!AF68</f>
        <v>0</v>
      </c>
      <c r="E146" s="238">
        <f>data!AG68</f>
        <v>15491</v>
      </c>
      <c r="F146" s="238">
        <f>data!AH68</f>
        <v>0</v>
      </c>
      <c r="G146" s="238">
        <f>data!AI68</f>
        <v>0</v>
      </c>
      <c r="H146" s="238">
        <f>data!AJ68</f>
        <v>2768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992</v>
      </c>
      <c r="C147" s="238">
        <f>data!AE69</f>
        <v>105</v>
      </c>
      <c r="D147" s="238">
        <f>data!AF69</f>
        <v>0</v>
      </c>
      <c r="E147" s="238">
        <f>data!AG69</f>
        <v>8186</v>
      </c>
      <c r="F147" s="238">
        <f>data!AH69</f>
        <v>0</v>
      </c>
      <c r="G147" s="238">
        <f>data!AI69</f>
        <v>0</v>
      </c>
      <c r="H147" s="238">
        <f>data!AJ69</f>
        <v>8034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282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993</v>
      </c>
      <c r="C149" s="238">
        <f>data!AE85</f>
        <v>220323</v>
      </c>
      <c r="D149" s="238">
        <f>data!AF85</f>
        <v>0</v>
      </c>
      <c r="E149" s="238">
        <f>data!AG85</f>
        <v>1094248</v>
      </c>
      <c r="F149" s="238">
        <f>data!AH85</f>
        <v>0</v>
      </c>
      <c r="G149" s="238">
        <f>data!AI85</f>
        <v>0</v>
      </c>
      <c r="H149" s="238">
        <f>data!AJ85</f>
        <v>942810</v>
      </c>
      <c r="I149" s="238">
        <f>data!AK85</f>
        <v>0</v>
      </c>
    </row>
    <row r="150" spans="1:9" ht="20.100000000000001" customHeight="1" x14ac:dyDescent="0.2">
      <c r="A150" s="230">
        <v>17</v>
      </c>
      <c r="B150" s="238" t="s">
        <v>284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994</v>
      </c>
      <c r="C151" s="246">
        <f>+data!M696</f>
        <v>123700</v>
      </c>
      <c r="D151" s="246">
        <f>+data!M697</f>
        <v>0</v>
      </c>
      <c r="E151" s="246">
        <f>+data!M698</f>
        <v>402964</v>
      </c>
      <c r="F151" s="246">
        <f>+data!M699</f>
        <v>0</v>
      </c>
      <c r="G151" s="246">
        <f>+data!M700</f>
        <v>0</v>
      </c>
      <c r="H151" s="246">
        <f>+data!M701</f>
        <v>300686</v>
      </c>
      <c r="I151" s="246">
        <f>+data!M702</f>
        <v>0</v>
      </c>
    </row>
    <row r="152" spans="1:9" ht="20.100000000000001" customHeight="1" x14ac:dyDescent="0.2">
      <c r="A152" s="230">
        <v>19</v>
      </c>
      <c r="B152" s="246" t="s">
        <v>995</v>
      </c>
      <c r="C152" s="238">
        <f>data!AE87</f>
        <v>85225</v>
      </c>
      <c r="D152" s="238">
        <f>data!AF87</f>
        <v>0</v>
      </c>
      <c r="E152" s="238">
        <f>data!AG87</f>
        <v>0</v>
      </c>
      <c r="F152" s="238">
        <f>data!AH87</f>
        <v>0</v>
      </c>
      <c r="G152" s="238">
        <f>data!AI87</f>
        <v>0</v>
      </c>
      <c r="H152" s="238">
        <f>data!AJ87</f>
        <v>59</v>
      </c>
      <c r="I152" s="238">
        <f>data!AK87</f>
        <v>0</v>
      </c>
    </row>
    <row r="153" spans="1:9" ht="20.100000000000001" customHeight="1" x14ac:dyDescent="0.2">
      <c r="A153" s="230">
        <v>20</v>
      </c>
      <c r="B153" s="246" t="s">
        <v>996</v>
      </c>
      <c r="C153" s="238">
        <f>data!AE88</f>
        <v>564345</v>
      </c>
      <c r="D153" s="238">
        <f>data!AF88</f>
        <v>0</v>
      </c>
      <c r="E153" s="238">
        <f>data!AG88</f>
        <v>2162998</v>
      </c>
      <c r="F153" s="238">
        <f>data!AH88</f>
        <v>0</v>
      </c>
      <c r="G153" s="238">
        <f>data!AI88</f>
        <v>0</v>
      </c>
      <c r="H153" s="238">
        <f>data!AJ88</f>
        <v>1049787</v>
      </c>
      <c r="I153" s="238">
        <f>data!AK88</f>
        <v>0</v>
      </c>
    </row>
    <row r="154" spans="1:9" ht="20.100000000000001" customHeight="1" x14ac:dyDescent="0.2">
      <c r="A154" s="230">
        <v>21</v>
      </c>
      <c r="B154" s="246" t="s">
        <v>997</v>
      </c>
      <c r="C154" s="238">
        <f>data!AE89</f>
        <v>649570</v>
      </c>
      <c r="D154" s="238">
        <f>data!AF89</f>
        <v>0</v>
      </c>
      <c r="E154" s="238">
        <f>data!AG89</f>
        <v>2162998</v>
      </c>
      <c r="F154" s="238">
        <f>data!AH89</f>
        <v>0</v>
      </c>
      <c r="G154" s="238">
        <f>data!AI89</f>
        <v>0</v>
      </c>
      <c r="H154" s="238">
        <f>data!AJ89</f>
        <v>1049846</v>
      </c>
      <c r="I154" s="238">
        <f>data!AK89</f>
        <v>0</v>
      </c>
    </row>
    <row r="155" spans="1:9" ht="20.100000000000001" customHeight="1" x14ac:dyDescent="0.2">
      <c r="A155" s="230" t="s">
        <v>998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999</v>
      </c>
      <c r="C156" s="238">
        <f>data!AE90</f>
        <v>501</v>
      </c>
      <c r="D156" s="238">
        <f>data!AF90</f>
        <v>0</v>
      </c>
      <c r="E156" s="238">
        <f>data!AG90</f>
        <v>870</v>
      </c>
      <c r="F156" s="238">
        <f>data!AH90</f>
        <v>0</v>
      </c>
      <c r="G156" s="238">
        <f>data!AI90</f>
        <v>0</v>
      </c>
      <c r="H156" s="238">
        <f>data!AJ90</f>
        <v>1036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1000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1001</v>
      </c>
      <c r="C158" s="238">
        <f>data!AE92</f>
        <v>138</v>
      </c>
      <c r="D158" s="238">
        <f>data!AF92</f>
        <v>0</v>
      </c>
      <c r="E158" s="238">
        <f>data!AG92</f>
        <v>240</v>
      </c>
      <c r="F158" s="238">
        <f>data!AH92</f>
        <v>0</v>
      </c>
      <c r="G158" s="238">
        <f>data!AI92</f>
        <v>0</v>
      </c>
      <c r="H158" s="238">
        <f>data!AJ92</f>
        <v>286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1002</v>
      </c>
      <c r="C159" s="238">
        <f>data!AE93</f>
        <v>0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292</v>
      </c>
      <c r="C160" s="245">
        <f>data!AE94</f>
        <v>0</v>
      </c>
      <c r="D160" s="245">
        <f>data!AF94</f>
        <v>0</v>
      </c>
      <c r="E160" s="245">
        <f>data!AG94</f>
        <v>0</v>
      </c>
      <c r="F160" s="245">
        <f>data!AH94</f>
        <v>0</v>
      </c>
      <c r="G160" s="245">
        <f>data!AI94</f>
        <v>0</v>
      </c>
      <c r="H160" s="245">
        <f>data!AJ94</f>
        <v>2.6</v>
      </c>
      <c r="I160" s="245">
        <f>data!AK94</f>
        <v>0</v>
      </c>
    </row>
    <row r="161" spans="1:9" ht="20.100000000000001" customHeight="1" x14ac:dyDescent="0.2">
      <c r="A161" s="231" t="s">
        <v>984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1018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 xml:space="preserve">Hospital: Garfield County Public Hospital District 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234</v>
      </c>
      <c r="C165" s="240" t="s">
        <v>69</v>
      </c>
      <c r="D165" s="240" t="s">
        <v>70</v>
      </c>
      <c r="E165" s="240" t="s">
        <v>71</v>
      </c>
      <c r="F165" s="240" t="s">
        <v>72</v>
      </c>
      <c r="G165" s="240" t="s">
        <v>73</v>
      </c>
      <c r="H165" s="240" t="s">
        <v>74</v>
      </c>
      <c r="I165" s="240" t="s">
        <v>75</v>
      </c>
    </row>
    <row r="166" spans="1:9" ht="20.100000000000001" customHeight="1" x14ac:dyDescent="0.2">
      <c r="A166" s="241">
        <v>2</v>
      </c>
      <c r="B166" s="242" t="s">
        <v>986</v>
      </c>
      <c r="C166" s="244" t="s">
        <v>148</v>
      </c>
      <c r="D166" s="244" t="s">
        <v>149</v>
      </c>
      <c r="E166" s="244" t="s">
        <v>135</v>
      </c>
      <c r="F166" s="244" t="s">
        <v>150</v>
      </c>
      <c r="G166" s="244" t="s">
        <v>1019</v>
      </c>
      <c r="H166" s="244" t="s">
        <v>152</v>
      </c>
      <c r="I166" s="244" t="s">
        <v>153</v>
      </c>
    </row>
    <row r="167" spans="1:9" ht="20.100000000000001" customHeight="1" x14ac:dyDescent="0.2">
      <c r="A167" s="241"/>
      <c r="B167" s="242"/>
      <c r="C167" s="244" t="s">
        <v>197</v>
      </c>
      <c r="D167" s="244" t="s">
        <v>197</v>
      </c>
      <c r="E167" s="244" t="s">
        <v>1020</v>
      </c>
      <c r="F167" s="244" t="s">
        <v>207</v>
      </c>
      <c r="G167" s="244" t="s">
        <v>146</v>
      </c>
      <c r="H167" s="243" t="s">
        <v>1021</v>
      </c>
      <c r="I167" s="244" t="s">
        <v>194</v>
      </c>
    </row>
    <row r="168" spans="1:9" ht="20.100000000000001" customHeight="1" x14ac:dyDescent="0.2">
      <c r="A168" s="230">
        <v>3</v>
      </c>
      <c r="B168" s="238" t="s">
        <v>990</v>
      </c>
      <c r="C168" s="240" t="s">
        <v>251</v>
      </c>
      <c r="D168" s="240" t="s">
        <v>251</v>
      </c>
      <c r="E168" s="240" t="s">
        <v>242</v>
      </c>
      <c r="F168" s="240" t="s">
        <v>252</v>
      </c>
      <c r="G168" s="240" t="s">
        <v>253</v>
      </c>
      <c r="H168" s="240" t="s">
        <v>254</v>
      </c>
      <c r="I168" s="240" t="s">
        <v>253</v>
      </c>
    </row>
    <row r="169" spans="1:9" ht="20.100000000000001" customHeight="1" x14ac:dyDescent="0.2">
      <c r="A169" s="230">
        <v>4</v>
      </c>
      <c r="B169" s="238" t="s">
        <v>259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408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260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0.09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261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6766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9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1911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262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2565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263</v>
      </c>
      <c r="C174" s="238">
        <f>data!AL64</f>
        <v>0</v>
      </c>
      <c r="D174" s="238">
        <f>data!AM64</f>
        <v>0</v>
      </c>
      <c r="E174" s="238">
        <f>data!AN64</f>
        <v>0</v>
      </c>
      <c r="F174" s="238">
        <f>data!AO64</f>
        <v>385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509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18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510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209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14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361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991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67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992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131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282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993</v>
      </c>
      <c r="C181" s="238">
        <f>data!AL85</f>
        <v>0</v>
      </c>
      <c r="D181" s="238">
        <f>data!AM85</f>
        <v>0</v>
      </c>
      <c r="E181" s="238">
        <f>data!AN85</f>
        <v>0</v>
      </c>
      <c r="F181" s="238">
        <f>data!AO85</f>
        <v>12413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284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994</v>
      </c>
      <c r="C183" s="246">
        <f>+data!M703</f>
        <v>0</v>
      </c>
      <c r="D183" s="246">
        <f>+data!M704</f>
        <v>0</v>
      </c>
      <c r="E183" s="246">
        <f>+data!M705</f>
        <v>0</v>
      </c>
      <c r="F183" s="246">
        <f>+data!M706</f>
        <v>44265</v>
      </c>
      <c r="G183" s="246">
        <f>+data!M707</f>
        <v>0</v>
      </c>
      <c r="H183" s="246">
        <f>+data!M708</f>
        <v>0</v>
      </c>
      <c r="I183" s="246">
        <f>+data!M709</f>
        <v>0</v>
      </c>
    </row>
    <row r="184" spans="1:9" ht="20.100000000000001" customHeight="1" x14ac:dyDescent="0.2">
      <c r="A184" s="230">
        <v>19</v>
      </c>
      <c r="B184" s="246" t="s">
        <v>995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36262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996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314441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997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350703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998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999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27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1000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52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1001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8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1002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17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292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0.09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984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1022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 xml:space="preserve">Hospital: Garfield County Public Hospital District 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234</v>
      </c>
      <c r="C197" s="240" t="s">
        <v>76</v>
      </c>
      <c r="D197" s="240" t="s">
        <v>77</v>
      </c>
      <c r="E197" s="240" t="s">
        <v>78</v>
      </c>
      <c r="F197" s="240" t="s">
        <v>79</v>
      </c>
      <c r="G197" s="240" t="s">
        <v>80</v>
      </c>
      <c r="H197" s="240" t="s">
        <v>81</v>
      </c>
      <c r="I197" s="240" t="s">
        <v>82</v>
      </c>
    </row>
    <row r="198" spans="1:9" ht="20.100000000000001" customHeight="1" x14ac:dyDescent="0.2">
      <c r="A198" s="241">
        <v>2</v>
      </c>
      <c r="B198" s="242" t="s">
        <v>986</v>
      </c>
      <c r="C198" s="244"/>
      <c r="D198" s="244" t="s">
        <v>155</v>
      </c>
      <c r="E198" s="244" t="s">
        <v>156</v>
      </c>
      <c r="F198" s="244" t="s">
        <v>157</v>
      </c>
      <c r="G198" s="244" t="s">
        <v>1023</v>
      </c>
      <c r="H198" s="244" t="s">
        <v>159</v>
      </c>
      <c r="I198" s="244"/>
    </row>
    <row r="199" spans="1:9" ht="20.100000000000001" customHeight="1" x14ac:dyDescent="0.2">
      <c r="A199" s="241"/>
      <c r="B199" s="242"/>
      <c r="C199" s="244" t="s">
        <v>154</v>
      </c>
      <c r="D199" s="244" t="s">
        <v>256</v>
      </c>
      <c r="E199" s="244" t="s">
        <v>1024</v>
      </c>
      <c r="F199" s="244" t="s">
        <v>211</v>
      </c>
      <c r="G199" s="244" t="s">
        <v>226</v>
      </c>
      <c r="H199" s="244" t="s">
        <v>213</v>
      </c>
      <c r="I199" s="244" t="s">
        <v>160</v>
      </c>
    </row>
    <row r="200" spans="1:9" ht="20.100000000000001" customHeight="1" x14ac:dyDescent="0.2">
      <c r="A200" s="230">
        <v>3</v>
      </c>
      <c r="B200" s="238" t="s">
        <v>990</v>
      </c>
      <c r="C200" s="240" t="s">
        <v>251</v>
      </c>
      <c r="D200" s="240" t="s">
        <v>256</v>
      </c>
      <c r="E200" s="240" t="s">
        <v>253</v>
      </c>
      <c r="F200" s="250"/>
      <c r="G200" s="250"/>
      <c r="H200" s="250"/>
      <c r="I200" s="240" t="s">
        <v>257</v>
      </c>
    </row>
    <row r="201" spans="1:9" ht="20.100000000000001" customHeight="1" x14ac:dyDescent="0.2">
      <c r="A201" s="230">
        <v>4</v>
      </c>
      <c r="B201" s="238" t="s">
        <v>259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19037</v>
      </c>
    </row>
    <row r="202" spans="1:9" ht="20.100000000000001" customHeight="1" x14ac:dyDescent="0.2">
      <c r="A202" s="230">
        <v>5</v>
      </c>
      <c r="B202" s="238" t="s">
        <v>260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0</v>
      </c>
      <c r="G202" s="245">
        <f>data!AW60</f>
        <v>0</v>
      </c>
      <c r="H202" s="245">
        <f>data!AX60</f>
        <v>0</v>
      </c>
      <c r="I202" s="245">
        <f>data!AY60</f>
        <v>6.96</v>
      </c>
    </row>
    <row r="203" spans="1:9" ht="20.100000000000001" customHeight="1" x14ac:dyDescent="0.2">
      <c r="A203" s="230">
        <v>6</v>
      </c>
      <c r="B203" s="238" t="s">
        <v>261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0</v>
      </c>
      <c r="G203" s="238">
        <f>data!AW61</f>
        <v>0</v>
      </c>
      <c r="H203" s="238">
        <f>data!AX61</f>
        <v>0</v>
      </c>
      <c r="I203" s="238">
        <f>data!AY61</f>
        <v>330373</v>
      </c>
    </row>
    <row r="204" spans="1:9" ht="20.100000000000001" customHeight="1" x14ac:dyDescent="0.2">
      <c r="A204" s="230">
        <v>7</v>
      </c>
      <c r="B204" s="238" t="s">
        <v>9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0</v>
      </c>
      <c r="G204" s="238">
        <f>data!AW62</f>
        <v>0</v>
      </c>
      <c r="H204" s="238">
        <f>data!AX62</f>
        <v>0</v>
      </c>
      <c r="I204" s="238">
        <f>data!AY62</f>
        <v>93322</v>
      </c>
    </row>
    <row r="205" spans="1:9" ht="20.100000000000001" customHeight="1" x14ac:dyDescent="0.2">
      <c r="A205" s="230">
        <v>8</v>
      </c>
      <c r="B205" s="238" t="s">
        <v>262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40878</v>
      </c>
    </row>
    <row r="206" spans="1:9" ht="20.100000000000001" customHeight="1" x14ac:dyDescent="0.2">
      <c r="A206" s="230">
        <v>9</v>
      </c>
      <c r="B206" s="238" t="s">
        <v>263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0</v>
      </c>
      <c r="G206" s="238">
        <f>data!AW64</f>
        <v>0</v>
      </c>
      <c r="H206" s="238">
        <f>data!AX64</f>
        <v>0</v>
      </c>
      <c r="I206" s="238">
        <f>data!AY64</f>
        <v>99448</v>
      </c>
    </row>
    <row r="207" spans="1:9" ht="20.100000000000001" customHeight="1" x14ac:dyDescent="0.2">
      <c r="A207" s="230">
        <v>10</v>
      </c>
      <c r="B207" s="238" t="s">
        <v>509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22</v>
      </c>
    </row>
    <row r="208" spans="1:9" ht="20.100000000000001" customHeight="1" x14ac:dyDescent="0.2">
      <c r="A208" s="230">
        <v>11</v>
      </c>
      <c r="B208" s="238" t="s">
        <v>510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0</v>
      </c>
      <c r="G208" s="238">
        <f>data!AW66</f>
        <v>0</v>
      </c>
      <c r="H208" s="238">
        <f>data!AX66</f>
        <v>0</v>
      </c>
      <c r="I208" s="238">
        <f>data!AY66</f>
        <v>19680</v>
      </c>
    </row>
    <row r="209" spans="1:9" ht="20.100000000000001" customHeight="1" x14ac:dyDescent="0.2">
      <c r="A209" s="230">
        <v>12</v>
      </c>
      <c r="B209" s="238" t="s">
        <v>14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15184</v>
      </c>
    </row>
    <row r="210" spans="1:9" ht="20.100000000000001" customHeight="1" x14ac:dyDescent="0.2">
      <c r="A210" s="230">
        <v>13</v>
      </c>
      <c r="B210" s="238" t="s">
        <v>991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5</v>
      </c>
    </row>
    <row r="211" spans="1:9" ht="20.100000000000001" customHeight="1" x14ac:dyDescent="0.2">
      <c r="A211" s="230">
        <v>14</v>
      </c>
      <c r="B211" s="238" t="s">
        <v>992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0</v>
      </c>
      <c r="G211" s="238">
        <f>data!AW69</f>
        <v>0</v>
      </c>
      <c r="H211" s="238">
        <f>data!AX69</f>
        <v>0</v>
      </c>
      <c r="I211" s="238">
        <f>data!AY69</f>
        <v>2726</v>
      </c>
    </row>
    <row r="212" spans="1:9" ht="20.100000000000001" customHeight="1" x14ac:dyDescent="0.2">
      <c r="A212" s="230">
        <v>15</v>
      </c>
      <c r="B212" s="238" t="s">
        <v>282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0</v>
      </c>
    </row>
    <row r="213" spans="1:9" ht="20.100000000000001" customHeight="1" x14ac:dyDescent="0.2">
      <c r="A213" s="230">
        <v>16</v>
      </c>
      <c r="B213" s="246" t="s">
        <v>993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0</v>
      </c>
      <c r="G213" s="238">
        <f>data!AW85</f>
        <v>0</v>
      </c>
      <c r="H213" s="238">
        <f>data!AX85</f>
        <v>0</v>
      </c>
      <c r="I213" s="238">
        <f>data!AY85</f>
        <v>601638</v>
      </c>
    </row>
    <row r="214" spans="1:9" ht="20.100000000000001" customHeight="1" x14ac:dyDescent="0.2">
      <c r="A214" s="230">
        <v>17</v>
      </c>
      <c r="B214" s="238" t="s">
        <v>284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994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0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995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996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0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997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998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999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0</v>
      </c>
      <c r="G220" s="238">
        <f>data!AW90</f>
        <v>0</v>
      </c>
      <c r="H220" s="238">
        <f>data!AX90</f>
        <v>0</v>
      </c>
      <c r="I220" s="238">
        <f>data!AY90</f>
        <v>1136</v>
      </c>
    </row>
    <row r="221" spans="1:9" ht="20.100000000000001" customHeight="1" x14ac:dyDescent="0.2">
      <c r="A221" s="230">
        <v>23</v>
      </c>
      <c r="B221" s="238" t="s">
        <v>1000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1001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1002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292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984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1025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 xml:space="preserve">Hospital: Garfield County Public Hospital District 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234</v>
      </c>
      <c r="C229" s="240" t="s">
        <v>83</v>
      </c>
      <c r="D229" s="240" t="s">
        <v>84</v>
      </c>
      <c r="E229" s="240" t="s">
        <v>85</v>
      </c>
      <c r="F229" s="240" t="s">
        <v>86</v>
      </c>
      <c r="G229" s="240" t="s">
        <v>87</v>
      </c>
      <c r="H229" s="240" t="s">
        <v>88</v>
      </c>
      <c r="I229" s="240" t="s">
        <v>89</v>
      </c>
    </row>
    <row r="230" spans="1:9" ht="20.100000000000001" customHeight="1" x14ac:dyDescent="0.2">
      <c r="A230" s="241">
        <v>2</v>
      </c>
      <c r="B230" s="242" t="s">
        <v>986</v>
      </c>
      <c r="C230" s="244"/>
      <c r="D230" s="244" t="s">
        <v>162</v>
      </c>
      <c r="E230" s="244" t="s">
        <v>163</v>
      </c>
      <c r="F230" s="244" t="s">
        <v>132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161</v>
      </c>
      <c r="D231" s="244" t="s">
        <v>214</v>
      </c>
      <c r="E231" s="244" t="s">
        <v>1026</v>
      </c>
      <c r="F231" s="244" t="s">
        <v>1027</v>
      </c>
      <c r="G231" s="244" t="s">
        <v>164</v>
      </c>
      <c r="H231" s="244" t="s">
        <v>165</v>
      </c>
      <c r="I231" s="244" t="s">
        <v>166</v>
      </c>
    </row>
    <row r="232" spans="1:9" ht="20.100000000000001" customHeight="1" x14ac:dyDescent="0.2">
      <c r="A232" s="230">
        <v>3</v>
      </c>
      <c r="B232" s="238" t="s">
        <v>990</v>
      </c>
      <c r="C232" s="240" t="s">
        <v>1028</v>
      </c>
      <c r="D232" s="240" t="s">
        <v>1029</v>
      </c>
      <c r="E232" s="250"/>
      <c r="F232" s="250"/>
      <c r="G232" s="250"/>
      <c r="H232" s="240" t="s">
        <v>258</v>
      </c>
      <c r="I232" s="250"/>
    </row>
    <row r="233" spans="1:9" ht="20.100000000000001" customHeight="1" x14ac:dyDescent="0.2">
      <c r="A233" s="230">
        <v>4</v>
      </c>
      <c r="B233" s="238" t="s">
        <v>259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21029</v>
      </c>
      <c r="I233" s="250"/>
    </row>
    <row r="234" spans="1:9" ht="20.100000000000001" customHeight="1" x14ac:dyDescent="0.2">
      <c r="A234" s="230">
        <v>5</v>
      </c>
      <c r="B234" s="238" t="s">
        <v>260</v>
      </c>
      <c r="C234" s="245">
        <f>data!AZ60</f>
        <v>0</v>
      </c>
      <c r="D234" s="245">
        <f>data!BA60</f>
        <v>1.19</v>
      </c>
      <c r="E234" s="245">
        <f>data!BB60</f>
        <v>1.82</v>
      </c>
      <c r="F234" s="245">
        <f>data!BC60</f>
        <v>0</v>
      </c>
      <c r="G234" s="245">
        <f>data!BD60</f>
        <v>0</v>
      </c>
      <c r="H234" s="245">
        <f>data!BE60</f>
        <v>2.87</v>
      </c>
      <c r="I234" s="245">
        <f>data!BF60</f>
        <v>3.21</v>
      </c>
    </row>
    <row r="235" spans="1:9" ht="20.100000000000001" customHeight="1" x14ac:dyDescent="0.2">
      <c r="A235" s="230">
        <v>6</v>
      </c>
      <c r="B235" s="238" t="s">
        <v>261</v>
      </c>
      <c r="C235" s="238">
        <f>data!AZ61</f>
        <v>0</v>
      </c>
      <c r="D235" s="238">
        <f>data!BA61</f>
        <v>52255</v>
      </c>
      <c r="E235" s="238">
        <f>data!BB61</f>
        <v>127871</v>
      </c>
      <c r="F235" s="238">
        <f>data!BC61</f>
        <v>0</v>
      </c>
      <c r="G235" s="238">
        <f>data!BD61</f>
        <v>0</v>
      </c>
      <c r="H235" s="238">
        <f>data!BE61</f>
        <v>166190</v>
      </c>
      <c r="I235" s="238">
        <f>data!BF61</f>
        <v>141055</v>
      </c>
    </row>
    <row r="236" spans="1:9" ht="20.100000000000001" customHeight="1" x14ac:dyDescent="0.2">
      <c r="A236" s="230">
        <v>7</v>
      </c>
      <c r="B236" s="238" t="s">
        <v>9</v>
      </c>
      <c r="C236" s="238">
        <f>data!AZ62</f>
        <v>0</v>
      </c>
      <c r="D236" s="238">
        <f>data!BA62</f>
        <v>14761</v>
      </c>
      <c r="E236" s="238">
        <f>data!BB62</f>
        <v>36120</v>
      </c>
      <c r="F236" s="238">
        <f>data!BC62</f>
        <v>0</v>
      </c>
      <c r="G236" s="238">
        <f>data!BD62</f>
        <v>0</v>
      </c>
      <c r="H236" s="238">
        <f>data!BE62</f>
        <v>46945</v>
      </c>
      <c r="I236" s="238">
        <f>data!BF62</f>
        <v>39845</v>
      </c>
    </row>
    <row r="237" spans="1:9" ht="20.100000000000001" customHeight="1" x14ac:dyDescent="0.2">
      <c r="A237" s="230">
        <v>8</v>
      </c>
      <c r="B237" s="238" t="s">
        <v>262</v>
      </c>
      <c r="C237" s="238">
        <f>data!AZ63</f>
        <v>0</v>
      </c>
      <c r="D237" s="238">
        <f>data!BA63</f>
        <v>616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4854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263</v>
      </c>
      <c r="C238" s="238">
        <f>data!AZ64</f>
        <v>0</v>
      </c>
      <c r="D238" s="238">
        <f>data!BA64</f>
        <v>24102</v>
      </c>
      <c r="E238" s="238">
        <f>data!BB64</f>
        <v>4547</v>
      </c>
      <c r="F238" s="238">
        <f>data!BC64</f>
        <v>0</v>
      </c>
      <c r="G238" s="238">
        <f>data!BD64</f>
        <v>0</v>
      </c>
      <c r="H238" s="238">
        <f>data!BE64</f>
        <v>43497</v>
      </c>
      <c r="I238" s="238">
        <f>data!BF64</f>
        <v>16213</v>
      </c>
    </row>
    <row r="239" spans="1:9" ht="20.100000000000001" customHeight="1" x14ac:dyDescent="0.2">
      <c r="A239" s="230">
        <v>10</v>
      </c>
      <c r="B239" s="238" t="s">
        <v>509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144489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510</v>
      </c>
      <c r="C240" s="238">
        <f>data!AZ66</f>
        <v>0</v>
      </c>
      <c r="D240" s="238">
        <f>data!BA66</f>
        <v>39</v>
      </c>
      <c r="E240" s="238">
        <f>data!BB66</f>
        <v>0</v>
      </c>
      <c r="F240" s="238">
        <f>data!BC66</f>
        <v>0</v>
      </c>
      <c r="G240" s="238">
        <f>data!BD66</f>
        <v>0</v>
      </c>
      <c r="H240" s="238">
        <f>data!BE66</f>
        <v>37148</v>
      </c>
      <c r="I240" s="238">
        <f>data!BF66</f>
        <v>166</v>
      </c>
    </row>
    <row r="241" spans="1:9" ht="20.100000000000001" customHeight="1" x14ac:dyDescent="0.2">
      <c r="A241" s="230">
        <v>12</v>
      </c>
      <c r="B241" s="238" t="s">
        <v>14</v>
      </c>
      <c r="C241" s="238">
        <f>data!AZ67</f>
        <v>0</v>
      </c>
      <c r="D241" s="238">
        <f>data!BA67</f>
        <v>9931</v>
      </c>
      <c r="E241" s="238">
        <f>data!BB67</f>
        <v>0</v>
      </c>
      <c r="F241" s="238">
        <f>data!BC67</f>
        <v>0</v>
      </c>
      <c r="G241" s="238">
        <f>data!BD67</f>
        <v>0</v>
      </c>
      <c r="H241" s="238">
        <f>data!BE67</f>
        <v>20103</v>
      </c>
      <c r="I241" s="238">
        <f>data!BF67</f>
        <v>2379</v>
      </c>
    </row>
    <row r="242" spans="1:9" ht="20.100000000000001" customHeight="1" x14ac:dyDescent="0.2">
      <c r="A242" s="230">
        <v>13</v>
      </c>
      <c r="B242" s="238" t="s">
        <v>991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5934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992</v>
      </c>
      <c r="C243" s="238">
        <f>data!AZ69</f>
        <v>0</v>
      </c>
      <c r="D243" s="238">
        <f>data!BA69</f>
        <v>0</v>
      </c>
      <c r="E243" s="238">
        <f>data!BB69</f>
        <v>1198</v>
      </c>
      <c r="F243" s="238">
        <f>data!BC69</f>
        <v>0</v>
      </c>
      <c r="G243" s="238">
        <f>data!BD69</f>
        <v>0</v>
      </c>
      <c r="H243" s="238">
        <f>data!BE69</f>
        <v>5430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282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993</v>
      </c>
      <c r="C245" s="238">
        <f>data!AZ85</f>
        <v>0</v>
      </c>
      <c r="D245" s="238">
        <f>data!BA85</f>
        <v>101704</v>
      </c>
      <c r="E245" s="238">
        <f>data!BB85</f>
        <v>169736</v>
      </c>
      <c r="F245" s="238">
        <f>data!BC85</f>
        <v>0</v>
      </c>
      <c r="G245" s="238">
        <f>data!BD85</f>
        <v>0</v>
      </c>
      <c r="H245" s="238">
        <f>data!BE85</f>
        <v>474590</v>
      </c>
      <c r="I245" s="238">
        <f>data!BF85</f>
        <v>199658</v>
      </c>
    </row>
    <row r="246" spans="1:9" ht="20.100000000000001" customHeight="1" x14ac:dyDescent="0.2">
      <c r="A246" s="230">
        <v>17</v>
      </c>
      <c r="B246" s="238" t="s">
        <v>284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994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995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996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997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998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999</v>
      </c>
      <c r="C252" s="254">
        <f>data!AZ90</f>
        <v>0</v>
      </c>
      <c r="D252" s="254">
        <f>data!BA90</f>
        <v>743</v>
      </c>
      <c r="E252" s="254">
        <f>data!BB90</f>
        <v>0</v>
      </c>
      <c r="F252" s="254">
        <f>data!BC90</f>
        <v>0</v>
      </c>
      <c r="G252" s="254">
        <f>data!BD90</f>
        <v>0</v>
      </c>
      <c r="H252" s="254">
        <f>data!BE90</f>
        <v>1504</v>
      </c>
      <c r="I252" s="254">
        <f>data!BF90</f>
        <v>178</v>
      </c>
    </row>
    <row r="253" spans="1:9" ht="20.100000000000001" customHeight="1" x14ac:dyDescent="0.2">
      <c r="A253" s="230">
        <v>23</v>
      </c>
      <c r="B253" s="238" t="s">
        <v>1000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1001</v>
      </c>
      <c r="C254" s="253" t="str">
        <f>IF(data!AZ92&gt;0,data!AZ92,"")</f>
        <v>x</v>
      </c>
      <c r="D254" s="254">
        <f>data!BA92</f>
        <v>205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1002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292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984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1030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 xml:space="preserve">Hospital: Garfield County Public Hospital District 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234</v>
      </c>
      <c r="C261" s="240" t="s">
        <v>90</v>
      </c>
      <c r="D261" s="240" t="s">
        <v>91</v>
      </c>
      <c r="E261" s="240" t="s">
        <v>92</v>
      </c>
      <c r="F261" s="240" t="s">
        <v>93</v>
      </c>
      <c r="G261" s="240" t="s">
        <v>94</v>
      </c>
      <c r="H261" s="240" t="s">
        <v>95</v>
      </c>
      <c r="I261" s="240" t="s">
        <v>96</v>
      </c>
    </row>
    <row r="262" spans="1:9" ht="20.100000000000001" customHeight="1" x14ac:dyDescent="0.2">
      <c r="A262" s="241">
        <v>2</v>
      </c>
      <c r="B262" s="242" t="s">
        <v>986</v>
      </c>
      <c r="C262" s="244" t="s">
        <v>1031</v>
      </c>
      <c r="D262" s="244" t="s">
        <v>168</v>
      </c>
      <c r="E262" s="244" t="s">
        <v>169</v>
      </c>
      <c r="F262" s="244"/>
      <c r="G262" s="244" t="s">
        <v>171</v>
      </c>
      <c r="H262" s="244"/>
      <c r="I262" s="244" t="s">
        <v>157</v>
      </c>
    </row>
    <row r="263" spans="1:9" ht="20.100000000000001" customHeight="1" x14ac:dyDescent="0.2">
      <c r="A263" s="241"/>
      <c r="B263" s="242"/>
      <c r="C263" s="244" t="s">
        <v>1032</v>
      </c>
      <c r="D263" s="244" t="s">
        <v>215</v>
      </c>
      <c r="E263" s="244" t="s">
        <v>194</v>
      </c>
      <c r="F263" s="244" t="s">
        <v>170</v>
      </c>
      <c r="G263" s="244" t="s">
        <v>216</v>
      </c>
      <c r="H263" s="244" t="s">
        <v>172</v>
      </c>
      <c r="I263" s="244" t="s">
        <v>1033</v>
      </c>
    </row>
    <row r="264" spans="1:9" ht="20.100000000000001" customHeight="1" x14ac:dyDescent="0.2">
      <c r="A264" s="230">
        <v>3</v>
      </c>
      <c r="B264" s="238" t="s">
        <v>990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259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260</v>
      </c>
      <c r="C266" s="245">
        <f>data!BG60</f>
        <v>0</v>
      </c>
      <c r="D266" s="245">
        <f>data!BH60</f>
        <v>1.01</v>
      </c>
      <c r="E266" s="245">
        <f>data!BI60</f>
        <v>0</v>
      </c>
      <c r="F266" s="245">
        <f>data!BJ60</f>
        <v>2.89</v>
      </c>
      <c r="G266" s="245">
        <f>data!BK60</f>
        <v>0</v>
      </c>
      <c r="H266" s="245">
        <f>data!BL60</f>
        <v>0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261</v>
      </c>
      <c r="C267" s="238">
        <f>data!BG61</f>
        <v>0</v>
      </c>
      <c r="D267" s="238">
        <f>data!BH61</f>
        <v>72056</v>
      </c>
      <c r="E267" s="238">
        <f>data!BI61</f>
        <v>0</v>
      </c>
      <c r="F267" s="238">
        <f>data!BJ61</f>
        <v>248898</v>
      </c>
      <c r="G267" s="238">
        <f>data!BK61</f>
        <v>0</v>
      </c>
      <c r="H267" s="238">
        <f>data!BL61</f>
        <v>0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9</v>
      </c>
      <c r="C268" s="238">
        <f>data!BG62</f>
        <v>0</v>
      </c>
      <c r="D268" s="238">
        <f>data!BH62</f>
        <v>20354</v>
      </c>
      <c r="E268" s="238">
        <f>data!BI62</f>
        <v>0</v>
      </c>
      <c r="F268" s="238">
        <f>data!BJ62</f>
        <v>70308</v>
      </c>
      <c r="G268" s="238">
        <f>data!BK62</f>
        <v>0</v>
      </c>
      <c r="H268" s="238">
        <f>data!BL62</f>
        <v>0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262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15649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263</v>
      </c>
      <c r="C270" s="238">
        <f>data!BG64</f>
        <v>0</v>
      </c>
      <c r="D270" s="238">
        <f>data!BH64</f>
        <v>15587</v>
      </c>
      <c r="E270" s="238">
        <f>data!BI64</f>
        <v>0</v>
      </c>
      <c r="F270" s="238">
        <f>data!BJ64</f>
        <v>2872</v>
      </c>
      <c r="G270" s="238">
        <f>data!BK64</f>
        <v>0</v>
      </c>
      <c r="H270" s="238">
        <f>data!BL64</f>
        <v>0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509</v>
      </c>
      <c r="C271" s="238">
        <f>data!BG65</f>
        <v>0</v>
      </c>
      <c r="D271" s="238">
        <f>data!BH65</f>
        <v>40650</v>
      </c>
      <c r="E271" s="238">
        <f>data!BI65</f>
        <v>0</v>
      </c>
      <c r="F271" s="238">
        <f>data!BJ65</f>
        <v>49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510</v>
      </c>
      <c r="C272" s="238">
        <f>data!BG66</f>
        <v>0</v>
      </c>
      <c r="D272" s="238">
        <f>data!BH66</f>
        <v>83485</v>
      </c>
      <c r="E272" s="238">
        <f>data!BI66</f>
        <v>0</v>
      </c>
      <c r="F272" s="238">
        <f>data!BJ66</f>
        <v>0</v>
      </c>
      <c r="G272" s="238">
        <f>data!BK66</f>
        <v>0</v>
      </c>
      <c r="H272" s="238">
        <f>data!BL66</f>
        <v>0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14</v>
      </c>
      <c r="C273" s="238">
        <f>data!BG67</f>
        <v>0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991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6600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992</v>
      </c>
      <c r="C275" s="238">
        <f>data!BG69</f>
        <v>0</v>
      </c>
      <c r="D275" s="238">
        <f>data!BH69</f>
        <v>65727</v>
      </c>
      <c r="E275" s="238">
        <f>data!BI69</f>
        <v>0</v>
      </c>
      <c r="F275" s="238">
        <f>data!BJ69</f>
        <v>42077</v>
      </c>
      <c r="G275" s="238">
        <f>data!BK69</f>
        <v>0</v>
      </c>
      <c r="H275" s="238">
        <f>data!BL69</f>
        <v>0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282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993</v>
      </c>
      <c r="C277" s="238">
        <f>data!BG85</f>
        <v>0</v>
      </c>
      <c r="D277" s="238">
        <f>data!BH85</f>
        <v>297859</v>
      </c>
      <c r="E277" s="238">
        <f>data!BI85</f>
        <v>0</v>
      </c>
      <c r="F277" s="238">
        <f>data!BJ85</f>
        <v>386453</v>
      </c>
      <c r="G277" s="238">
        <f>data!BK85</f>
        <v>0</v>
      </c>
      <c r="H277" s="238">
        <f>data!BL85</f>
        <v>0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284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994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995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996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997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998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999</v>
      </c>
      <c r="C284" s="254">
        <f>data!BG90</f>
        <v>0</v>
      </c>
      <c r="D284" s="254">
        <f>data!BH90</f>
        <v>0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0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1000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1001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0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1002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292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984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1034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 xml:space="preserve">Hospital: Garfield County Public Hospital District 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234</v>
      </c>
      <c r="C293" s="240" t="s">
        <v>97</v>
      </c>
      <c r="D293" s="240" t="s">
        <v>98</v>
      </c>
      <c r="E293" s="240" t="s">
        <v>99</v>
      </c>
      <c r="F293" s="240" t="s">
        <v>100</v>
      </c>
      <c r="G293" s="240" t="s">
        <v>101</v>
      </c>
      <c r="H293" s="240" t="s">
        <v>102</v>
      </c>
      <c r="I293" s="240" t="s">
        <v>103</v>
      </c>
    </row>
    <row r="294" spans="1:9" ht="20.100000000000001" customHeight="1" x14ac:dyDescent="0.2">
      <c r="A294" s="241">
        <v>2</v>
      </c>
      <c r="B294" s="242" t="s">
        <v>986</v>
      </c>
      <c r="C294" s="244" t="s">
        <v>173</v>
      </c>
      <c r="D294" s="244" t="s">
        <v>174</v>
      </c>
      <c r="E294" s="244" t="s">
        <v>175</v>
      </c>
      <c r="F294" s="244" t="s">
        <v>176</v>
      </c>
      <c r="G294" s="244"/>
      <c r="H294" s="244" t="s">
        <v>178</v>
      </c>
      <c r="I294" s="244" t="s">
        <v>179</v>
      </c>
    </row>
    <row r="295" spans="1:9" ht="20.100000000000001" customHeight="1" x14ac:dyDescent="0.2">
      <c r="A295" s="241"/>
      <c r="B295" s="242"/>
      <c r="C295" s="244" t="s">
        <v>1035</v>
      </c>
      <c r="D295" s="244" t="s">
        <v>219</v>
      </c>
      <c r="E295" s="244" t="s">
        <v>220</v>
      </c>
      <c r="F295" s="244" t="s">
        <v>221</v>
      </c>
      <c r="G295" s="244" t="s">
        <v>177</v>
      </c>
      <c r="H295" s="244" t="s">
        <v>222</v>
      </c>
      <c r="I295" s="244" t="s">
        <v>194</v>
      </c>
    </row>
    <row r="296" spans="1:9" ht="20.100000000000001" customHeight="1" x14ac:dyDescent="0.2">
      <c r="A296" s="230">
        <v>3</v>
      </c>
      <c r="B296" s="238" t="s">
        <v>990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259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260</v>
      </c>
      <c r="C298" s="245">
        <f>data!BN60</f>
        <v>1.45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1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261</v>
      </c>
      <c r="C299" s="238">
        <f>data!BN61</f>
        <v>183276</v>
      </c>
      <c r="D299" s="238">
        <f>data!BO61</f>
        <v>0</v>
      </c>
      <c r="E299" s="238">
        <f>data!BP61</f>
        <v>0</v>
      </c>
      <c r="F299" s="238">
        <f>data!BQ61</f>
        <v>0</v>
      </c>
      <c r="G299" s="238">
        <f>data!BR61</f>
        <v>75850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9</v>
      </c>
      <c r="C300" s="238">
        <f>data!BN62</f>
        <v>51771</v>
      </c>
      <c r="D300" s="238">
        <f>data!BO62</f>
        <v>0</v>
      </c>
      <c r="E300" s="238">
        <f>data!BP62</f>
        <v>0</v>
      </c>
      <c r="F300" s="238">
        <f>data!BQ62</f>
        <v>0</v>
      </c>
      <c r="G300" s="238">
        <f>data!BR62</f>
        <v>21426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262</v>
      </c>
      <c r="C301" s="238">
        <f>data!BN63</f>
        <v>269751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32786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263</v>
      </c>
      <c r="C302" s="238">
        <f>data!BN64</f>
        <v>13973</v>
      </c>
      <c r="D302" s="238">
        <f>data!BO64</f>
        <v>0</v>
      </c>
      <c r="E302" s="238">
        <f>data!BP64</f>
        <v>0</v>
      </c>
      <c r="F302" s="238">
        <f>data!BQ64</f>
        <v>0</v>
      </c>
      <c r="G302" s="238">
        <f>data!BR64</f>
        <v>696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509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510</v>
      </c>
      <c r="C304" s="238">
        <f>data!BN66</f>
        <v>12869</v>
      </c>
      <c r="D304" s="238">
        <f>data!BO66</f>
        <v>0</v>
      </c>
      <c r="E304" s="238">
        <f>data!BP66</f>
        <v>0</v>
      </c>
      <c r="F304" s="238">
        <f>data!BQ66</f>
        <v>0</v>
      </c>
      <c r="G304" s="238">
        <f>data!BR66</f>
        <v>0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14</v>
      </c>
      <c r="C305" s="238">
        <f>data!BN67</f>
        <v>43067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991</v>
      </c>
      <c r="C306" s="238">
        <f>data!BN68</f>
        <v>-12804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992</v>
      </c>
      <c r="C307" s="238">
        <f>data!BN69</f>
        <v>161658</v>
      </c>
      <c r="D307" s="238">
        <f>data!BO69</f>
        <v>0</v>
      </c>
      <c r="E307" s="238">
        <f>data!BP69</f>
        <v>0</v>
      </c>
      <c r="F307" s="238">
        <f>data!BQ69</f>
        <v>0</v>
      </c>
      <c r="G307" s="238">
        <f>data!BR69</f>
        <v>17142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282</v>
      </c>
      <c r="C308" s="238">
        <f>-data!BN84</f>
        <v>0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993</v>
      </c>
      <c r="C309" s="238">
        <f>data!BN85</f>
        <v>723561</v>
      </c>
      <c r="D309" s="238">
        <f>data!BO85</f>
        <v>0</v>
      </c>
      <c r="E309" s="238">
        <f>data!BP85</f>
        <v>0</v>
      </c>
      <c r="F309" s="238">
        <f>data!BQ85</f>
        <v>0</v>
      </c>
      <c r="G309" s="238">
        <f>data!BR85</f>
        <v>147900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284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994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995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996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997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998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999</v>
      </c>
      <c r="C316" s="254">
        <f>data!BN90</f>
        <v>3222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1000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1001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1002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292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984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1036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 xml:space="preserve">Hospital: Garfield County Public Hospital District 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234</v>
      </c>
      <c r="C325" s="240" t="s">
        <v>104</v>
      </c>
      <c r="D325" s="240" t="s">
        <v>105</v>
      </c>
      <c r="E325" s="240" t="s">
        <v>106</v>
      </c>
      <c r="F325" s="240" t="s">
        <v>107</v>
      </c>
      <c r="G325" s="240" t="s">
        <v>108</v>
      </c>
      <c r="H325" s="240" t="s">
        <v>109</v>
      </c>
      <c r="I325" s="240" t="s">
        <v>110</v>
      </c>
    </row>
    <row r="326" spans="1:9" ht="20.100000000000001" customHeight="1" x14ac:dyDescent="0.2">
      <c r="A326" s="241">
        <v>2</v>
      </c>
      <c r="B326" s="242" t="s">
        <v>986</v>
      </c>
      <c r="C326" s="244" t="s">
        <v>180</v>
      </c>
      <c r="D326" s="244" t="s">
        <v>180</v>
      </c>
      <c r="E326" s="244" t="s">
        <v>180</v>
      </c>
      <c r="F326" s="244" t="s">
        <v>181</v>
      </c>
      <c r="G326" s="244" t="s">
        <v>182</v>
      </c>
      <c r="H326" s="244" t="s">
        <v>183</v>
      </c>
      <c r="I326" s="244" t="s">
        <v>184</v>
      </c>
    </row>
    <row r="327" spans="1:9" ht="20.100000000000001" customHeight="1" x14ac:dyDescent="0.2">
      <c r="A327" s="241"/>
      <c r="B327" s="242"/>
      <c r="C327" s="244" t="s">
        <v>223</v>
      </c>
      <c r="D327" s="244" t="s">
        <v>224</v>
      </c>
      <c r="E327" s="244" t="s">
        <v>225</v>
      </c>
      <c r="F327" s="244" t="s">
        <v>176</v>
      </c>
      <c r="G327" s="244" t="s">
        <v>1035</v>
      </c>
      <c r="H327" s="244" t="s">
        <v>177</v>
      </c>
      <c r="I327" s="244" t="s">
        <v>226</v>
      </c>
    </row>
    <row r="328" spans="1:9" ht="20.100000000000001" customHeight="1" x14ac:dyDescent="0.2">
      <c r="A328" s="230">
        <v>3</v>
      </c>
      <c r="B328" s="238" t="s">
        <v>990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259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260</v>
      </c>
      <c r="C330" s="245">
        <f>data!BU60</f>
        <v>0</v>
      </c>
      <c r="D330" s="245">
        <f>data!BV60</f>
        <v>4.66</v>
      </c>
      <c r="E330" s="245">
        <f>data!BW60</f>
        <v>0</v>
      </c>
      <c r="F330" s="245">
        <f>data!BX60</f>
        <v>0</v>
      </c>
      <c r="G330" s="245">
        <f>data!BY60</f>
        <v>0.71</v>
      </c>
      <c r="H330" s="245">
        <f>data!BZ60</f>
        <v>0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261</v>
      </c>
      <c r="C331" s="257">
        <f>data!BU61</f>
        <v>0</v>
      </c>
      <c r="D331" s="257">
        <f>data!BV61</f>
        <v>273935</v>
      </c>
      <c r="E331" s="257">
        <f>data!BW61</f>
        <v>0</v>
      </c>
      <c r="F331" s="257">
        <f>data!BX61</f>
        <v>0</v>
      </c>
      <c r="G331" s="257">
        <f>data!BY61</f>
        <v>168807</v>
      </c>
      <c r="H331" s="257">
        <f>data!BZ61</f>
        <v>0</v>
      </c>
      <c r="I331" s="257">
        <f>data!CA61</f>
        <v>0</v>
      </c>
    </row>
    <row r="332" spans="1:9" ht="20.100000000000001" customHeight="1" x14ac:dyDescent="0.2">
      <c r="A332" s="230">
        <v>7</v>
      </c>
      <c r="B332" s="238" t="s">
        <v>9</v>
      </c>
      <c r="C332" s="257">
        <f>data!BU62</f>
        <v>0</v>
      </c>
      <c r="D332" s="257">
        <f>data!BV62</f>
        <v>77380</v>
      </c>
      <c r="E332" s="257">
        <f>data!BW62</f>
        <v>0</v>
      </c>
      <c r="F332" s="257">
        <f>data!BX62</f>
        <v>0</v>
      </c>
      <c r="G332" s="257">
        <f>data!BY62</f>
        <v>47684</v>
      </c>
      <c r="H332" s="257">
        <f>data!BZ62</f>
        <v>0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262</v>
      </c>
      <c r="C333" s="257">
        <f>data!BU63</f>
        <v>0</v>
      </c>
      <c r="D333" s="257">
        <f>data!BV63</f>
        <v>43367</v>
      </c>
      <c r="E333" s="257">
        <f>data!BW63</f>
        <v>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263</v>
      </c>
      <c r="C334" s="257">
        <f>data!BU64</f>
        <v>0</v>
      </c>
      <c r="D334" s="257">
        <f>data!BV64</f>
        <v>4854</v>
      </c>
      <c r="E334" s="257">
        <f>data!BW64</f>
        <v>0</v>
      </c>
      <c r="F334" s="257">
        <f>data!BX64</f>
        <v>0</v>
      </c>
      <c r="G334" s="257">
        <f>data!BY64</f>
        <v>5215</v>
      </c>
      <c r="H334" s="257">
        <f>data!BZ64</f>
        <v>0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509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100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510</v>
      </c>
      <c r="C336" s="257">
        <f>data!BU66</f>
        <v>0</v>
      </c>
      <c r="D336" s="257">
        <f>data!BV66</f>
        <v>34</v>
      </c>
      <c r="E336" s="257">
        <f>data!BW66</f>
        <v>0</v>
      </c>
      <c r="F336" s="257">
        <f>data!BX66</f>
        <v>0</v>
      </c>
      <c r="G336" s="257">
        <f>data!BY66</f>
        <v>39</v>
      </c>
      <c r="H336" s="257">
        <f>data!BZ66</f>
        <v>0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14</v>
      </c>
      <c r="C337" s="257">
        <f>data!BU67</f>
        <v>0</v>
      </c>
      <c r="D337" s="257">
        <f>data!BV67</f>
        <v>4759</v>
      </c>
      <c r="E337" s="257">
        <f>data!BW67</f>
        <v>0</v>
      </c>
      <c r="F337" s="257">
        <f>data!BX67</f>
        <v>0</v>
      </c>
      <c r="G337" s="257">
        <f>data!BY67</f>
        <v>642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991</v>
      </c>
      <c r="C338" s="257">
        <f>data!BU68</f>
        <v>0</v>
      </c>
      <c r="D338" s="257">
        <f>data!BV68</f>
        <v>1615</v>
      </c>
      <c r="E338" s="257">
        <f>data!BW68</f>
        <v>0</v>
      </c>
      <c r="F338" s="257">
        <f>data!BX68</f>
        <v>0</v>
      </c>
      <c r="G338" s="257">
        <f>data!BY68</f>
        <v>1900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992</v>
      </c>
      <c r="C339" s="257">
        <f>data!BU69</f>
        <v>0</v>
      </c>
      <c r="D339" s="257">
        <f>data!BV69</f>
        <v>14159</v>
      </c>
      <c r="E339" s="257">
        <f>data!BW69</f>
        <v>0</v>
      </c>
      <c r="F339" s="257">
        <f>data!BX69</f>
        <v>0</v>
      </c>
      <c r="G339" s="257">
        <f>data!BY69</f>
        <v>10</v>
      </c>
      <c r="H339" s="257">
        <f>data!BZ69</f>
        <v>0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282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993</v>
      </c>
      <c r="C341" s="238">
        <f>data!BU85</f>
        <v>0</v>
      </c>
      <c r="D341" s="238">
        <f>data!BV85</f>
        <v>420103</v>
      </c>
      <c r="E341" s="238">
        <f>data!BW85</f>
        <v>0</v>
      </c>
      <c r="F341" s="238">
        <f>data!BX85</f>
        <v>0</v>
      </c>
      <c r="G341" s="238">
        <f>data!BY85</f>
        <v>224397</v>
      </c>
      <c r="H341" s="238">
        <f>data!BZ85</f>
        <v>0</v>
      </c>
      <c r="I341" s="238">
        <f>data!CA85</f>
        <v>0</v>
      </c>
    </row>
    <row r="342" spans="1:9" ht="20.100000000000001" customHeight="1" x14ac:dyDescent="0.2">
      <c r="A342" s="230">
        <v>17</v>
      </c>
      <c r="B342" s="238" t="s">
        <v>284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994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995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996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997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998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999</v>
      </c>
      <c r="C348" s="254">
        <f>data!BU90</f>
        <v>0</v>
      </c>
      <c r="D348" s="254">
        <f>data!BV90</f>
        <v>356</v>
      </c>
      <c r="E348" s="254">
        <f>data!BW90</f>
        <v>0</v>
      </c>
      <c r="F348" s="254">
        <f>data!BX90</f>
        <v>0</v>
      </c>
      <c r="G348" s="254">
        <f>data!BY90</f>
        <v>48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1000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1001</v>
      </c>
      <c r="C350" s="254">
        <f>data!BU92</f>
        <v>0</v>
      </c>
      <c r="D350" s="254">
        <f>data!BV92</f>
        <v>98</v>
      </c>
      <c r="E350" s="254">
        <f>data!BW92</f>
        <v>0</v>
      </c>
      <c r="F350" s="254">
        <f>data!BX92</f>
        <v>0</v>
      </c>
      <c r="G350" s="254">
        <f>data!BY92</f>
        <v>13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1002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292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984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1037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 xml:space="preserve">Hospital: Garfield County Public Hospital District 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234</v>
      </c>
      <c r="C357" s="240">
        <v>8910</v>
      </c>
      <c r="D357" s="240">
        <v>8930</v>
      </c>
      <c r="E357" s="240" t="s">
        <v>113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986</v>
      </c>
      <c r="C358" s="244" t="s">
        <v>185</v>
      </c>
      <c r="D358" s="244" t="s">
        <v>157</v>
      </c>
      <c r="E358" s="244" t="s">
        <v>236</v>
      </c>
      <c r="F358" s="259"/>
      <c r="G358" s="259"/>
      <c r="H358" s="259"/>
      <c r="I358" s="244" t="s">
        <v>186</v>
      </c>
    </row>
    <row r="359" spans="1:9" ht="20.100000000000001" customHeight="1" x14ac:dyDescent="0.2">
      <c r="A359" s="241"/>
      <c r="B359" s="242"/>
      <c r="C359" s="244" t="s">
        <v>226</v>
      </c>
      <c r="D359" s="244" t="s">
        <v>1038</v>
      </c>
      <c r="E359" s="244" t="s">
        <v>238</v>
      </c>
      <c r="F359" s="259"/>
      <c r="G359" s="259"/>
      <c r="H359" s="259"/>
      <c r="I359" s="244" t="s">
        <v>228</v>
      </c>
    </row>
    <row r="360" spans="1:9" ht="20.100000000000001" customHeight="1" x14ac:dyDescent="0.2">
      <c r="A360" s="230">
        <v>3</v>
      </c>
      <c r="B360" s="238" t="s">
        <v>990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259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260</v>
      </c>
      <c r="C362" s="245">
        <f>data!CB60</f>
        <v>0</v>
      </c>
      <c r="D362" s="245">
        <f>data!CC60</f>
        <v>0</v>
      </c>
      <c r="E362" s="260"/>
      <c r="F362" s="248"/>
      <c r="G362" s="248"/>
      <c r="H362" s="248"/>
      <c r="I362" s="261">
        <f>data!CE60</f>
        <v>81.949999999999989</v>
      </c>
    </row>
    <row r="363" spans="1:9" ht="20.100000000000001" customHeight="1" x14ac:dyDescent="0.2">
      <c r="A363" s="230">
        <v>6</v>
      </c>
      <c r="B363" s="238" t="s">
        <v>261</v>
      </c>
      <c r="C363" s="257">
        <f>data!CB61</f>
        <v>0</v>
      </c>
      <c r="D363" s="257">
        <f>data!CC61</f>
        <v>0</v>
      </c>
      <c r="E363" s="262"/>
      <c r="F363" s="262"/>
      <c r="G363" s="262"/>
      <c r="H363" s="262"/>
      <c r="I363" s="257">
        <f>data!CE61</f>
        <v>6567039</v>
      </c>
    </row>
    <row r="364" spans="1:9" ht="20.100000000000001" customHeight="1" x14ac:dyDescent="0.2">
      <c r="A364" s="230">
        <v>7</v>
      </c>
      <c r="B364" s="238" t="s">
        <v>9</v>
      </c>
      <c r="C364" s="257">
        <f>data!CB62</f>
        <v>0</v>
      </c>
      <c r="D364" s="257">
        <f>data!CC62</f>
        <v>0</v>
      </c>
      <c r="E364" s="262"/>
      <c r="F364" s="262"/>
      <c r="G364" s="262"/>
      <c r="H364" s="262"/>
      <c r="I364" s="257">
        <f>data!CE62</f>
        <v>1855031</v>
      </c>
    </row>
    <row r="365" spans="1:9" ht="20.100000000000001" customHeight="1" x14ac:dyDescent="0.2">
      <c r="A365" s="230">
        <v>8</v>
      </c>
      <c r="B365" s="238" t="s">
        <v>262</v>
      </c>
      <c r="C365" s="257">
        <f>data!CB63</f>
        <v>0</v>
      </c>
      <c r="D365" s="257">
        <f>data!CC63</f>
        <v>0</v>
      </c>
      <c r="E365" s="262"/>
      <c r="F365" s="262"/>
      <c r="G365" s="262"/>
      <c r="H365" s="262"/>
      <c r="I365" s="257">
        <f>data!CE63</f>
        <v>2094891</v>
      </c>
    </row>
    <row r="366" spans="1:9" ht="20.100000000000001" customHeight="1" x14ac:dyDescent="0.2">
      <c r="A366" s="230">
        <v>9</v>
      </c>
      <c r="B366" s="238" t="s">
        <v>263</v>
      </c>
      <c r="C366" s="257">
        <f>data!CB64</f>
        <v>0</v>
      </c>
      <c r="D366" s="257">
        <f>data!CC64</f>
        <v>0</v>
      </c>
      <c r="E366" s="262"/>
      <c r="F366" s="262"/>
      <c r="G366" s="262"/>
      <c r="H366" s="262"/>
      <c r="I366" s="257">
        <f>data!CE64</f>
        <v>936077</v>
      </c>
    </row>
    <row r="367" spans="1:9" ht="20.100000000000001" customHeight="1" x14ac:dyDescent="0.2">
      <c r="A367" s="230">
        <v>10</v>
      </c>
      <c r="B367" s="238" t="s">
        <v>509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193897</v>
      </c>
    </row>
    <row r="368" spans="1:9" ht="20.100000000000001" customHeight="1" x14ac:dyDescent="0.2">
      <c r="A368" s="230">
        <v>11</v>
      </c>
      <c r="B368" s="238" t="s">
        <v>510</v>
      </c>
      <c r="C368" s="257">
        <f>data!CB66</f>
        <v>0</v>
      </c>
      <c r="D368" s="257">
        <f>data!CC66</f>
        <v>0</v>
      </c>
      <c r="E368" s="262"/>
      <c r="F368" s="262"/>
      <c r="G368" s="262"/>
      <c r="H368" s="262"/>
      <c r="I368" s="257">
        <f>data!CE66</f>
        <v>416741</v>
      </c>
    </row>
    <row r="369" spans="1:9" ht="20.100000000000001" customHeight="1" x14ac:dyDescent="0.2">
      <c r="A369" s="230">
        <v>12</v>
      </c>
      <c r="B369" s="238" t="s">
        <v>14</v>
      </c>
      <c r="C369" s="257">
        <f>data!CB67</f>
        <v>0</v>
      </c>
      <c r="D369" s="257">
        <f>data!CC67</f>
        <v>0</v>
      </c>
      <c r="E369" s="262"/>
      <c r="F369" s="262"/>
      <c r="G369" s="262"/>
      <c r="H369" s="262"/>
      <c r="I369" s="257">
        <f>data!CE67</f>
        <v>281086</v>
      </c>
    </row>
    <row r="370" spans="1:9" ht="20.100000000000001" customHeight="1" x14ac:dyDescent="0.2">
      <c r="A370" s="230">
        <v>13</v>
      </c>
      <c r="B370" s="238" t="s">
        <v>991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66023</v>
      </c>
    </row>
    <row r="371" spans="1:9" ht="20.100000000000001" customHeight="1" x14ac:dyDescent="0.2">
      <c r="A371" s="230">
        <v>14</v>
      </c>
      <c r="B371" s="238" t="s">
        <v>992</v>
      </c>
      <c r="C371" s="257">
        <f>data!CB69</f>
        <v>0</v>
      </c>
      <c r="D371" s="257">
        <f>data!CC69</f>
        <v>0</v>
      </c>
      <c r="E371" s="257">
        <f>data!CD69</f>
        <v>220579</v>
      </c>
      <c r="F371" s="262"/>
      <c r="G371" s="262"/>
      <c r="H371" s="262"/>
      <c r="I371" s="257">
        <f>data!CE69</f>
        <v>618636</v>
      </c>
    </row>
    <row r="372" spans="1:9" ht="20.100000000000001" customHeight="1" x14ac:dyDescent="0.2">
      <c r="A372" s="230">
        <v>15</v>
      </c>
      <c r="B372" s="238" t="s">
        <v>282</v>
      </c>
      <c r="C372" s="238">
        <f>-data!CB84</f>
        <v>0</v>
      </c>
      <c r="D372" s="238">
        <f>-data!CC84</f>
        <v>0</v>
      </c>
      <c r="E372" s="238">
        <f>-data!CD84</f>
        <v>0</v>
      </c>
      <c r="F372" s="248"/>
      <c r="G372" s="248"/>
      <c r="H372" s="248"/>
      <c r="I372" s="238">
        <f>-data!CE84</f>
        <v>0</v>
      </c>
    </row>
    <row r="373" spans="1:9" ht="20.100000000000001" customHeight="1" x14ac:dyDescent="0.2">
      <c r="A373" s="230">
        <v>16</v>
      </c>
      <c r="B373" s="246" t="s">
        <v>993</v>
      </c>
      <c r="C373" s="257">
        <f>data!CB85</f>
        <v>0</v>
      </c>
      <c r="D373" s="257">
        <f>data!CC85</f>
        <v>0</v>
      </c>
      <c r="E373" s="257">
        <f>data!CD85</f>
        <v>220579</v>
      </c>
      <c r="F373" s="262"/>
      <c r="G373" s="262"/>
      <c r="H373" s="262"/>
      <c r="I373" s="238">
        <f>data!CE85</f>
        <v>13029421</v>
      </c>
    </row>
    <row r="374" spans="1:9" ht="20.100000000000001" customHeight="1" x14ac:dyDescent="0.2">
      <c r="A374" s="230">
        <v>17</v>
      </c>
      <c r="B374" s="238" t="s">
        <v>284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994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995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2639458</v>
      </c>
    </row>
    <row r="377" spans="1:9" ht="20.100000000000001" customHeight="1" x14ac:dyDescent="0.2">
      <c r="A377" s="230">
        <v>20</v>
      </c>
      <c r="B377" s="246" t="s">
        <v>996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6699613</v>
      </c>
    </row>
    <row r="378" spans="1:9" ht="20.100000000000001" customHeight="1" x14ac:dyDescent="0.2">
      <c r="A378" s="230">
        <v>21</v>
      </c>
      <c r="B378" s="246" t="s">
        <v>997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9339071</v>
      </c>
    </row>
    <row r="379" spans="1:9" ht="20.100000000000001" customHeight="1" x14ac:dyDescent="0.2">
      <c r="A379" s="230" t="s">
        <v>998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999</v>
      </c>
      <c r="C380" s="254">
        <f>data!CB90</f>
        <v>0</v>
      </c>
      <c r="D380" s="254">
        <f>data!CC90</f>
        <v>0</v>
      </c>
      <c r="E380" s="248"/>
      <c r="F380" s="248"/>
      <c r="G380" s="248"/>
      <c r="H380" s="248"/>
      <c r="I380" s="238">
        <f>data!CE90</f>
        <v>21029</v>
      </c>
    </row>
    <row r="381" spans="1:9" ht="20.100000000000001" customHeight="1" x14ac:dyDescent="0.2">
      <c r="A381" s="230">
        <v>23</v>
      </c>
      <c r="B381" s="238" t="s">
        <v>1000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19037</v>
      </c>
    </row>
    <row r="382" spans="1:9" ht="20.100000000000001" customHeight="1" x14ac:dyDescent="0.2">
      <c r="A382" s="230">
        <v>24</v>
      </c>
      <c r="B382" s="238" t="s">
        <v>1001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4134</v>
      </c>
    </row>
    <row r="383" spans="1:9" ht="20.100000000000001" customHeight="1" x14ac:dyDescent="0.2">
      <c r="A383" s="230">
        <v>25</v>
      </c>
      <c r="B383" s="238" t="s">
        <v>1002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6210</v>
      </c>
    </row>
    <row r="384" spans="1:9" ht="20.100000000000001" customHeight="1" x14ac:dyDescent="0.2">
      <c r="A384" s="230">
        <v>26</v>
      </c>
      <c r="B384" s="238" t="s">
        <v>292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34.24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BO37" transitionEvaluation="1" transitionEntry="1" codeName="Sheet1">
    <tabColor rgb="FF92D050"/>
    <pageSetUpPr autoPageBreaks="0" fitToPage="1"/>
  </sheetPr>
  <dimension ref="A1:CF716"/>
  <sheetViews>
    <sheetView topLeftCell="BO37" zoomScaleNormal="100" workbookViewId="0">
      <selection activeCell="E109" sqref="E109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7" width="11.77734375" style="11" customWidth="1"/>
    <col min="88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1345</v>
      </c>
    </row>
    <row r="3" spans="1:5" x14ac:dyDescent="0.25">
      <c r="A3" s="56" t="s">
        <v>0</v>
      </c>
      <c r="C3" s="13"/>
    </row>
    <row r="4" spans="1:5" x14ac:dyDescent="0.25">
      <c r="A4" s="56" t="s">
        <v>1</v>
      </c>
      <c r="C4" s="13"/>
    </row>
    <row r="5" spans="1:5" x14ac:dyDescent="0.25">
      <c r="A5" s="11" t="s">
        <v>2</v>
      </c>
    </row>
    <row r="7" spans="1:5" x14ac:dyDescent="0.25">
      <c r="A7" s="304" t="s">
        <v>1351</v>
      </c>
    </row>
    <row r="8" spans="1:5" x14ac:dyDescent="0.25">
      <c r="C8" s="13"/>
    </row>
    <row r="9" spans="1:5" x14ac:dyDescent="0.25">
      <c r="A9" s="56" t="s">
        <v>4</v>
      </c>
      <c r="C9" s="13"/>
    </row>
    <row r="10" spans="1:5" x14ac:dyDescent="0.25">
      <c r="A10" s="11" t="s">
        <v>5</v>
      </c>
      <c r="C10" s="13"/>
    </row>
    <row r="11" spans="1:5" x14ac:dyDescent="0.25">
      <c r="A11" s="14" t="s">
        <v>6</v>
      </c>
      <c r="C11" s="13"/>
    </row>
    <row r="12" spans="1:5" x14ac:dyDescent="0.25">
      <c r="A12" s="12" t="s">
        <v>7</v>
      </c>
      <c r="C12" s="13"/>
    </row>
    <row r="13" spans="1:5" x14ac:dyDescent="0.25">
      <c r="A13" s="11" t="s">
        <v>8</v>
      </c>
      <c r="C13" s="13"/>
    </row>
    <row r="14" spans="1:5" x14ac:dyDescent="0.25">
      <c r="C14" s="13"/>
    </row>
    <row r="15" spans="1:5" x14ac:dyDescent="0.25">
      <c r="A15" s="59" t="s">
        <v>9</v>
      </c>
    </row>
    <row r="16" spans="1:5" x14ac:dyDescent="0.25">
      <c r="A16" s="12" t="s">
        <v>10</v>
      </c>
    </row>
    <row r="17" spans="1:10" x14ac:dyDescent="0.25">
      <c r="A17" s="14" t="s">
        <v>11</v>
      </c>
    </row>
    <row r="18" spans="1:10" ht="14.45" customHeight="1" x14ac:dyDescent="0.25">
      <c r="A18" s="14" t="s">
        <v>12</v>
      </c>
    </row>
    <row r="19" spans="1:10" ht="14.45" customHeight="1" x14ac:dyDescent="0.25">
      <c r="A19" s="14" t="s">
        <v>13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14</v>
      </c>
      <c r="E21" s="58"/>
      <c r="F21" s="58"/>
      <c r="G21" s="58"/>
      <c r="I21" s="58"/>
      <c r="J21" s="58"/>
    </row>
    <row r="22" spans="1:10" ht="16.5" x14ac:dyDescent="0.25">
      <c r="A22" s="14" t="s">
        <v>15</v>
      </c>
      <c r="E22" s="57"/>
      <c r="F22" s="57"/>
      <c r="G22" s="57"/>
      <c r="I22" s="57"/>
      <c r="J22" s="57"/>
    </row>
    <row r="23" spans="1:10" ht="16.5" x14ac:dyDescent="0.25">
      <c r="A23" s="14" t="s">
        <v>16</v>
      </c>
      <c r="E23" s="57"/>
      <c r="F23" s="57"/>
      <c r="G23" s="57"/>
      <c r="I23" s="57"/>
      <c r="J23" s="57"/>
    </row>
    <row r="24" spans="1:10" x14ac:dyDescent="0.25">
      <c r="A24" s="14" t="s">
        <v>17</v>
      </c>
    </row>
    <row r="25" spans="1:10" x14ac:dyDescent="0.25">
      <c r="A25" s="14" t="s">
        <v>18</v>
      </c>
    </row>
    <row r="26" spans="1:10" x14ac:dyDescent="0.25">
      <c r="A26" s="14"/>
    </row>
    <row r="27" spans="1:10" x14ac:dyDescent="0.25">
      <c r="A27" s="12" t="s">
        <v>19</v>
      </c>
      <c r="C27" s="13"/>
    </row>
    <row r="28" spans="1:10" x14ac:dyDescent="0.25">
      <c r="A28" s="14" t="s">
        <v>20</v>
      </c>
      <c r="C28" s="13"/>
    </row>
    <row r="29" spans="1:10" x14ac:dyDescent="0.25">
      <c r="C29" s="13"/>
    </row>
    <row r="30" spans="1:10" x14ac:dyDescent="0.25">
      <c r="A30" s="11" t="s">
        <v>21</v>
      </c>
      <c r="C30" s="266" t="s">
        <v>22</v>
      </c>
      <c r="F30" s="15"/>
    </row>
    <row r="31" spans="1:10" x14ac:dyDescent="0.25">
      <c r="C31" s="13"/>
    </row>
    <row r="32" spans="1:10" x14ac:dyDescent="0.25">
      <c r="A32" s="56" t="s">
        <v>23</v>
      </c>
      <c r="B32" s="58"/>
      <c r="C32" s="58"/>
      <c r="D32" s="58"/>
    </row>
    <row r="33" spans="1:84" x14ac:dyDescent="0.25">
      <c r="A33" s="14" t="s">
        <v>24</v>
      </c>
      <c r="B33" s="58"/>
      <c r="C33" s="58"/>
      <c r="D33" s="58"/>
    </row>
    <row r="34" spans="1:84" ht="16.5" x14ac:dyDescent="0.25">
      <c r="A34" s="14" t="s">
        <v>25</v>
      </c>
      <c r="B34" s="57"/>
      <c r="C34" s="57"/>
      <c r="D34" s="57"/>
    </row>
    <row r="35" spans="1:84" ht="16.5" x14ac:dyDescent="0.25">
      <c r="B35" s="57"/>
      <c r="C35" s="57"/>
      <c r="D35" s="57"/>
      <c r="H35" s="311"/>
    </row>
    <row r="36" spans="1:84" x14ac:dyDescent="0.25">
      <c r="A36" s="299" t="s">
        <v>26</v>
      </c>
      <c r="B36" s="312"/>
      <c r="C36" s="313"/>
      <c r="D36" s="312"/>
      <c r="E36" s="312"/>
      <c r="F36" s="312"/>
      <c r="G36" s="312"/>
    </row>
    <row r="37" spans="1:84" x14ac:dyDescent="0.25">
      <c r="A37" s="314" t="s">
        <v>27</v>
      </c>
      <c r="B37" s="315"/>
      <c r="C37" s="313"/>
      <c r="D37" s="312"/>
      <c r="E37" s="312"/>
      <c r="F37" s="312"/>
      <c r="G37" s="312"/>
    </row>
    <row r="38" spans="1:84" x14ac:dyDescent="0.25">
      <c r="A38" s="316" t="s">
        <v>28</v>
      </c>
      <c r="B38" s="315"/>
      <c r="C38" s="313"/>
      <c r="D38" s="312"/>
      <c r="E38" s="312"/>
      <c r="F38" s="312"/>
      <c r="G38" s="312"/>
    </row>
    <row r="39" spans="1:84" x14ac:dyDescent="0.25">
      <c r="A39" s="317" t="s">
        <v>29</v>
      </c>
      <c r="B39" s="312"/>
      <c r="C39" s="313"/>
      <c r="D39" s="312"/>
      <c r="E39" s="312"/>
      <c r="F39" s="312"/>
      <c r="G39" s="312"/>
    </row>
    <row r="40" spans="1:84" x14ac:dyDescent="0.25">
      <c r="A40" s="316" t="s">
        <v>30</v>
      </c>
      <c r="B40" s="312"/>
      <c r="C40" s="313"/>
      <c r="D40" s="312"/>
      <c r="E40" s="312"/>
      <c r="F40" s="312"/>
      <c r="G40" s="312"/>
    </row>
    <row r="41" spans="1:84" x14ac:dyDescent="0.25">
      <c r="C41" s="13"/>
    </row>
    <row r="42" spans="1:84" x14ac:dyDescent="0.25">
      <c r="A42" s="11" t="s">
        <v>31</v>
      </c>
      <c r="C42" s="13"/>
      <c r="F42" s="15" t="s">
        <v>32</v>
      </c>
    </row>
    <row r="43" spans="1:84" x14ac:dyDescent="0.25">
      <c r="A43" s="266" t="s">
        <v>33</v>
      </c>
      <c r="C43" s="13"/>
    </row>
    <row r="44" spans="1:84" x14ac:dyDescent="0.25">
      <c r="A44" s="16"/>
      <c r="B44" s="16"/>
      <c r="C44" s="17" t="s">
        <v>34</v>
      </c>
      <c r="D44" s="18" t="s">
        <v>35</v>
      </c>
      <c r="E44" s="18" t="s">
        <v>36</v>
      </c>
      <c r="F44" s="18" t="s">
        <v>37</v>
      </c>
      <c r="G44" s="18" t="s">
        <v>38</v>
      </c>
      <c r="H44" s="18" t="s">
        <v>39</v>
      </c>
      <c r="I44" s="18" t="s">
        <v>40</v>
      </c>
      <c r="J44" s="18" t="s">
        <v>41</v>
      </c>
      <c r="K44" s="18" t="s">
        <v>42</v>
      </c>
      <c r="L44" s="18" t="s">
        <v>43</v>
      </c>
      <c r="M44" s="18" t="s">
        <v>44</v>
      </c>
      <c r="N44" s="18" t="s">
        <v>45</v>
      </c>
      <c r="O44" s="18" t="s">
        <v>46</v>
      </c>
      <c r="P44" s="18" t="s">
        <v>47</v>
      </c>
      <c r="Q44" s="18" t="s">
        <v>48</v>
      </c>
      <c r="R44" s="18" t="s">
        <v>49</v>
      </c>
      <c r="S44" s="18" t="s">
        <v>50</v>
      </c>
      <c r="T44" s="18" t="s">
        <v>51</v>
      </c>
      <c r="U44" s="18" t="s">
        <v>52</v>
      </c>
      <c r="V44" s="18" t="s">
        <v>53</v>
      </c>
      <c r="W44" s="18" t="s">
        <v>54</v>
      </c>
      <c r="X44" s="18" t="s">
        <v>55</v>
      </c>
      <c r="Y44" s="18" t="s">
        <v>56</v>
      </c>
      <c r="Z44" s="18" t="s">
        <v>57</v>
      </c>
      <c r="AA44" s="18" t="s">
        <v>58</v>
      </c>
      <c r="AB44" s="18" t="s">
        <v>59</v>
      </c>
      <c r="AC44" s="18" t="s">
        <v>60</v>
      </c>
      <c r="AD44" s="18" t="s">
        <v>61</v>
      </c>
      <c r="AE44" s="18" t="s">
        <v>62</v>
      </c>
      <c r="AF44" s="18" t="s">
        <v>63</v>
      </c>
      <c r="AG44" s="18" t="s">
        <v>64</v>
      </c>
      <c r="AH44" s="18" t="s">
        <v>65</v>
      </c>
      <c r="AI44" s="18" t="s">
        <v>66</v>
      </c>
      <c r="AJ44" s="18" t="s">
        <v>67</v>
      </c>
      <c r="AK44" s="18" t="s">
        <v>68</v>
      </c>
      <c r="AL44" s="18" t="s">
        <v>69</v>
      </c>
      <c r="AM44" s="18" t="s">
        <v>70</v>
      </c>
      <c r="AN44" s="18" t="s">
        <v>71</v>
      </c>
      <c r="AO44" s="18" t="s">
        <v>72</v>
      </c>
      <c r="AP44" s="18" t="s">
        <v>73</v>
      </c>
      <c r="AQ44" s="18" t="s">
        <v>74</v>
      </c>
      <c r="AR44" s="18" t="s">
        <v>75</v>
      </c>
      <c r="AS44" s="18" t="s">
        <v>76</v>
      </c>
      <c r="AT44" s="18" t="s">
        <v>77</v>
      </c>
      <c r="AU44" s="18" t="s">
        <v>78</v>
      </c>
      <c r="AV44" s="18" t="s">
        <v>79</v>
      </c>
      <c r="AW44" s="18" t="s">
        <v>80</v>
      </c>
      <c r="AX44" s="18" t="s">
        <v>81</v>
      </c>
      <c r="AY44" s="18" t="s">
        <v>82</v>
      </c>
      <c r="AZ44" s="18" t="s">
        <v>83</v>
      </c>
      <c r="BA44" s="18" t="s">
        <v>84</v>
      </c>
      <c r="BB44" s="18" t="s">
        <v>85</v>
      </c>
      <c r="BC44" s="18" t="s">
        <v>86</v>
      </c>
      <c r="BD44" s="18" t="s">
        <v>87</v>
      </c>
      <c r="BE44" s="18" t="s">
        <v>88</v>
      </c>
      <c r="BF44" s="18" t="s">
        <v>89</v>
      </c>
      <c r="BG44" s="18" t="s">
        <v>90</v>
      </c>
      <c r="BH44" s="18" t="s">
        <v>91</v>
      </c>
      <c r="BI44" s="18" t="s">
        <v>92</v>
      </c>
      <c r="BJ44" s="18" t="s">
        <v>93</v>
      </c>
      <c r="BK44" s="18" t="s">
        <v>94</v>
      </c>
      <c r="BL44" s="18" t="s">
        <v>95</v>
      </c>
      <c r="BM44" s="18" t="s">
        <v>96</v>
      </c>
      <c r="BN44" s="18" t="s">
        <v>97</v>
      </c>
      <c r="BO44" s="18" t="s">
        <v>98</v>
      </c>
      <c r="BP44" s="18" t="s">
        <v>99</v>
      </c>
      <c r="BQ44" s="18" t="s">
        <v>100</v>
      </c>
      <c r="BR44" s="18" t="s">
        <v>101</v>
      </c>
      <c r="BS44" s="18" t="s">
        <v>102</v>
      </c>
      <c r="BT44" s="18" t="s">
        <v>103</v>
      </c>
      <c r="BU44" s="18" t="s">
        <v>104</v>
      </c>
      <c r="BV44" s="18" t="s">
        <v>105</v>
      </c>
      <c r="BW44" s="18" t="s">
        <v>106</v>
      </c>
      <c r="BX44" s="18" t="s">
        <v>107</v>
      </c>
      <c r="BY44" s="18" t="s">
        <v>108</v>
      </c>
      <c r="BZ44" s="18" t="s">
        <v>109</v>
      </c>
      <c r="CA44" s="18" t="s">
        <v>110</v>
      </c>
      <c r="CB44" s="18" t="s">
        <v>111</v>
      </c>
      <c r="CC44" s="18" t="s">
        <v>112</v>
      </c>
      <c r="CD44" s="18" t="s">
        <v>113</v>
      </c>
      <c r="CE44" s="18" t="s">
        <v>114</v>
      </c>
    </row>
    <row r="45" spans="1:84" x14ac:dyDescent="0.25">
      <c r="A45" s="16"/>
      <c r="B45" s="19" t="s">
        <v>115</v>
      </c>
      <c r="C45" s="17" t="s">
        <v>116</v>
      </c>
      <c r="D45" s="18" t="s">
        <v>117</v>
      </c>
      <c r="E45" s="18" t="s">
        <v>118</v>
      </c>
      <c r="F45" s="18" t="s">
        <v>119</v>
      </c>
      <c r="G45" s="18" t="s">
        <v>120</v>
      </c>
      <c r="H45" s="18" t="s">
        <v>121</v>
      </c>
      <c r="I45" s="18" t="s">
        <v>122</v>
      </c>
      <c r="J45" s="18" t="s">
        <v>123</v>
      </c>
      <c r="K45" s="18" t="s">
        <v>124</v>
      </c>
      <c r="L45" s="18" t="s">
        <v>125</v>
      </c>
      <c r="M45" s="18" t="s">
        <v>126</v>
      </c>
      <c r="N45" s="18" t="s">
        <v>127</v>
      </c>
      <c r="O45" s="18" t="s">
        <v>128</v>
      </c>
      <c r="P45" s="18" t="s">
        <v>129</v>
      </c>
      <c r="Q45" s="18" t="s">
        <v>130</v>
      </c>
      <c r="R45" s="18" t="s">
        <v>131</v>
      </c>
      <c r="S45" s="18" t="s">
        <v>132</v>
      </c>
      <c r="T45" s="18" t="s">
        <v>133</v>
      </c>
      <c r="U45" s="18" t="s">
        <v>134</v>
      </c>
      <c r="V45" s="18" t="s">
        <v>135</v>
      </c>
      <c r="W45" s="18" t="s">
        <v>136</v>
      </c>
      <c r="X45" s="18" t="s">
        <v>137</v>
      </c>
      <c r="Y45" s="18" t="s">
        <v>138</v>
      </c>
      <c r="Z45" s="18" t="s">
        <v>138</v>
      </c>
      <c r="AA45" s="18" t="s">
        <v>139</v>
      </c>
      <c r="AB45" s="18" t="s">
        <v>140</v>
      </c>
      <c r="AC45" s="18" t="s">
        <v>141</v>
      </c>
      <c r="AD45" s="18" t="s">
        <v>142</v>
      </c>
      <c r="AE45" s="18" t="s">
        <v>120</v>
      </c>
      <c r="AF45" s="18" t="s">
        <v>121</v>
      </c>
      <c r="AG45" s="18" t="s">
        <v>143</v>
      </c>
      <c r="AH45" s="18" t="s">
        <v>144</v>
      </c>
      <c r="AI45" s="18" t="s">
        <v>145</v>
      </c>
      <c r="AJ45" s="18" t="s">
        <v>146</v>
      </c>
      <c r="AK45" s="18" t="s">
        <v>147</v>
      </c>
      <c r="AL45" s="18" t="s">
        <v>148</v>
      </c>
      <c r="AM45" s="18" t="s">
        <v>149</v>
      </c>
      <c r="AN45" s="18" t="s">
        <v>135</v>
      </c>
      <c r="AO45" s="18" t="s">
        <v>150</v>
      </c>
      <c r="AP45" s="18" t="s">
        <v>151</v>
      </c>
      <c r="AQ45" s="18" t="s">
        <v>152</v>
      </c>
      <c r="AR45" s="18" t="s">
        <v>153</v>
      </c>
      <c r="AS45" s="18" t="s">
        <v>154</v>
      </c>
      <c r="AT45" s="18" t="s">
        <v>155</v>
      </c>
      <c r="AU45" s="18" t="s">
        <v>156</v>
      </c>
      <c r="AV45" s="18" t="s">
        <v>157</v>
      </c>
      <c r="AW45" s="18" t="s">
        <v>158</v>
      </c>
      <c r="AX45" s="18" t="s">
        <v>159</v>
      </c>
      <c r="AY45" s="18" t="s">
        <v>160</v>
      </c>
      <c r="AZ45" s="18" t="s">
        <v>161</v>
      </c>
      <c r="BA45" s="18" t="s">
        <v>162</v>
      </c>
      <c r="BB45" s="18" t="s">
        <v>163</v>
      </c>
      <c r="BC45" s="18" t="s">
        <v>132</v>
      </c>
      <c r="BD45" s="18" t="s">
        <v>164</v>
      </c>
      <c r="BE45" s="18" t="s">
        <v>165</v>
      </c>
      <c r="BF45" s="18" t="s">
        <v>166</v>
      </c>
      <c r="BG45" s="18" t="s">
        <v>167</v>
      </c>
      <c r="BH45" s="18" t="s">
        <v>168</v>
      </c>
      <c r="BI45" s="18" t="s">
        <v>169</v>
      </c>
      <c r="BJ45" s="18" t="s">
        <v>170</v>
      </c>
      <c r="BK45" s="18" t="s">
        <v>171</v>
      </c>
      <c r="BL45" s="18" t="s">
        <v>172</v>
      </c>
      <c r="BM45" s="18" t="s">
        <v>157</v>
      </c>
      <c r="BN45" s="18" t="s">
        <v>173</v>
      </c>
      <c r="BO45" s="18" t="s">
        <v>174</v>
      </c>
      <c r="BP45" s="18" t="s">
        <v>175</v>
      </c>
      <c r="BQ45" s="18" t="s">
        <v>176</v>
      </c>
      <c r="BR45" s="18" t="s">
        <v>177</v>
      </c>
      <c r="BS45" s="18" t="s">
        <v>178</v>
      </c>
      <c r="BT45" s="18" t="s">
        <v>179</v>
      </c>
      <c r="BU45" s="18" t="s">
        <v>180</v>
      </c>
      <c r="BV45" s="18" t="s">
        <v>180</v>
      </c>
      <c r="BW45" s="18" t="s">
        <v>180</v>
      </c>
      <c r="BX45" s="18" t="s">
        <v>181</v>
      </c>
      <c r="BY45" s="18" t="s">
        <v>182</v>
      </c>
      <c r="BZ45" s="18" t="s">
        <v>183</v>
      </c>
      <c r="CA45" s="18" t="s">
        <v>184</v>
      </c>
      <c r="CB45" s="18" t="s">
        <v>185</v>
      </c>
      <c r="CC45" s="18" t="s">
        <v>157</v>
      </c>
      <c r="CD45" s="18"/>
      <c r="CE45" s="18" t="s">
        <v>186</v>
      </c>
    </row>
    <row r="46" spans="1:84" x14ac:dyDescent="0.25">
      <c r="A46" s="16" t="s">
        <v>9</v>
      </c>
      <c r="B46" s="18" t="s">
        <v>187</v>
      </c>
      <c r="C46" s="17" t="s">
        <v>188</v>
      </c>
      <c r="D46" s="18" t="s">
        <v>188</v>
      </c>
      <c r="E46" s="18" t="s">
        <v>188</v>
      </c>
      <c r="F46" s="18" t="s">
        <v>189</v>
      </c>
      <c r="G46" s="18" t="s">
        <v>190</v>
      </c>
      <c r="H46" s="18" t="s">
        <v>188</v>
      </c>
      <c r="I46" s="18" t="s">
        <v>191</v>
      </c>
      <c r="J46" s="18"/>
      <c r="K46" s="18" t="s">
        <v>182</v>
      </c>
      <c r="L46" s="18" t="s">
        <v>192</v>
      </c>
      <c r="M46" s="18" t="s">
        <v>193</v>
      </c>
      <c r="N46" s="18" t="s">
        <v>194</v>
      </c>
      <c r="O46" s="18" t="s">
        <v>195</v>
      </c>
      <c r="P46" s="18" t="s">
        <v>194</v>
      </c>
      <c r="Q46" s="18" t="s">
        <v>196</v>
      </c>
      <c r="R46" s="18"/>
      <c r="S46" s="18" t="s">
        <v>194</v>
      </c>
      <c r="T46" s="18" t="s">
        <v>197</v>
      </c>
      <c r="U46" s="18"/>
      <c r="V46" s="18" t="s">
        <v>198</v>
      </c>
      <c r="W46" s="18" t="s">
        <v>199</v>
      </c>
      <c r="X46" s="18" t="s">
        <v>200</v>
      </c>
      <c r="Y46" s="18" t="s">
        <v>201</v>
      </c>
      <c r="Z46" s="18" t="s">
        <v>202</v>
      </c>
      <c r="AA46" s="18" t="s">
        <v>203</v>
      </c>
      <c r="AB46" s="18"/>
      <c r="AC46" s="18" t="s">
        <v>197</v>
      </c>
      <c r="AD46" s="18"/>
      <c r="AE46" s="18" t="s">
        <v>197</v>
      </c>
      <c r="AF46" s="18" t="s">
        <v>204</v>
      </c>
      <c r="AG46" s="18" t="s">
        <v>196</v>
      </c>
      <c r="AH46" s="18"/>
      <c r="AI46" s="18" t="s">
        <v>205</v>
      </c>
      <c r="AJ46" s="18"/>
      <c r="AK46" s="18" t="s">
        <v>197</v>
      </c>
      <c r="AL46" s="18" t="s">
        <v>197</v>
      </c>
      <c r="AM46" s="18" t="s">
        <v>197</v>
      </c>
      <c r="AN46" s="18" t="s">
        <v>206</v>
      </c>
      <c r="AO46" s="18" t="s">
        <v>207</v>
      </c>
      <c r="AP46" s="18" t="s">
        <v>146</v>
      </c>
      <c r="AQ46" s="18" t="s">
        <v>208</v>
      </c>
      <c r="AR46" s="18" t="s">
        <v>194</v>
      </c>
      <c r="AS46" s="18"/>
      <c r="AT46" s="18" t="s">
        <v>209</v>
      </c>
      <c r="AU46" s="18" t="s">
        <v>210</v>
      </c>
      <c r="AV46" s="18" t="s">
        <v>211</v>
      </c>
      <c r="AW46" s="18" t="s">
        <v>212</v>
      </c>
      <c r="AX46" s="18" t="s">
        <v>213</v>
      </c>
      <c r="AY46" s="18"/>
      <c r="AZ46" s="18"/>
      <c r="BA46" s="18" t="s">
        <v>214</v>
      </c>
      <c r="BB46" s="18" t="s">
        <v>194</v>
      </c>
      <c r="BC46" s="18" t="s">
        <v>208</v>
      </c>
      <c r="BD46" s="18"/>
      <c r="BE46" s="18"/>
      <c r="BF46" s="18"/>
      <c r="BG46" s="18"/>
      <c r="BH46" s="18" t="s">
        <v>215</v>
      </c>
      <c r="BI46" s="18" t="s">
        <v>194</v>
      </c>
      <c r="BJ46" s="18"/>
      <c r="BK46" s="18" t="s">
        <v>216</v>
      </c>
      <c r="BL46" s="18"/>
      <c r="BM46" s="18" t="s">
        <v>217</v>
      </c>
      <c r="BN46" s="18" t="s">
        <v>218</v>
      </c>
      <c r="BO46" s="18" t="s">
        <v>219</v>
      </c>
      <c r="BP46" s="18" t="s">
        <v>220</v>
      </c>
      <c r="BQ46" s="18" t="s">
        <v>221</v>
      </c>
      <c r="BR46" s="18"/>
      <c r="BS46" s="18" t="s">
        <v>222</v>
      </c>
      <c r="BT46" s="18" t="s">
        <v>194</v>
      </c>
      <c r="BU46" s="18" t="s">
        <v>223</v>
      </c>
      <c r="BV46" s="18" t="s">
        <v>224</v>
      </c>
      <c r="BW46" s="18" t="s">
        <v>225</v>
      </c>
      <c r="BX46" s="18" t="s">
        <v>176</v>
      </c>
      <c r="BY46" s="18" t="s">
        <v>218</v>
      </c>
      <c r="BZ46" s="18" t="s">
        <v>177</v>
      </c>
      <c r="CA46" s="18" t="s">
        <v>226</v>
      </c>
      <c r="CB46" s="18" t="s">
        <v>226</v>
      </c>
      <c r="CC46" s="18" t="s">
        <v>227</v>
      </c>
      <c r="CD46" s="18"/>
      <c r="CE46" s="18" t="s">
        <v>228</v>
      </c>
    </row>
    <row r="47" spans="1:84" x14ac:dyDescent="0.25">
      <c r="A47" s="16" t="s">
        <v>229</v>
      </c>
      <c r="B47" s="272">
        <v>0</v>
      </c>
      <c r="C47" s="273">
        <v>0</v>
      </c>
      <c r="D47" s="273">
        <v>0</v>
      </c>
      <c r="E47" s="273">
        <v>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0</v>
      </c>
      <c r="AC47" s="273">
        <v>0</v>
      </c>
      <c r="AD47" s="273">
        <v>0</v>
      </c>
      <c r="AE47" s="273">
        <v>0</v>
      </c>
      <c r="AF47" s="273">
        <v>0</v>
      </c>
      <c r="AG47" s="273">
        <v>0</v>
      </c>
      <c r="AH47" s="273">
        <v>0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0</v>
      </c>
      <c r="AZ47" s="273">
        <v>0</v>
      </c>
      <c r="BA47" s="273">
        <v>0</v>
      </c>
      <c r="BB47" s="273">
        <v>0</v>
      </c>
      <c r="BC47" s="273">
        <v>0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0</v>
      </c>
      <c r="CD47" s="16"/>
      <c r="CE47" s="25">
        <f>SUM(C47:CC47)</f>
        <v>0</v>
      </c>
      <c r="CF47" s="318">
        <v>0</v>
      </c>
    </row>
    <row r="48" spans="1:84" x14ac:dyDescent="0.25">
      <c r="A48" s="25" t="s">
        <v>230</v>
      </c>
      <c r="B48" s="272">
        <v>674145</v>
      </c>
      <c r="C48" s="25">
        <f>IF($B$48,(ROUND((($B$48/$CE$61)*C61),0)))</f>
        <v>0</v>
      </c>
      <c r="D48" s="25">
        <f t="shared" ref="D48:BO48" si="0">IF($B$48,(ROUND((($B$48/$CE$61)*D61),0)))</f>
        <v>0</v>
      </c>
      <c r="E48" s="25">
        <f t="shared" si="0"/>
        <v>3780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249175</v>
      </c>
      <c r="M48" s="25">
        <f t="shared" si="0"/>
        <v>0</v>
      </c>
      <c r="N48" s="25">
        <f t="shared" si="0"/>
        <v>0</v>
      </c>
      <c r="O48" s="25">
        <f t="shared" si="0"/>
        <v>0</v>
      </c>
      <c r="P48" s="25">
        <f t="shared" si="0"/>
        <v>0</v>
      </c>
      <c r="Q48" s="25">
        <f t="shared" si="0"/>
        <v>0</v>
      </c>
      <c r="R48" s="25">
        <f t="shared" si="0"/>
        <v>0</v>
      </c>
      <c r="S48" s="25">
        <f t="shared" si="0"/>
        <v>5919</v>
      </c>
      <c r="T48" s="25">
        <f t="shared" si="0"/>
        <v>0</v>
      </c>
      <c r="U48" s="25">
        <f t="shared" si="0"/>
        <v>34808</v>
      </c>
      <c r="V48" s="25">
        <f t="shared" si="0"/>
        <v>230</v>
      </c>
      <c r="W48" s="25">
        <f t="shared" si="0"/>
        <v>0</v>
      </c>
      <c r="X48" s="25">
        <f t="shared" si="0"/>
        <v>0</v>
      </c>
      <c r="Y48" s="25">
        <f t="shared" si="0"/>
        <v>41230</v>
      </c>
      <c r="Z48" s="25">
        <f t="shared" si="0"/>
        <v>0</v>
      </c>
      <c r="AA48" s="25">
        <f t="shared" si="0"/>
        <v>0</v>
      </c>
      <c r="AB48" s="25">
        <f t="shared" si="0"/>
        <v>0</v>
      </c>
      <c r="AC48" s="25">
        <f t="shared" si="0"/>
        <v>0</v>
      </c>
      <c r="AD48" s="25">
        <f t="shared" si="0"/>
        <v>0</v>
      </c>
      <c r="AE48" s="25">
        <f t="shared" si="0"/>
        <v>21304</v>
      </c>
      <c r="AF48" s="25">
        <f t="shared" si="0"/>
        <v>0</v>
      </c>
      <c r="AG48" s="25">
        <f t="shared" si="0"/>
        <v>87768</v>
      </c>
      <c r="AH48" s="25">
        <f t="shared" si="0"/>
        <v>0</v>
      </c>
      <c r="AI48" s="25">
        <f t="shared" si="0"/>
        <v>0</v>
      </c>
      <c r="AJ48" s="25">
        <f t="shared" si="0"/>
        <v>47186</v>
      </c>
      <c r="AK48" s="25">
        <f t="shared" si="0"/>
        <v>0</v>
      </c>
      <c r="AL48" s="25">
        <f t="shared" si="0"/>
        <v>0</v>
      </c>
      <c r="AM48" s="25">
        <f t="shared" si="0"/>
        <v>0</v>
      </c>
      <c r="AN48" s="25">
        <f t="shared" si="0"/>
        <v>0</v>
      </c>
      <c r="AO48" s="25">
        <f t="shared" si="0"/>
        <v>999</v>
      </c>
      <c r="AP48" s="25">
        <f t="shared" si="0"/>
        <v>0</v>
      </c>
      <c r="AQ48" s="25">
        <f t="shared" si="0"/>
        <v>0</v>
      </c>
      <c r="AR48" s="25">
        <f t="shared" si="0"/>
        <v>0</v>
      </c>
      <c r="AS48" s="25">
        <f t="shared" si="0"/>
        <v>0</v>
      </c>
      <c r="AT48" s="25">
        <f t="shared" si="0"/>
        <v>0</v>
      </c>
      <c r="AU48" s="25">
        <f t="shared" si="0"/>
        <v>0</v>
      </c>
      <c r="AV48" s="25">
        <f t="shared" si="0"/>
        <v>0</v>
      </c>
      <c r="AW48" s="25">
        <f t="shared" si="0"/>
        <v>0</v>
      </c>
      <c r="AX48" s="25">
        <f t="shared" si="0"/>
        <v>0</v>
      </c>
      <c r="AY48" s="25">
        <f t="shared" si="0"/>
        <v>28860</v>
      </c>
      <c r="AZ48" s="25">
        <f t="shared" si="0"/>
        <v>0</v>
      </c>
      <c r="BA48" s="25">
        <f t="shared" si="0"/>
        <v>6403</v>
      </c>
      <c r="BB48" s="25">
        <f t="shared" si="0"/>
        <v>14270</v>
      </c>
      <c r="BC48" s="25">
        <f t="shared" si="0"/>
        <v>0</v>
      </c>
      <c r="BD48" s="25">
        <f t="shared" si="0"/>
        <v>0</v>
      </c>
      <c r="BE48" s="25">
        <f t="shared" si="0"/>
        <v>17307</v>
      </c>
      <c r="BF48" s="25">
        <f t="shared" si="0"/>
        <v>11628</v>
      </c>
      <c r="BG48" s="25">
        <f t="shared" si="0"/>
        <v>0</v>
      </c>
      <c r="BH48" s="25">
        <f t="shared" si="0"/>
        <v>7342</v>
      </c>
      <c r="BI48" s="25">
        <f t="shared" si="0"/>
        <v>0</v>
      </c>
      <c r="BJ48" s="25">
        <f t="shared" si="0"/>
        <v>22953</v>
      </c>
      <c r="BK48" s="25">
        <f t="shared" si="0"/>
        <v>0</v>
      </c>
      <c r="BL48" s="25">
        <f t="shared" si="0"/>
        <v>0</v>
      </c>
      <c r="BM48" s="25">
        <f t="shared" si="0"/>
        <v>0</v>
      </c>
      <c r="BN48" s="25">
        <f t="shared" si="0"/>
        <v>12154</v>
      </c>
      <c r="BO48" s="25">
        <f t="shared" si="0"/>
        <v>0</v>
      </c>
      <c r="BP48" s="25">
        <f t="shared" ref="BP48:CD48" si="1">IF($B$48,(ROUND((($B$48/$CE$61)*BP61),0)))</f>
        <v>0</v>
      </c>
      <c r="BQ48" s="25">
        <f t="shared" si="1"/>
        <v>0</v>
      </c>
      <c r="BR48" s="25">
        <f t="shared" si="1"/>
        <v>10064</v>
      </c>
      <c r="BS48" s="25">
        <f t="shared" si="1"/>
        <v>0</v>
      </c>
      <c r="BT48" s="25">
        <f t="shared" si="1"/>
        <v>0</v>
      </c>
      <c r="BU48" s="25">
        <f t="shared" si="1"/>
        <v>0</v>
      </c>
      <c r="BV48" s="25">
        <f t="shared" si="1"/>
        <v>28866</v>
      </c>
      <c r="BW48" s="25">
        <f t="shared" si="1"/>
        <v>0</v>
      </c>
      <c r="BX48" s="25">
        <f t="shared" si="1"/>
        <v>0</v>
      </c>
      <c r="BY48" s="25">
        <f t="shared" si="1"/>
        <v>21900</v>
      </c>
      <c r="BZ48" s="25">
        <f t="shared" si="1"/>
        <v>0</v>
      </c>
      <c r="CA48" s="25">
        <f t="shared" si="1"/>
        <v>0</v>
      </c>
      <c r="CB48" s="25">
        <f t="shared" si="1"/>
        <v>0</v>
      </c>
      <c r="CC48" s="25">
        <f t="shared" si="1"/>
        <v>0</v>
      </c>
      <c r="CD48" s="25">
        <f t="shared" si="1"/>
        <v>0</v>
      </c>
      <c r="CE48" s="25">
        <f>SUM(C48:CD48)</f>
        <v>674146</v>
      </c>
      <c r="CF48" s="318">
        <v>0</v>
      </c>
    </row>
    <row r="49" spans="1:84" x14ac:dyDescent="0.25">
      <c r="A49" s="16" t="s">
        <v>231</v>
      </c>
      <c r="B49" s="25">
        <f>B47+B48</f>
        <v>674145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18">
        <v>0</v>
      </c>
    </row>
    <row r="50" spans="1:84" x14ac:dyDescent="0.25">
      <c r="A50" s="16" t="s">
        <v>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18">
        <v>0</v>
      </c>
    </row>
    <row r="51" spans="1:84" x14ac:dyDescent="0.25">
      <c r="A51" s="21" t="s">
        <v>232</v>
      </c>
      <c r="B51" s="273">
        <v>0</v>
      </c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f>SUM(C51:CD51)</f>
        <v>0</v>
      </c>
      <c r="CF51" s="318">
        <v>0</v>
      </c>
    </row>
    <row r="52" spans="1:84" x14ac:dyDescent="0.25">
      <c r="A52" s="31" t="s">
        <v>233</v>
      </c>
      <c r="B52" s="319">
        <v>248643</v>
      </c>
      <c r="C52" s="25">
        <f>IF($B$52,ROUND(($B$52/($CE$90+$CF$90)*C90),0))</f>
        <v>0</v>
      </c>
      <c r="D52" s="25">
        <f t="shared" ref="D52:BO52" si="2">IF($B$52,ROUND(($B$52/($CE$90+$CF$90)*D90),0))</f>
        <v>0</v>
      </c>
      <c r="E52" s="25">
        <f>IF($B$52,ROUND(($B$52/($CE$90+$CF$90)*E90),0))</f>
        <v>1759</v>
      </c>
      <c r="F52" s="25">
        <f t="shared" si="2"/>
        <v>0</v>
      </c>
      <c r="G52" s="25">
        <f t="shared" si="2"/>
        <v>0</v>
      </c>
      <c r="H52" s="25">
        <f t="shared" si="2"/>
        <v>0</v>
      </c>
      <c r="I52" s="25">
        <f t="shared" si="2"/>
        <v>0</v>
      </c>
      <c r="J52" s="25">
        <f t="shared" si="2"/>
        <v>0</v>
      </c>
      <c r="K52" s="25">
        <f t="shared" si="2"/>
        <v>0</v>
      </c>
      <c r="L52" s="25">
        <f t="shared" si="2"/>
        <v>116080</v>
      </c>
      <c r="M52" s="25">
        <f t="shared" si="2"/>
        <v>0</v>
      </c>
      <c r="N52" s="25">
        <f t="shared" si="2"/>
        <v>0</v>
      </c>
      <c r="O52" s="25">
        <f t="shared" si="2"/>
        <v>0</v>
      </c>
      <c r="P52" s="25">
        <f t="shared" si="2"/>
        <v>0</v>
      </c>
      <c r="Q52" s="25">
        <f t="shared" si="2"/>
        <v>0</v>
      </c>
      <c r="R52" s="25">
        <f t="shared" si="2"/>
        <v>0</v>
      </c>
      <c r="S52" s="25">
        <f t="shared" si="2"/>
        <v>3411</v>
      </c>
      <c r="T52" s="25">
        <f t="shared" si="2"/>
        <v>0</v>
      </c>
      <c r="U52" s="25">
        <f t="shared" si="2"/>
        <v>7000</v>
      </c>
      <c r="V52" s="25">
        <f t="shared" si="2"/>
        <v>166</v>
      </c>
      <c r="W52" s="25">
        <f t="shared" si="2"/>
        <v>0</v>
      </c>
      <c r="X52" s="25">
        <f t="shared" si="2"/>
        <v>0</v>
      </c>
      <c r="Y52" s="25">
        <f t="shared" si="2"/>
        <v>1711</v>
      </c>
      <c r="Z52" s="25">
        <f t="shared" si="2"/>
        <v>0</v>
      </c>
      <c r="AA52" s="25">
        <f t="shared" si="2"/>
        <v>0</v>
      </c>
      <c r="AB52" s="25">
        <f t="shared" si="2"/>
        <v>677</v>
      </c>
      <c r="AC52" s="25">
        <f t="shared" si="2"/>
        <v>0</v>
      </c>
      <c r="AD52" s="25">
        <f t="shared" si="2"/>
        <v>0</v>
      </c>
      <c r="AE52" s="25">
        <f t="shared" si="2"/>
        <v>5954</v>
      </c>
      <c r="AF52" s="25">
        <f t="shared" si="2"/>
        <v>0</v>
      </c>
      <c r="AG52" s="25">
        <f t="shared" si="2"/>
        <v>7499</v>
      </c>
      <c r="AH52" s="25">
        <f t="shared" si="2"/>
        <v>0</v>
      </c>
      <c r="AI52" s="25">
        <f t="shared" si="2"/>
        <v>0</v>
      </c>
      <c r="AJ52" s="25">
        <f t="shared" si="2"/>
        <v>12312</v>
      </c>
      <c r="AK52" s="25">
        <f t="shared" si="2"/>
        <v>0</v>
      </c>
      <c r="AL52" s="25">
        <f t="shared" si="2"/>
        <v>0</v>
      </c>
      <c r="AM52" s="25">
        <f t="shared" si="2"/>
        <v>0</v>
      </c>
      <c r="AN52" s="25">
        <f t="shared" si="2"/>
        <v>0</v>
      </c>
      <c r="AO52" s="25">
        <f t="shared" si="2"/>
        <v>463</v>
      </c>
      <c r="AP52" s="25">
        <f t="shared" si="2"/>
        <v>0</v>
      </c>
      <c r="AQ52" s="25">
        <f t="shared" si="2"/>
        <v>0</v>
      </c>
      <c r="AR52" s="25">
        <f t="shared" si="2"/>
        <v>0</v>
      </c>
      <c r="AS52" s="25">
        <f t="shared" si="2"/>
        <v>0</v>
      </c>
      <c r="AT52" s="25">
        <f t="shared" si="2"/>
        <v>0</v>
      </c>
      <c r="AU52" s="25">
        <f t="shared" si="2"/>
        <v>0</v>
      </c>
      <c r="AV52" s="25">
        <f t="shared" si="2"/>
        <v>0</v>
      </c>
      <c r="AW52" s="25">
        <f t="shared" si="2"/>
        <v>0</v>
      </c>
      <c r="AX52" s="25">
        <f t="shared" si="2"/>
        <v>0</v>
      </c>
      <c r="AY52" s="25">
        <f t="shared" si="2"/>
        <v>13500</v>
      </c>
      <c r="AZ52" s="25">
        <f t="shared" si="2"/>
        <v>0</v>
      </c>
      <c r="BA52" s="25">
        <f t="shared" si="2"/>
        <v>8830</v>
      </c>
      <c r="BB52" s="25">
        <f t="shared" si="2"/>
        <v>0</v>
      </c>
      <c r="BC52" s="25">
        <f t="shared" si="2"/>
        <v>0</v>
      </c>
      <c r="BD52" s="25">
        <f t="shared" si="2"/>
        <v>0</v>
      </c>
      <c r="BE52" s="25">
        <f t="shared" si="2"/>
        <v>17505</v>
      </c>
      <c r="BF52" s="25">
        <f t="shared" si="2"/>
        <v>2484</v>
      </c>
      <c r="BG52" s="25">
        <f t="shared" si="2"/>
        <v>0</v>
      </c>
      <c r="BH52" s="25">
        <f t="shared" si="2"/>
        <v>0</v>
      </c>
      <c r="BI52" s="25">
        <f t="shared" si="2"/>
        <v>0</v>
      </c>
      <c r="BJ52" s="25">
        <f t="shared" si="2"/>
        <v>0</v>
      </c>
      <c r="BK52" s="25">
        <f t="shared" si="2"/>
        <v>0</v>
      </c>
      <c r="BL52" s="25">
        <f t="shared" si="2"/>
        <v>0</v>
      </c>
      <c r="BM52" s="25">
        <f t="shared" si="2"/>
        <v>0</v>
      </c>
      <c r="BN52" s="25">
        <f t="shared" si="2"/>
        <v>42722</v>
      </c>
      <c r="BO52" s="25">
        <f t="shared" si="2"/>
        <v>0</v>
      </c>
      <c r="BP52" s="25">
        <f t="shared" ref="BP52:CD52" si="3">IF($B$52,ROUND(($B$52/($CE$90+$CF$90)*BP90),0))</f>
        <v>0</v>
      </c>
      <c r="BQ52" s="25">
        <f t="shared" si="3"/>
        <v>0</v>
      </c>
      <c r="BR52" s="25">
        <f t="shared" si="3"/>
        <v>0</v>
      </c>
      <c r="BS52" s="25">
        <f t="shared" si="3"/>
        <v>0</v>
      </c>
      <c r="BT52" s="25">
        <f t="shared" si="3"/>
        <v>0</v>
      </c>
      <c r="BU52" s="25">
        <f t="shared" si="3"/>
        <v>0</v>
      </c>
      <c r="BV52" s="25">
        <f t="shared" si="3"/>
        <v>4231</v>
      </c>
      <c r="BW52" s="25">
        <f t="shared" si="3"/>
        <v>0</v>
      </c>
      <c r="BX52" s="25">
        <f t="shared" si="3"/>
        <v>0</v>
      </c>
      <c r="BY52" s="25">
        <f t="shared" si="3"/>
        <v>2341</v>
      </c>
      <c r="BZ52" s="25">
        <f t="shared" si="3"/>
        <v>0</v>
      </c>
      <c r="CA52" s="25">
        <f t="shared" si="3"/>
        <v>0</v>
      </c>
      <c r="CB52" s="25">
        <f t="shared" si="3"/>
        <v>0</v>
      </c>
      <c r="CC52" s="25">
        <f t="shared" si="3"/>
        <v>0</v>
      </c>
      <c r="CD52" s="25">
        <f t="shared" si="3"/>
        <v>0</v>
      </c>
      <c r="CE52" s="25">
        <f>SUM(C52:CD52)</f>
        <v>248645</v>
      </c>
      <c r="CF52" s="318">
        <v>0</v>
      </c>
    </row>
    <row r="53" spans="1:84" x14ac:dyDescent="0.25">
      <c r="A53" s="16" t="s">
        <v>231</v>
      </c>
      <c r="B53" s="25">
        <f>B51+B52</f>
        <v>248643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18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18">
        <v>0</v>
      </c>
    </row>
    <row r="55" spans="1:84" x14ac:dyDescent="0.25">
      <c r="A55" s="21" t="s">
        <v>234</v>
      </c>
      <c r="B55" s="16"/>
      <c r="C55" s="17" t="s">
        <v>34</v>
      </c>
      <c r="D55" s="18" t="s">
        <v>35</v>
      </c>
      <c r="E55" s="18" t="s">
        <v>36</v>
      </c>
      <c r="F55" s="18" t="s">
        <v>37</v>
      </c>
      <c r="G55" s="18" t="s">
        <v>38</v>
      </c>
      <c r="H55" s="18" t="s">
        <v>39</v>
      </c>
      <c r="I55" s="18" t="s">
        <v>40</v>
      </c>
      <c r="J55" s="18" t="s">
        <v>41</v>
      </c>
      <c r="K55" s="18" t="s">
        <v>42</v>
      </c>
      <c r="L55" s="18" t="s">
        <v>43</v>
      </c>
      <c r="M55" s="18" t="s">
        <v>44</v>
      </c>
      <c r="N55" s="18" t="s">
        <v>45</v>
      </c>
      <c r="O55" s="18" t="s">
        <v>46</v>
      </c>
      <c r="P55" s="18" t="s">
        <v>47</v>
      </c>
      <c r="Q55" s="18" t="s">
        <v>48</v>
      </c>
      <c r="R55" s="18" t="s">
        <v>49</v>
      </c>
      <c r="S55" s="18" t="s">
        <v>50</v>
      </c>
      <c r="T55" s="23" t="s">
        <v>51</v>
      </c>
      <c r="U55" s="18" t="s">
        <v>52</v>
      </c>
      <c r="V55" s="18" t="s">
        <v>53</v>
      </c>
      <c r="W55" s="18" t="s">
        <v>54</v>
      </c>
      <c r="X55" s="18" t="s">
        <v>55</v>
      </c>
      <c r="Y55" s="18" t="s">
        <v>56</v>
      </c>
      <c r="Z55" s="18" t="s">
        <v>57</v>
      </c>
      <c r="AA55" s="18" t="s">
        <v>58</v>
      </c>
      <c r="AB55" s="18" t="s">
        <v>59</v>
      </c>
      <c r="AC55" s="18" t="s">
        <v>60</v>
      </c>
      <c r="AD55" s="18" t="s">
        <v>61</v>
      </c>
      <c r="AE55" s="18" t="s">
        <v>62</v>
      </c>
      <c r="AF55" s="18" t="s">
        <v>63</v>
      </c>
      <c r="AG55" s="18" t="s">
        <v>64</v>
      </c>
      <c r="AH55" s="18" t="s">
        <v>65</v>
      </c>
      <c r="AI55" s="18" t="s">
        <v>66</v>
      </c>
      <c r="AJ55" s="18" t="s">
        <v>67</v>
      </c>
      <c r="AK55" s="18" t="s">
        <v>68</v>
      </c>
      <c r="AL55" s="18" t="s">
        <v>69</v>
      </c>
      <c r="AM55" s="18" t="s">
        <v>70</v>
      </c>
      <c r="AN55" s="18" t="s">
        <v>71</v>
      </c>
      <c r="AO55" s="18" t="s">
        <v>72</v>
      </c>
      <c r="AP55" s="18" t="s">
        <v>73</v>
      </c>
      <c r="AQ55" s="18" t="s">
        <v>74</v>
      </c>
      <c r="AR55" s="18" t="s">
        <v>75</v>
      </c>
      <c r="AS55" s="18" t="s">
        <v>76</v>
      </c>
      <c r="AT55" s="18" t="s">
        <v>77</v>
      </c>
      <c r="AU55" s="18" t="s">
        <v>78</v>
      </c>
      <c r="AV55" s="18" t="s">
        <v>79</v>
      </c>
      <c r="AW55" s="18" t="s">
        <v>80</v>
      </c>
      <c r="AX55" s="18" t="s">
        <v>81</v>
      </c>
      <c r="AY55" s="18" t="s">
        <v>82</v>
      </c>
      <c r="AZ55" s="18" t="s">
        <v>83</v>
      </c>
      <c r="BA55" s="18" t="s">
        <v>84</v>
      </c>
      <c r="BB55" s="18" t="s">
        <v>85</v>
      </c>
      <c r="BC55" s="18" t="s">
        <v>86</v>
      </c>
      <c r="BD55" s="18" t="s">
        <v>87</v>
      </c>
      <c r="BE55" s="18" t="s">
        <v>88</v>
      </c>
      <c r="BF55" s="18" t="s">
        <v>89</v>
      </c>
      <c r="BG55" s="18" t="s">
        <v>90</v>
      </c>
      <c r="BH55" s="18" t="s">
        <v>91</v>
      </c>
      <c r="BI55" s="18" t="s">
        <v>92</v>
      </c>
      <c r="BJ55" s="18" t="s">
        <v>93</v>
      </c>
      <c r="BK55" s="18" t="s">
        <v>94</v>
      </c>
      <c r="BL55" s="18" t="s">
        <v>95</v>
      </c>
      <c r="BM55" s="18" t="s">
        <v>96</v>
      </c>
      <c r="BN55" s="18" t="s">
        <v>97</v>
      </c>
      <c r="BO55" s="18" t="s">
        <v>98</v>
      </c>
      <c r="BP55" s="18" t="s">
        <v>99</v>
      </c>
      <c r="BQ55" s="18" t="s">
        <v>100</v>
      </c>
      <c r="BR55" s="18" t="s">
        <v>101</v>
      </c>
      <c r="BS55" s="18" t="s">
        <v>102</v>
      </c>
      <c r="BT55" s="18" t="s">
        <v>103</v>
      </c>
      <c r="BU55" s="18" t="s">
        <v>104</v>
      </c>
      <c r="BV55" s="18" t="s">
        <v>105</v>
      </c>
      <c r="BW55" s="18" t="s">
        <v>106</v>
      </c>
      <c r="BX55" s="18" t="s">
        <v>107</v>
      </c>
      <c r="BY55" s="18" t="s">
        <v>108</v>
      </c>
      <c r="BZ55" s="18" t="s">
        <v>109</v>
      </c>
      <c r="CA55" s="18" t="s">
        <v>110</v>
      </c>
      <c r="CB55" s="18" t="s">
        <v>111</v>
      </c>
      <c r="CC55" s="18" t="s">
        <v>112</v>
      </c>
      <c r="CD55" s="18" t="s">
        <v>113</v>
      </c>
      <c r="CE55" s="18" t="s">
        <v>114</v>
      </c>
      <c r="CF55" s="318">
        <v>0</v>
      </c>
    </row>
    <row r="56" spans="1:84" x14ac:dyDescent="0.25">
      <c r="A56" s="21" t="s">
        <v>235</v>
      </c>
      <c r="B56" s="16"/>
      <c r="C56" s="17" t="s">
        <v>116</v>
      </c>
      <c r="D56" s="18" t="s">
        <v>117</v>
      </c>
      <c r="E56" s="18" t="s">
        <v>118</v>
      </c>
      <c r="F56" s="18" t="s">
        <v>119</v>
      </c>
      <c r="G56" s="18" t="s">
        <v>120</v>
      </c>
      <c r="H56" s="18" t="s">
        <v>121</v>
      </c>
      <c r="I56" s="18" t="s">
        <v>122</v>
      </c>
      <c r="J56" s="18" t="s">
        <v>123</v>
      </c>
      <c r="K56" s="18" t="s">
        <v>124</v>
      </c>
      <c r="L56" s="18" t="s">
        <v>125</v>
      </c>
      <c r="M56" s="18" t="s">
        <v>126</v>
      </c>
      <c r="N56" s="18" t="s">
        <v>127</v>
      </c>
      <c r="O56" s="18" t="s">
        <v>128</v>
      </c>
      <c r="P56" s="18" t="s">
        <v>129</v>
      </c>
      <c r="Q56" s="18" t="s">
        <v>130</v>
      </c>
      <c r="R56" s="18" t="s">
        <v>131</v>
      </c>
      <c r="S56" s="18" t="s">
        <v>132</v>
      </c>
      <c r="T56" s="18" t="s">
        <v>133</v>
      </c>
      <c r="U56" s="18" t="s">
        <v>134</v>
      </c>
      <c r="V56" s="18" t="s">
        <v>135</v>
      </c>
      <c r="W56" s="18" t="s">
        <v>136</v>
      </c>
      <c r="X56" s="18" t="s">
        <v>137</v>
      </c>
      <c r="Y56" s="18" t="s">
        <v>138</v>
      </c>
      <c r="Z56" s="18" t="s">
        <v>138</v>
      </c>
      <c r="AA56" s="18" t="s">
        <v>139</v>
      </c>
      <c r="AB56" s="18" t="s">
        <v>140</v>
      </c>
      <c r="AC56" s="18" t="s">
        <v>141</v>
      </c>
      <c r="AD56" s="18" t="s">
        <v>142</v>
      </c>
      <c r="AE56" s="18" t="s">
        <v>120</v>
      </c>
      <c r="AF56" s="18" t="s">
        <v>121</v>
      </c>
      <c r="AG56" s="18" t="s">
        <v>143</v>
      </c>
      <c r="AH56" s="18" t="s">
        <v>144</v>
      </c>
      <c r="AI56" s="18" t="s">
        <v>145</v>
      </c>
      <c r="AJ56" s="18" t="s">
        <v>146</v>
      </c>
      <c r="AK56" s="18" t="s">
        <v>147</v>
      </c>
      <c r="AL56" s="18" t="s">
        <v>148</v>
      </c>
      <c r="AM56" s="18" t="s">
        <v>149</v>
      </c>
      <c r="AN56" s="18" t="s">
        <v>135</v>
      </c>
      <c r="AO56" s="18" t="s">
        <v>150</v>
      </c>
      <c r="AP56" s="18" t="s">
        <v>151</v>
      </c>
      <c r="AQ56" s="18" t="s">
        <v>152</v>
      </c>
      <c r="AR56" s="18" t="s">
        <v>153</v>
      </c>
      <c r="AS56" s="18" t="s">
        <v>154</v>
      </c>
      <c r="AT56" s="18" t="s">
        <v>155</v>
      </c>
      <c r="AU56" s="18" t="s">
        <v>156</v>
      </c>
      <c r="AV56" s="18" t="s">
        <v>157</v>
      </c>
      <c r="AW56" s="18" t="s">
        <v>158</v>
      </c>
      <c r="AX56" s="18" t="s">
        <v>159</v>
      </c>
      <c r="AY56" s="18" t="s">
        <v>160</v>
      </c>
      <c r="AZ56" s="18" t="s">
        <v>161</v>
      </c>
      <c r="BA56" s="18" t="s">
        <v>162</v>
      </c>
      <c r="BB56" s="18" t="s">
        <v>163</v>
      </c>
      <c r="BC56" s="18" t="s">
        <v>132</v>
      </c>
      <c r="BD56" s="18" t="s">
        <v>164</v>
      </c>
      <c r="BE56" s="18" t="s">
        <v>165</v>
      </c>
      <c r="BF56" s="18" t="s">
        <v>166</v>
      </c>
      <c r="BG56" s="18" t="s">
        <v>167</v>
      </c>
      <c r="BH56" s="18" t="s">
        <v>168</v>
      </c>
      <c r="BI56" s="18" t="s">
        <v>169</v>
      </c>
      <c r="BJ56" s="18" t="s">
        <v>170</v>
      </c>
      <c r="BK56" s="18" t="s">
        <v>171</v>
      </c>
      <c r="BL56" s="18" t="s">
        <v>172</v>
      </c>
      <c r="BM56" s="18" t="s">
        <v>157</v>
      </c>
      <c r="BN56" s="18" t="s">
        <v>173</v>
      </c>
      <c r="BO56" s="18" t="s">
        <v>174</v>
      </c>
      <c r="BP56" s="18" t="s">
        <v>175</v>
      </c>
      <c r="BQ56" s="18" t="s">
        <v>176</v>
      </c>
      <c r="BR56" s="18" t="s">
        <v>177</v>
      </c>
      <c r="BS56" s="18" t="s">
        <v>178</v>
      </c>
      <c r="BT56" s="18" t="s">
        <v>179</v>
      </c>
      <c r="BU56" s="18" t="s">
        <v>180</v>
      </c>
      <c r="BV56" s="18" t="s">
        <v>180</v>
      </c>
      <c r="BW56" s="18" t="s">
        <v>180</v>
      </c>
      <c r="BX56" s="18" t="s">
        <v>181</v>
      </c>
      <c r="BY56" s="18" t="s">
        <v>182</v>
      </c>
      <c r="BZ56" s="18" t="s">
        <v>183</v>
      </c>
      <c r="CA56" s="18" t="s">
        <v>184</v>
      </c>
      <c r="CB56" s="18" t="s">
        <v>185</v>
      </c>
      <c r="CC56" s="18" t="s">
        <v>157</v>
      </c>
      <c r="CD56" s="18" t="s">
        <v>236</v>
      </c>
      <c r="CE56" s="18" t="s">
        <v>186</v>
      </c>
      <c r="CF56" s="318">
        <v>0</v>
      </c>
    </row>
    <row r="57" spans="1:84" x14ac:dyDescent="0.25">
      <c r="A57" s="21" t="s">
        <v>237</v>
      </c>
      <c r="B57" s="16"/>
      <c r="C57" s="17" t="s">
        <v>188</v>
      </c>
      <c r="D57" s="18" t="s">
        <v>188</v>
      </c>
      <c r="E57" s="18" t="s">
        <v>188</v>
      </c>
      <c r="F57" s="18" t="s">
        <v>189</v>
      </c>
      <c r="G57" s="18" t="s">
        <v>190</v>
      </c>
      <c r="H57" s="18" t="s">
        <v>188</v>
      </c>
      <c r="I57" s="18" t="s">
        <v>191</v>
      </c>
      <c r="J57" s="18"/>
      <c r="K57" s="18" t="s">
        <v>182</v>
      </c>
      <c r="L57" s="18" t="s">
        <v>192</v>
      </c>
      <c r="M57" s="18" t="s">
        <v>193</v>
      </c>
      <c r="N57" s="18" t="s">
        <v>194</v>
      </c>
      <c r="O57" s="18" t="s">
        <v>195</v>
      </c>
      <c r="P57" s="18" t="s">
        <v>194</v>
      </c>
      <c r="Q57" s="18" t="s">
        <v>196</v>
      </c>
      <c r="R57" s="18"/>
      <c r="S57" s="18" t="s">
        <v>194</v>
      </c>
      <c r="T57" s="18" t="s">
        <v>197</v>
      </c>
      <c r="U57" s="18"/>
      <c r="V57" s="18" t="s">
        <v>198</v>
      </c>
      <c r="W57" s="18" t="s">
        <v>199</v>
      </c>
      <c r="X57" s="18" t="s">
        <v>200</v>
      </c>
      <c r="Y57" s="18" t="s">
        <v>201</v>
      </c>
      <c r="Z57" s="18" t="s">
        <v>202</v>
      </c>
      <c r="AA57" s="18" t="s">
        <v>203</v>
      </c>
      <c r="AB57" s="18"/>
      <c r="AC57" s="18" t="s">
        <v>197</v>
      </c>
      <c r="AD57" s="18"/>
      <c r="AE57" s="18" t="s">
        <v>197</v>
      </c>
      <c r="AF57" s="18" t="s">
        <v>204</v>
      </c>
      <c r="AG57" s="18" t="s">
        <v>196</v>
      </c>
      <c r="AH57" s="18"/>
      <c r="AI57" s="18" t="s">
        <v>205</v>
      </c>
      <c r="AJ57" s="18"/>
      <c r="AK57" s="18" t="s">
        <v>197</v>
      </c>
      <c r="AL57" s="18" t="s">
        <v>197</v>
      </c>
      <c r="AM57" s="18" t="s">
        <v>197</v>
      </c>
      <c r="AN57" s="18" t="s">
        <v>206</v>
      </c>
      <c r="AO57" s="18" t="s">
        <v>207</v>
      </c>
      <c r="AP57" s="18" t="s">
        <v>146</v>
      </c>
      <c r="AQ57" s="18" t="s">
        <v>208</v>
      </c>
      <c r="AR57" s="18" t="s">
        <v>194</v>
      </c>
      <c r="AS57" s="18"/>
      <c r="AT57" s="18" t="s">
        <v>209</v>
      </c>
      <c r="AU57" s="18" t="s">
        <v>210</v>
      </c>
      <c r="AV57" s="18" t="s">
        <v>211</v>
      </c>
      <c r="AW57" s="18" t="s">
        <v>212</v>
      </c>
      <c r="AX57" s="18" t="s">
        <v>213</v>
      </c>
      <c r="AY57" s="18"/>
      <c r="AZ57" s="18"/>
      <c r="BA57" s="18" t="s">
        <v>214</v>
      </c>
      <c r="BB57" s="18" t="s">
        <v>194</v>
      </c>
      <c r="BC57" s="18" t="s">
        <v>208</v>
      </c>
      <c r="BD57" s="18"/>
      <c r="BE57" s="18"/>
      <c r="BF57" s="18"/>
      <c r="BG57" s="18"/>
      <c r="BH57" s="18" t="s">
        <v>215</v>
      </c>
      <c r="BI57" s="18" t="s">
        <v>194</v>
      </c>
      <c r="BJ57" s="18"/>
      <c r="BK57" s="18" t="s">
        <v>216</v>
      </c>
      <c r="BL57" s="18"/>
      <c r="BM57" s="18" t="s">
        <v>217</v>
      </c>
      <c r="BN57" s="18" t="s">
        <v>218</v>
      </c>
      <c r="BO57" s="18" t="s">
        <v>219</v>
      </c>
      <c r="BP57" s="18" t="s">
        <v>220</v>
      </c>
      <c r="BQ57" s="18" t="s">
        <v>221</v>
      </c>
      <c r="BR57" s="18"/>
      <c r="BS57" s="18" t="s">
        <v>222</v>
      </c>
      <c r="BT57" s="18" t="s">
        <v>194</v>
      </c>
      <c r="BU57" s="18" t="s">
        <v>223</v>
      </c>
      <c r="BV57" s="18" t="s">
        <v>224</v>
      </c>
      <c r="BW57" s="18" t="s">
        <v>225</v>
      </c>
      <c r="BX57" s="18" t="s">
        <v>176</v>
      </c>
      <c r="BY57" s="18" t="s">
        <v>218</v>
      </c>
      <c r="BZ57" s="18" t="s">
        <v>177</v>
      </c>
      <c r="CA57" s="18" t="s">
        <v>226</v>
      </c>
      <c r="CB57" s="18" t="s">
        <v>226</v>
      </c>
      <c r="CC57" s="18" t="s">
        <v>227</v>
      </c>
      <c r="CD57" s="18" t="s">
        <v>238</v>
      </c>
      <c r="CE57" s="18" t="s">
        <v>228</v>
      </c>
      <c r="CF57" s="318">
        <v>0</v>
      </c>
    </row>
    <row r="58" spans="1:84" x14ac:dyDescent="0.25">
      <c r="A58" s="21" t="s">
        <v>239</v>
      </c>
      <c r="B58" s="16"/>
      <c r="C58" s="17" t="s">
        <v>240</v>
      </c>
      <c r="D58" s="18" t="s">
        <v>240</v>
      </c>
      <c r="E58" s="18" t="s">
        <v>240</v>
      </c>
      <c r="F58" s="18" t="s">
        <v>240</v>
      </c>
      <c r="G58" s="18" t="s">
        <v>240</v>
      </c>
      <c r="H58" s="18" t="s">
        <v>240</v>
      </c>
      <c r="I58" s="18" t="s">
        <v>240</v>
      </c>
      <c r="J58" s="18" t="s">
        <v>241</v>
      </c>
      <c r="K58" s="18" t="s">
        <v>240</v>
      </c>
      <c r="L58" s="18" t="s">
        <v>240</v>
      </c>
      <c r="M58" s="18" t="s">
        <v>240</v>
      </c>
      <c r="N58" s="18" t="s">
        <v>240</v>
      </c>
      <c r="O58" s="18" t="s">
        <v>242</v>
      </c>
      <c r="P58" s="18" t="s">
        <v>243</v>
      </c>
      <c r="Q58" s="18" t="s">
        <v>244</v>
      </c>
      <c r="R58" s="19" t="s">
        <v>245</v>
      </c>
      <c r="S58" s="24" t="s">
        <v>246</v>
      </c>
      <c r="T58" s="24" t="s">
        <v>246</v>
      </c>
      <c r="U58" s="18" t="s">
        <v>247</v>
      </c>
      <c r="V58" s="18" t="s">
        <v>247</v>
      </c>
      <c r="W58" s="18" t="s">
        <v>248</v>
      </c>
      <c r="X58" s="18" t="s">
        <v>249</v>
      </c>
      <c r="Y58" s="18" t="s">
        <v>250</v>
      </c>
      <c r="Z58" s="18" t="s">
        <v>250</v>
      </c>
      <c r="AA58" s="18" t="s">
        <v>250</v>
      </c>
      <c r="AB58" s="24" t="s">
        <v>246</v>
      </c>
      <c r="AC58" s="18" t="s">
        <v>251</v>
      </c>
      <c r="AD58" s="18" t="s">
        <v>252</v>
      </c>
      <c r="AE58" s="18" t="s">
        <v>251</v>
      </c>
      <c r="AF58" s="18" t="s">
        <v>253</v>
      </c>
      <c r="AG58" s="18" t="s">
        <v>253</v>
      </c>
      <c r="AH58" s="18" t="s">
        <v>254</v>
      </c>
      <c r="AI58" s="18" t="s">
        <v>255</v>
      </c>
      <c r="AJ58" s="18" t="s">
        <v>253</v>
      </c>
      <c r="AK58" s="18" t="s">
        <v>251</v>
      </c>
      <c r="AL58" s="18" t="s">
        <v>251</v>
      </c>
      <c r="AM58" s="18" t="s">
        <v>251</v>
      </c>
      <c r="AN58" s="18" t="s">
        <v>242</v>
      </c>
      <c r="AO58" s="18" t="s">
        <v>252</v>
      </c>
      <c r="AP58" s="18" t="s">
        <v>253</v>
      </c>
      <c r="AQ58" s="18" t="s">
        <v>254</v>
      </c>
      <c r="AR58" s="18" t="s">
        <v>253</v>
      </c>
      <c r="AS58" s="18" t="s">
        <v>251</v>
      </c>
      <c r="AT58" s="18" t="s">
        <v>256</v>
      </c>
      <c r="AU58" s="18" t="s">
        <v>253</v>
      </c>
      <c r="AV58" s="24" t="s">
        <v>246</v>
      </c>
      <c r="AW58" s="24" t="s">
        <v>246</v>
      </c>
      <c r="AX58" s="24" t="s">
        <v>246</v>
      </c>
      <c r="AY58" s="18" t="s">
        <v>257</v>
      </c>
      <c r="AZ58" s="18" t="s">
        <v>257</v>
      </c>
      <c r="BA58" s="24" t="s">
        <v>246</v>
      </c>
      <c r="BB58" s="24" t="s">
        <v>246</v>
      </c>
      <c r="BC58" s="24" t="s">
        <v>246</v>
      </c>
      <c r="BD58" s="24" t="s">
        <v>246</v>
      </c>
      <c r="BE58" s="18" t="s">
        <v>258</v>
      </c>
      <c r="BF58" s="24" t="s">
        <v>246</v>
      </c>
      <c r="BG58" s="24" t="s">
        <v>246</v>
      </c>
      <c r="BH58" s="24" t="s">
        <v>246</v>
      </c>
      <c r="BI58" s="24" t="s">
        <v>246</v>
      </c>
      <c r="BJ58" s="24" t="s">
        <v>246</v>
      </c>
      <c r="BK58" s="24" t="s">
        <v>246</v>
      </c>
      <c r="BL58" s="24" t="s">
        <v>246</v>
      </c>
      <c r="BM58" s="24" t="s">
        <v>246</v>
      </c>
      <c r="BN58" s="24" t="s">
        <v>246</v>
      </c>
      <c r="BO58" s="24" t="s">
        <v>246</v>
      </c>
      <c r="BP58" s="24" t="s">
        <v>246</v>
      </c>
      <c r="BQ58" s="24" t="s">
        <v>246</v>
      </c>
      <c r="BR58" s="24" t="s">
        <v>246</v>
      </c>
      <c r="BS58" s="24" t="s">
        <v>246</v>
      </c>
      <c r="BT58" s="24" t="s">
        <v>246</v>
      </c>
      <c r="BU58" s="24" t="s">
        <v>246</v>
      </c>
      <c r="BV58" s="24" t="s">
        <v>246</v>
      </c>
      <c r="BW58" s="24" t="s">
        <v>246</v>
      </c>
      <c r="BX58" s="24" t="s">
        <v>246</v>
      </c>
      <c r="BY58" s="24" t="s">
        <v>246</v>
      </c>
      <c r="BZ58" s="24" t="s">
        <v>246</v>
      </c>
      <c r="CA58" s="24" t="s">
        <v>246</v>
      </c>
      <c r="CB58" s="24" t="s">
        <v>246</v>
      </c>
      <c r="CC58" s="24" t="s">
        <v>246</v>
      </c>
      <c r="CD58" s="24" t="s">
        <v>246</v>
      </c>
      <c r="CE58" s="24" t="s">
        <v>246</v>
      </c>
      <c r="CF58" s="318">
        <v>0</v>
      </c>
    </row>
    <row r="59" spans="1:84" x14ac:dyDescent="0.25">
      <c r="A59" s="31" t="s">
        <v>259</v>
      </c>
      <c r="B59" s="25"/>
      <c r="C59" s="273">
        <v>0</v>
      </c>
      <c r="D59" s="273">
        <v>0</v>
      </c>
      <c r="E59" s="273">
        <v>87</v>
      </c>
      <c r="F59" s="273">
        <v>0</v>
      </c>
      <c r="G59" s="273">
        <v>0</v>
      </c>
      <c r="H59" s="273">
        <v>0</v>
      </c>
      <c r="I59" s="273">
        <v>0</v>
      </c>
      <c r="J59" s="273">
        <v>0</v>
      </c>
      <c r="K59" s="273">
        <v>0</v>
      </c>
      <c r="L59" s="273">
        <v>5735</v>
      </c>
      <c r="M59" s="273">
        <v>0</v>
      </c>
      <c r="N59" s="273">
        <v>0</v>
      </c>
      <c r="O59" s="273">
        <v>0</v>
      </c>
      <c r="P59" s="275">
        <v>0</v>
      </c>
      <c r="Q59" s="275">
        <v>0</v>
      </c>
      <c r="R59" s="275">
        <v>0</v>
      </c>
      <c r="S59" s="263">
        <v>0</v>
      </c>
      <c r="T59" s="263">
        <v>0</v>
      </c>
      <c r="U59" s="276">
        <v>2635</v>
      </c>
      <c r="V59" s="275">
        <v>149</v>
      </c>
      <c r="W59" s="275">
        <v>0</v>
      </c>
      <c r="X59" s="275">
        <v>0</v>
      </c>
      <c r="Y59" s="275">
        <v>1369</v>
      </c>
      <c r="Z59" s="275">
        <v>0</v>
      </c>
      <c r="AA59" s="275">
        <v>0</v>
      </c>
      <c r="AB59" s="263">
        <v>0</v>
      </c>
      <c r="AC59" s="275">
        <v>0</v>
      </c>
      <c r="AD59" s="275">
        <v>0</v>
      </c>
      <c r="AE59" s="275">
        <v>1857</v>
      </c>
      <c r="AF59" s="275">
        <v>0</v>
      </c>
      <c r="AG59" s="275">
        <v>846</v>
      </c>
      <c r="AH59" s="275">
        <v>0</v>
      </c>
      <c r="AI59" s="275">
        <v>0</v>
      </c>
      <c r="AJ59" s="275">
        <v>4083</v>
      </c>
      <c r="AK59" s="275">
        <v>0</v>
      </c>
      <c r="AL59" s="275">
        <v>0</v>
      </c>
      <c r="AM59" s="275">
        <v>0</v>
      </c>
      <c r="AN59" s="275">
        <v>0</v>
      </c>
      <c r="AO59" s="275">
        <v>552</v>
      </c>
      <c r="AP59" s="275">
        <v>0</v>
      </c>
      <c r="AQ59" s="275">
        <v>0</v>
      </c>
      <c r="AR59" s="275">
        <v>0</v>
      </c>
      <c r="AS59" s="275">
        <v>0</v>
      </c>
      <c r="AT59" s="275">
        <v>0</v>
      </c>
      <c r="AU59" s="275">
        <v>0</v>
      </c>
      <c r="AV59" s="263">
        <v>0</v>
      </c>
      <c r="AW59" s="263">
        <v>0</v>
      </c>
      <c r="AX59" s="263">
        <v>0</v>
      </c>
      <c r="AY59" s="275">
        <v>17127</v>
      </c>
      <c r="AZ59" s="275">
        <v>0</v>
      </c>
      <c r="BA59" s="263">
        <v>0</v>
      </c>
      <c r="BB59" s="263">
        <v>0</v>
      </c>
      <c r="BC59" s="263">
        <v>0</v>
      </c>
      <c r="BD59" s="263">
        <v>0</v>
      </c>
      <c r="BE59" s="275">
        <v>20923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  <c r="CF59" s="318">
        <v>0</v>
      </c>
    </row>
    <row r="60" spans="1:84" s="201" customFormat="1" x14ac:dyDescent="0.25">
      <c r="A60" s="207" t="s">
        <v>260</v>
      </c>
      <c r="B60" s="208"/>
      <c r="C60" s="277">
        <v>0</v>
      </c>
      <c r="D60" s="277">
        <v>0</v>
      </c>
      <c r="E60" s="277">
        <v>0.43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28.52</v>
      </c>
      <c r="M60" s="277">
        <v>0</v>
      </c>
      <c r="N60" s="277">
        <v>0</v>
      </c>
      <c r="O60" s="277">
        <v>0</v>
      </c>
      <c r="P60" s="274">
        <v>0</v>
      </c>
      <c r="Q60" s="274">
        <v>0</v>
      </c>
      <c r="R60" s="274">
        <v>0</v>
      </c>
      <c r="S60" s="278">
        <v>1</v>
      </c>
      <c r="T60" s="278">
        <v>0</v>
      </c>
      <c r="U60" s="279">
        <v>5.38</v>
      </c>
      <c r="V60" s="274">
        <v>0.03</v>
      </c>
      <c r="W60" s="274">
        <v>0</v>
      </c>
      <c r="X60" s="274">
        <v>0</v>
      </c>
      <c r="Y60" s="274">
        <v>5.31</v>
      </c>
      <c r="Z60" s="274">
        <v>0</v>
      </c>
      <c r="AA60" s="274">
        <v>0</v>
      </c>
      <c r="AB60" s="278">
        <v>0</v>
      </c>
      <c r="AC60" s="274">
        <v>0</v>
      </c>
      <c r="AD60" s="274">
        <v>0</v>
      </c>
      <c r="AE60" s="274">
        <v>1.1000000000000001</v>
      </c>
      <c r="AF60" s="274">
        <v>0</v>
      </c>
      <c r="AG60" s="274">
        <v>2.4</v>
      </c>
      <c r="AH60" s="274">
        <v>0</v>
      </c>
      <c r="AI60" s="274">
        <v>0</v>
      </c>
      <c r="AJ60" s="274">
        <v>4.9800000000000004</v>
      </c>
      <c r="AK60" s="274">
        <v>0</v>
      </c>
      <c r="AL60" s="274">
        <v>0</v>
      </c>
      <c r="AM60" s="274">
        <v>0</v>
      </c>
      <c r="AN60" s="274">
        <v>0</v>
      </c>
      <c r="AO60" s="274">
        <v>0.11</v>
      </c>
      <c r="AP60" s="274">
        <v>0</v>
      </c>
      <c r="AQ60" s="274">
        <v>0</v>
      </c>
      <c r="AR60" s="274">
        <v>0</v>
      </c>
      <c r="AS60" s="274">
        <v>0</v>
      </c>
      <c r="AT60" s="274">
        <v>0</v>
      </c>
      <c r="AU60" s="274">
        <v>0</v>
      </c>
      <c r="AV60" s="278">
        <v>0</v>
      </c>
      <c r="AW60" s="278">
        <v>0</v>
      </c>
      <c r="AX60" s="278">
        <v>0</v>
      </c>
      <c r="AY60" s="274">
        <v>5.87</v>
      </c>
      <c r="AZ60" s="274">
        <v>0</v>
      </c>
      <c r="BA60" s="278">
        <v>1.29</v>
      </c>
      <c r="BB60" s="278">
        <v>1.86</v>
      </c>
      <c r="BC60" s="278">
        <v>0</v>
      </c>
      <c r="BD60" s="278">
        <v>0</v>
      </c>
      <c r="BE60" s="274">
        <v>2.83</v>
      </c>
      <c r="BF60" s="278">
        <v>2.79</v>
      </c>
      <c r="BG60" s="278">
        <v>0</v>
      </c>
      <c r="BH60" s="278">
        <v>0.99</v>
      </c>
      <c r="BI60" s="278">
        <v>0</v>
      </c>
      <c r="BJ60" s="278">
        <v>2.42</v>
      </c>
      <c r="BK60" s="278">
        <v>0</v>
      </c>
      <c r="BL60" s="278">
        <v>0</v>
      </c>
      <c r="BM60" s="278">
        <v>0</v>
      </c>
      <c r="BN60" s="278">
        <v>2.11</v>
      </c>
      <c r="BO60" s="278">
        <v>0</v>
      </c>
      <c r="BP60" s="278">
        <v>0</v>
      </c>
      <c r="BQ60" s="278">
        <v>0</v>
      </c>
      <c r="BR60" s="278">
        <v>1.05</v>
      </c>
      <c r="BS60" s="278">
        <v>0</v>
      </c>
      <c r="BT60" s="278">
        <v>0</v>
      </c>
      <c r="BU60" s="278">
        <v>0</v>
      </c>
      <c r="BV60" s="278">
        <v>3.62</v>
      </c>
      <c r="BW60" s="278">
        <v>0</v>
      </c>
      <c r="BX60" s="278">
        <v>0</v>
      </c>
      <c r="BY60" s="278">
        <v>1</v>
      </c>
      <c r="BZ60" s="278">
        <v>0</v>
      </c>
      <c r="CA60" s="278">
        <v>0</v>
      </c>
      <c r="CB60" s="278">
        <v>0</v>
      </c>
      <c r="CC60" s="278">
        <v>0</v>
      </c>
      <c r="CD60" s="209" t="s">
        <v>246</v>
      </c>
      <c r="CE60" s="227">
        <f t="shared" ref="CE60:CE68" si="4">SUM(C60:CD60)</f>
        <v>75.09</v>
      </c>
      <c r="CF60" s="320">
        <v>0</v>
      </c>
    </row>
    <row r="61" spans="1:84" x14ac:dyDescent="0.25">
      <c r="A61" s="31" t="s">
        <v>261</v>
      </c>
      <c r="B61" s="16"/>
      <c r="C61" s="273">
        <v>0</v>
      </c>
      <c r="D61" s="273">
        <v>0</v>
      </c>
      <c r="E61" s="273">
        <v>33178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2187088</v>
      </c>
      <c r="M61" s="273">
        <v>0</v>
      </c>
      <c r="N61" s="273">
        <v>0</v>
      </c>
      <c r="O61" s="273">
        <v>0</v>
      </c>
      <c r="P61" s="275">
        <v>0</v>
      </c>
      <c r="Q61" s="275">
        <v>0</v>
      </c>
      <c r="R61" s="275">
        <v>0</v>
      </c>
      <c r="S61" s="280">
        <v>51956</v>
      </c>
      <c r="T61" s="280">
        <v>0</v>
      </c>
      <c r="U61" s="276">
        <v>305522</v>
      </c>
      <c r="V61" s="275">
        <v>2023</v>
      </c>
      <c r="W61" s="275">
        <v>0</v>
      </c>
      <c r="X61" s="275">
        <v>0</v>
      </c>
      <c r="Y61" s="275">
        <v>361891</v>
      </c>
      <c r="Z61" s="275">
        <v>0</v>
      </c>
      <c r="AA61" s="275">
        <v>0</v>
      </c>
      <c r="AB61" s="281">
        <v>0</v>
      </c>
      <c r="AC61" s="275">
        <v>0</v>
      </c>
      <c r="AD61" s="275">
        <v>0</v>
      </c>
      <c r="AE61" s="275">
        <v>186988</v>
      </c>
      <c r="AF61" s="275">
        <v>0</v>
      </c>
      <c r="AG61" s="275">
        <v>770368</v>
      </c>
      <c r="AH61" s="275">
        <v>0</v>
      </c>
      <c r="AI61" s="275">
        <v>0</v>
      </c>
      <c r="AJ61" s="275">
        <v>414163</v>
      </c>
      <c r="AK61" s="275">
        <v>0</v>
      </c>
      <c r="AL61" s="275">
        <v>0</v>
      </c>
      <c r="AM61" s="275">
        <v>0</v>
      </c>
      <c r="AN61" s="275">
        <v>0</v>
      </c>
      <c r="AO61" s="275">
        <v>8771</v>
      </c>
      <c r="AP61" s="275">
        <v>0</v>
      </c>
      <c r="AQ61" s="275">
        <v>0</v>
      </c>
      <c r="AR61" s="275">
        <v>0</v>
      </c>
      <c r="AS61" s="275">
        <v>0</v>
      </c>
      <c r="AT61" s="275">
        <v>0</v>
      </c>
      <c r="AU61" s="275">
        <v>0</v>
      </c>
      <c r="AV61" s="280">
        <v>0</v>
      </c>
      <c r="AW61" s="280">
        <v>0</v>
      </c>
      <c r="AX61" s="280">
        <v>0</v>
      </c>
      <c r="AY61" s="275">
        <v>253311</v>
      </c>
      <c r="AZ61" s="275">
        <v>0</v>
      </c>
      <c r="BA61" s="280">
        <v>56203</v>
      </c>
      <c r="BB61" s="280">
        <v>125254</v>
      </c>
      <c r="BC61" s="280">
        <v>0</v>
      </c>
      <c r="BD61" s="280">
        <v>0</v>
      </c>
      <c r="BE61" s="275">
        <v>151908</v>
      </c>
      <c r="BF61" s="280">
        <v>102061</v>
      </c>
      <c r="BG61" s="280">
        <v>0</v>
      </c>
      <c r="BH61" s="280">
        <v>64439</v>
      </c>
      <c r="BI61" s="280">
        <v>0</v>
      </c>
      <c r="BJ61" s="280">
        <v>201466</v>
      </c>
      <c r="BK61" s="280">
        <v>0</v>
      </c>
      <c r="BL61" s="280">
        <v>0</v>
      </c>
      <c r="BM61" s="280">
        <v>0</v>
      </c>
      <c r="BN61" s="280">
        <v>106676</v>
      </c>
      <c r="BO61" s="280">
        <v>0</v>
      </c>
      <c r="BP61" s="280">
        <v>0</v>
      </c>
      <c r="BQ61" s="280">
        <v>0</v>
      </c>
      <c r="BR61" s="280">
        <v>88336</v>
      </c>
      <c r="BS61" s="280">
        <v>0</v>
      </c>
      <c r="BT61" s="280">
        <v>0</v>
      </c>
      <c r="BU61" s="280">
        <v>0</v>
      </c>
      <c r="BV61" s="280">
        <v>253366</v>
      </c>
      <c r="BW61" s="280">
        <v>0</v>
      </c>
      <c r="BX61" s="280">
        <v>0</v>
      </c>
      <c r="BY61" s="280">
        <v>192219</v>
      </c>
      <c r="BZ61" s="280">
        <v>0</v>
      </c>
      <c r="CA61" s="280">
        <v>0</v>
      </c>
      <c r="CB61" s="280">
        <v>0</v>
      </c>
      <c r="CC61" s="280">
        <v>0</v>
      </c>
      <c r="CD61" s="24" t="s">
        <v>246</v>
      </c>
      <c r="CE61" s="25">
        <f t="shared" si="4"/>
        <v>5917187</v>
      </c>
      <c r="CF61" s="318">
        <v>0</v>
      </c>
    </row>
    <row r="62" spans="1:84" x14ac:dyDescent="0.25">
      <c r="A62" s="31" t="s">
        <v>9</v>
      </c>
      <c r="B62" s="16"/>
      <c r="C62" s="25">
        <f>ROUND(C47+C48,0)</f>
        <v>0</v>
      </c>
      <c r="D62" s="25">
        <f t="shared" ref="D62:BO62" si="5">ROUND(D47+D48,0)</f>
        <v>0</v>
      </c>
      <c r="E62" s="25">
        <f t="shared" si="5"/>
        <v>3780</v>
      </c>
      <c r="F62" s="25">
        <f t="shared" si="5"/>
        <v>0</v>
      </c>
      <c r="G62" s="25">
        <f t="shared" si="5"/>
        <v>0</v>
      </c>
      <c r="H62" s="25">
        <f t="shared" si="5"/>
        <v>0</v>
      </c>
      <c r="I62" s="25">
        <f t="shared" si="5"/>
        <v>0</v>
      </c>
      <c r="J62" s="25">
        <f t="shared" si="5"/>
        <v>0</v>
      </c>
      <c r="K62" s="25">
        <f t="shared" si="5"/>
        <v>0</v>
      </c>
      <c r="L62" s="25">
        <f t="shared" si="5"/>
        <v>249175</v>
      </c>
      <c r="M62" s="25">
        <f t="shared" si="5"/>
        <v>0</v>
      </c>
      <c r="N62" s="25">
        <f t="shared" si="5"/>
        <v>0</v>
      </c>
      <c r="O62" s="25">
        <f t="shared" si="5"/>
        <v>0</v>
      </c>
      <c r="P62" s="25">
        <f t="shared" si="5"/>
        <v>0</v>
      </c>
      <c r="Q62" s="25">
        <f t="shared" si="5"/>
        <v>0</v>
      </c>
      <c r="R62" s="25">
        <f t="shared" si="5"/>
        <v>0</v>
      </c>
      <c r="S62" s="25">
        <f t="shared" si="5"/>
        <v>5919</v>
      </c>
      <c r="T62" s="25">
        <f t="shared" si="5"/>
        <v>0</v>
      </c>
      <c r="U62" s="25">
        <f t="shared" si="5"/>
        <v>34808</v>
      </c>
      <c r="V62" s="25">
        <f t="shared" si="5"/>
        <v>230</v>
      </c>
      <c r="W62" s="25">
        <f t="shared" si="5"/>
        <v>0</v>
      </c>
      <c r="X62" s="25">
        <f t="shared" si="5"/>
        <v>0</v>
      </c>
      <c r="Y62" s="25">
        <f t="shared" si="5"/>
        <v>41230</v>
      </c>
      <c r="Z62" s="25">
        <f t="shared" si="5"/>
        <v>0</v>
      </c>
      <c r="AA62" s="25">
        <f t="shared" si="5"/>
        <v>0</v>
      </c>
      <c r="AB62" s="25">
        <f t="shared" si="5"/>
        <v>0</v>
      </c>
      <c r="AC62" s="25">
        <f t="shared" si="5"/>
        <v>0</v>
      </c>
      <c r="AD62" s="25">
        <f t="shared" si="5"/>
        <v>0</v>
      </c>
      <c r="AE62" s="25">
        <f t="shared" si="5"/>
        <v>21304</v>
      </c>
      <c r="AF62" s="25">
        <f t="shared" si="5"/>
        <v>0</v>
      </c>
      <c r="AG62" s="25">
        <f t="shared" si="5"/>
        <v>87768</v>
      </c>
      <c r="AH62" s="25">
        <f t="shared" si="5"/>
        <v>0</v>
      </c>
      <c r="AI62" s="25">
        <f t="shared" si="5"/>
        <v>0</v>
      </c>
      <c r="AJ62" s="25">
        <f t="shared" si="5"/>
        <v>47186</v>
      </c>
      <c r="AK62" s="25">
        <f t="shared" si="5"/>
        <v>0</v>
      </c>
      <c r="AL62" s="25">
        <f t="shared" si="5"/>
        <v>0</v>
      </c>
      <c r="AM62" s="25">
        <f t="shared" si="5"/>
        <v>0</v>
      </c>
      <c r="AN62" s="25">
        <f t="shared" si="5"/>
        <v>0</v>
      </c>
      <c r="AO62" s="25">
        <f t="shared" si="5"/>
        <v>999</v>
      </c>
      <c r="AP62" s="25">
        <f t="shared" si="5"/>
        <v>0</v>
      </c>
      <c r="AQ62" s="25">
        <f t="shared" si="5"/>
        <v>0</v>
      </c>
      <c r="AR62" s="25">
        <f t="shared" si="5"/>
        <v>0</v>
      </c>
      <c r="AS62" s="25">
        <f t="shared" si="5"/>
        <v>0</v>
      </c>
      <c r="AT62" s="25">
        <f t="shared" si="5"/>
        <v>0</v>
      </c>
      <c r="AU62" s="25">
        <f t="shared" si="5"/>
        <v>0</v>
      </c>
      <c r="AV62" s="25">
        <f t="shared" si="5"/>
        <v>0</v>
      </c>
      <c r="AW62" s="25">
        <f t="shared" si="5"/>
        <v>0</v>
      </c>
      <c r="AX62" s="25">
        <f t="shared" si="5"/>
        <v>0</v>
      </c>
      <c r="AY62" s="25">
        <f t="shared" si="5"/>
        <v>28860</v>
      </c>
      <c r="AZ62" s="25">
        <f t="shared" si="5"/>
        <v>0</v>
      </c>
      <c r="BA62" s="25">
        <f t="shared" si="5"/>
        <v>6403</v>
      </c>
      <c r="BB62" s="25">
        <f t="shared" si="5"/>
        <v>14270</v>
      </c>
      <c r="BC62" s="25">
        <f t="shared" si="5"/>
        <v>0</v>
      </c>
      <c r="BD62" s="25">
        <f t="shared" si="5"/>
        <v>0</v>
      </c>
      <c r="BE62" s="25">
        <f t="shared" si="5"/>
        <v>17307</v>
      </c>
      <c r="BF62" s="25">
        <f t="shared" si="5"/>
        <v>11628</v>
      </c>
      <c r="BG62" s="25">
        <f t="shared" si="5"/>
        <v>0</v>
      </c>
      <c r="BH62" s="25">
        <f t="shared" si="5"/>
        <v>7342</v>
      </c>
      <c r="BI62" s="25">
        <f t="shared" si="5"/>
        <v>0</v>
      </c>
      <c r="BJ62" s="25">
        <f t="shared" si="5"/>
        <v>22953</v>
      </c>
      <c r="BK62" s="25">
        <f t="shared" si="5"/>
        <v>0</v>
      </c>
      <c r="BL62" s="25">
        <f t="shared" si="5"/>
        <v>0</v>
      </c>
      <c r="BM62" s="25">
        <f t="shared" si="5"/>
        <v>0</v>
      </c>
      <c r="BN62" s="25">
        <f t="shared" si="5"/>
        <v>12154</v>
      </c>
      <c r="BO62" s="25">
        <f t="shared" si="5"/>
        <v>0</v>
      </c>
      <c r="BP62" s="25">
        <f t="shared" ref="BP62:CC62" si="6">ROUND(BP47+BP48,0)</f>
        <v>0</v>
      </c>
      <c r="BQ62" s="25">
        <f t="shared" si="6"/>
        <v>0</v>
      </c>
      <c r="BR62" s="25">
        <f t="shared" si="6"/>
        <v>10064</v>
      </c>
      <c r="BS62" s="25">
        <f t="shared" si="6"/>
        <v>0</v>
      </c>
      <c r="BT62" s="25">
        <f t="shared" si="6"/>
        <v>0</v>
      </c>
      <c r="BU62" s="25">
        <f t="shared" si="6"/>
        <v>0</v>
      </c>
      <c r="BV62" s="25">
        <f t="shared" si="6"/>
        <v>28866</v>
      </c>
      <c r="BW62" s="25">
        <f t="shared" si="6"/>
        <v>0</v>
      </c>
      <c r="BX62" s="25">
        <f t="shared" si="6"/>
        <v>0</v>
      </c>
      <c r="BY62" s="25">
        <f t="shared" si="6"/>
        <v>21900</v>
      </c>
      <c r="BZ62" s="25">
        <f t="shared" si="6"/>
        <v>0</v>
      </c>
      <c r="CA62" s="25">
        <f t="shared" si="6"/>
        <v>0</v>
      </c>
      <c r="CB62" s="25">
        <f t="shared" si="6"/>
        <v>0</v>
      </c>
      <c r="CC62" s="25">
        <f t="shared" si="6"/>
        <v>0</v>
      </c>
      <c r="CD62" s="24" t="s">
        <v>246</v>
      </c>
      <c r="CE62" s="25">
        <f t="shared" si="4"/>
        <v>674146</v>
      </c>
      <c r="CF62" s="318">
        <v>0</v>
      </c>
    </row>
    <row r="63" spans="1:84" x14ac:dyDescent="0.25">
      <c r="A63" s="31" t="s">
        <v>262</v>
      </c>
      <c r="B63" s="16"/>
      <c r="C63" s="273">
        <v>0</v>
      </c>
      <c r="D63" s="273">
        <v>0</v>
      </c>
      <c r="E63" s="273">
        <v>21048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1387449</v>
      </c>
      <c r="M63" s="273">
        <v>0</v>
      </c>
      <c r="N63" s="273">
        <v>0</v>
      </c>
      <c r="O63" s="273">
        <v>0</v>
      </c>
      <c r="P63" s="275">
        <v>0</v>
      </c>
      <c r="Q63" s="275">
        <v>0</v>
      </c>
      <c r="R63" s="275">
        <v>0</v>
      </c>
      <c r="S63" s="280">
        <v>1800</v>
      </c>
      <c r="T63" s="280">
        <v>0</v>
      </c>
      <c r="U63" s="276">
        <v>41172</v>
      </c>
      <c r="V63" s="275">
        <v>2323</v>
      </c>
      <c r="W63" s="275">
        <v>0</v>
      </c>
      <c r="X63" s="275">
        <v>0</v>
      </c>
      <c r="Y63" s="275">
        <v>23672</v>
      </c>
      <c r="Z63" s="275">
        <v>0</v>
      </c>
      <c r="AA63" s="275">
        <v>0</v>
      </c>
      <c r="AB63" s="281">
        <v>224193</v>
      </c>
      <c r="AC63" s="275">
        <v>0</v>
      </c>
      <c r="AD63" s="275">
        <v>0</v>
      </c>
      <c r="AE63" s="275">
        <v>11194</v>
      </c>
      <c r="AF63" s="275">
        <v>0</v>
      </c>
      <c r="AG63" s="275">
        <v>39277</v>
      </c>
      <c r="AH63" s="275">
        <v>0</v>
      </c>
      <c r="AI63" s="275">
        <v>0</v>
      </c>
      <c r="AJ63" s="275">
        <v>285411</v>
      </c>
      <c r="AK63" s="275">
        <v>0</v>
      </c>
      <c r="AL63" s="275">
        <v>0</v>
      </c>
      <c r="AM63" s="275">
        <v>0</v>
      </c>
      <c r="AN63" s="275">
        <v>0</v>
      </c>
      <c r="AO63" s="275">
        <v>5564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0</v>
      </c>
      <c r="AW63" s="280">
        <v>0</v>
      </c>
      <c r="AX63" s="280">
        <v>0</v>
      </c>
      <c r="AY63" s="275">
        <v>42092</v>
      </c>
      <c r="AZ63" s="275">
        <v>0</v>
      </c>
      <c r="BA63" s="280">
        <v>0</v>
      </c>
      <c r="BB63" s="280">
        <v>0</v>
      </c>
      <c r="BC63" s="280">
        <v>0</v>
      </c>
      <c r="BD63" s="280">
        <v>0</v>
      </c>
      <c r="BE63" s="275">
        <v>1673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216338</v>
      </c>
      <c r="BO63" s="280">
        <v>0</v>
      </c>
      <c r="BP63" s="280">
        <v>0</v>
      </c>
      <c r="BQ63" s="280">
        <v>0</v>
      </c>
      <c r="BR63" s="280">
        <v>32370</v>
      </c>
      <c r="BS63" s="280">
        <v>0</v>
      </c>
      <c r="BT63" s="280">
        <v>0</v>
      </c>
      <c r="BU63" s="280">
        <v>0</v>
      </c>
      <c r="BV63" s="280">
        <v>62135</v>
      </c>
      <c r="BW63" s="280">
        <v>0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246</v>
      </c>
      <c r="CE63" s="25">
        <f t="shared" si="4"/>
        <v>2397711</v>
      </c>
      <c r="CF63" s="318">
        <v>0</v>
      </c>
    </row>
    <row r="64" spans="1:84" x14ac:dyDescent="0.25">
      <c r="A64" s="31" t="s">
        <v>263</v>
      </c>
      <c r="B64" s="16"/>
      <c r="C64" s="273">
        <v>0</v>
      </c>
      <c r="D64" s="273">
        <v>0</v>
      </c>
      <c r="E64" s="273">
        <v>2380</v>
      </c>
      <c r="F64" s="273">
        <v>0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156864</v>
      </c>
      <c r="M64" s="273">
        <v>0</v>
      </c>
      <c r="N64" s="273">
        <v>0</v>
      </c>
      <c r="O64" s="273">
        <v>0</v>
      </c>
      <c r="P64" s="275">
        <v>0</v>
      </c>
      <c r="Q64" s="275">
        <v>0</v>
      </c>
      <c r="R64" s="275">
        <v>0</v>
      </c>
      <c r="S64" s="280">
        <v>11814</v>
      </c>
      <c r="T64" s="280">
        <v>0</v>
      </c>
      <c r="U64" s="276">
        <v>198993</v>
      </c>
      <c r="V64" s="275">
        <v>166</v>
      </c>
      <c r="W64" s="275">
        <v>0</v>
      </c>
      <c r="X64" s="275">
        <v>0</v>
      </c>
      <c r="Y64" s="275">
        <v>1686</v>
      </c>
      <c r="Z64" s="275">
        <v>0</v>
      </c>
      <c r="AA64" s="275">
        <v>0</v>
      </c>
      <c r="AB64" s="281">
        <v>144752</v>
      </c>
      <c r="AC64" s="275">
        <v>0</v>
      </c>
      <c r="AD64" s="275">
        <v>0</v>
      </c>
      <c r="AE64" s="275">
        <v>2900</v>
      </c>
      <c r="AF64" s="275">
        <v>0</v>
      </c>
      <c r="AG64" s="275">
        <v>12578</v>
      </c>
      <c r="AH64" s="275">
        <v>0</v>
      </c>
      <c r="AI64" s="275">
        <v>0</v>
      </c>
      <c r="AJ64" s="275">
        <v>36559</v>
      </c>
      <c r="AK64" s="275">
        <v>0</v>
      </c>
      <c r="AL64" s="275">
        <v>0</v>
      </c>
      <c r="AM64" s="275">
        <v>0</v>
      </c>
      <c r="AN64" s="275">
        <v>0</v>
      </c>
      <c r="AO64" s="275">
        <v>629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0</v>
      </c>
      <c r="AW64" s="280">
        <v>0</v>
      </c>
      <c r="AX64" s="280">
        <v>0</v>
      </c>
      <c r="AY64" s="275">
        <v>89283</v>
      </c>
      <c r="AZ64" s="275">
        <v>0</v>
      </c>
      <c r="BA64" s="280">
        <v>7807</v>
      </c>
      <c r="BB64" s="280">
        <v>5791</v>
      </c>
      <c r="BC64" s="280">
        <v>0</v>
      </c>
      <c r="BD64" s="280">
        <v>0</v>
      </c>
      <c r="BE64" s="275">
        <v>38113</v>
      </c>
      <c r="BF64" s="280">
        <v>8406</v>
      </c>
      <c r="BG64" s="280">
        <v>0</v>
      </c>
      <c r="BH64" s="280">
        <v>8810</v>
      </c>
      <c r="BI64" s="280">
        <v>0</v>
      </c>
      <c r="BJ64" s="280">
        <v>4680</v>
      </c>
      <c r="BK64" s="280">
        <v>0</v>
      </c>
      <c r="BL64" s="280">
        <v>0</v>
      </c>
      <c r="BM64" s="280">
        <v>0</v>
      </c>
      <c r="BN64" s="280">
        <v>49833</v>
      </c>
      <c r="BO64" s="280">
        <v>0</v>
      </c>
      <c r="BP64" s="280">
        <v>0</v>
      </c>
      <c r="BQ64" s="280">
        <v>0</v>
      </c>
      <c r="BR64" s="280">
        <v>336</v>
      </c>
      <c r="BS64" s="280">
        <v>0</v>
      </c>
      <c r="BT64" s="280">
        <v>0</v>
      </c>
      <c r="BU64" s="280">
        <v>0</v>
      </c>
      <c r="BV64" s="280">
        <v>3359</v>
      </c>
      <c r="BW64" s="280">
        <v>0</v>
      </c>
      <c r="BX64" s="280">
        <v>0</v>
      </c>
      <c r="BY64" s="280">
        <v>1862</v>
      </c>
      <c r="BZ64" s="280">
        <v>0</v>
      </c>
      <c r="CA64" s="280">
        <v>0</v>
      </c>
      <c r="CB64" s="280">
        <v>0</v>
      </c>
      <c r="CC64" s="280">
        <v>0</v>
      </c>
      <c r="CD64" s="24" t="s">
        <v>246</v>
      </c>
      <c r="CE64" s="25">
        <f t="shared" si="4"/>
        <v>787601</v>
      </c>
      <c r="CF64" s="318">
        <v>0</v>
      </c>
    </row>
    <row r="65" spans="1:84" x14ac:dyDescent="0.25">
      <c r="A65" s="31" t="s">
        <v>264</v>
      </c>
      <c r="B65" s="16"/>
      <c r="C65" s="273">
        <v>0</v>
      </c>
      <c r="D65" s="273">
        <v>0</v>
      </c>
      <c r="E65" s="273">
        <v>95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6278</v>
      </c>
      <c r="M65" s="273">
        <v>0</v>
      </c>
      <c r="N65" s="273">
        <v>0</v>
      </c>
      <c r="O65" s="273">
        <v>0</v>
      </c>
      <c r="P65" s="275">
        <v>0</v>
      </c>
      <c r="Q65" s="275">
        <v>0</v>
      </c>
      <c r="R65" s="275">
        <v>0</v>
      </c>
      <c r="S65" s="280">
        <v>0</v>
      </c>
      <c r="T65" s="280">
        <v>0</v>
      </c>
      <c r="U65" s="276">
        <v>0</v>
      </c>
      <c r="V65" s="275">
        <v>0</v>
      </c>
      <c r="W65" s="275">
        <v>0</v>
      </c>
      <c r="X65" s="275">
        <v>0</v>
      </c>
      <c r="Y65" s="275">
        <v>0</v>
      </c>
      <c r="Z65" s="275">
        <v>0</v>
      </c>
      <c r="AA65" s="275">
        <v>0</v>
      </c>
      <c r="AB65" s="281">
        <v>6812</v>
      </c>
      <c r="AC65" s="275">
        <v>0</v>
      </c>
      <c r="AD65" s="275">
        <v>0</v>
      </c>
      <c r="AE65" s="275">
        <v>0</v>
      </c>
      <c r="AF65" s="275">
        <v>0</v>
      </c>
      <c r="AG65" s="275">
        <v>1033</v>
      </c>
      <c r="AH65" s="275">
        <v>0</v>
      </c>
      <c r="AI65" s="275">
        <v>0</v>
      </c>
      <c r="AJ65" s="275">
        <v>0</v>
      </c>
      <c r="AK65" s="275">
        <v>0</v>
      </c>
      <c r="AL65" s="275">
        <v>0</v>
      </c>
      <c r="AM65" s="275">
        <v>0</v>
      </c>
      <c r="AN65" s="275">
        <v>0</v>
      </c>
      <c r="AO65" s="275">
        <v>25</v>
      </c>
      <c r="AP65" s="275">
        <v>0</v>
      </c>
      <c r="AQ65" s="275">
        <v>0</v>
      </c>
      <c r="AR65" s="275">
        <v>0</v>
      </c>
      <c r="AS65" s="275">
        <v>0</v>
      </c>
      <c r="AT65" s="275">
        <v>0</v>
      </c>
      <c r="AU65" s="275">
        <v>0</v>
      </c>
      <c r="AV65" s="280">
        <v>0</v>
      </c>
      <c r="AW65" s="280">
        <v>0</v>
      </c>
      <c r="AX65" s="280">
        <v>0</v>
      </c>
      <c r="AY65" s="275">
        <v>1132</v>
      </c>
      <c r="AZ65" s="275">
        <v>0</v>
      </c>
      <c r="BA65" s="280">
        <v>0</v>
      </c>
      <c r="BB65" s="280">
        <v>0</v>
      </c>
      <c r="BC65" s="280">
        <v>0</v>
      </c>
      <c r="BD65" s="280">
        <v>0</v>
      </c>
      <c r="BE65" s="275">
        <v>127622</v>
      </c>
      <c r="BF65" s="280">
        <v>0</v>
      </c>
      <c r="BG65" s="280">
        <v>0</v>
      </c>
      <c r="BH65" s="280">
        <v>38793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246</v>
      </c>
      <c r="CE65" s="25">
        <f t="shared" si="4"/>
        <v>181790</v>
      </c>
      <c r="CF65" s="318">
        <v>0</v>
      </c>
    </row>
    <row r="66" spans="1:84" x14ac:dyDescent="0.25">
      <c r="A66" s="31" t="s">
        <v>265</v>
      </c>
      <c r="B66" s="16"/>
      <c r="C66" s="273">
        <v>0</v>
      </c>
      <c r="D66" s="273">
        <v>0</v>
      </c>
      <c r="E66" s="273">
        <v>735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48468</v>
      </c>
      <c r="M66" s="273">
        <v>0</v>
      </c>
      <c r="N66" s="273">
        <v>0</v>
      </c>
      <c r="O66" s="273">
        <v>0</v>
      </c>
      <c r="P66" s="275">
        <v>0</v>
      </c>
      <c r="Q66" s="275">
        <v>0</v>
      </c>
      <c r="R66" s="275">
        <v>0</v>
      </c>
      <c r="S66" s="280">
        <v>41</v>
      </c>
      <c r="T66" s="280">
        <v>0</v>
      </c>
      <c r="U66" s="276">
        <v>129669</v>
      </c>
      <c r="V66" s="275">
        <v>2488</v>
      </c>
      <c r="W66" s="275">
        <v>0</v>
      </c>
      <c r="X66" s="275">
        <v>0</v>
      </c>
      <c r="Y66" s="275">
        <v>25354</v>
      </c>
      <c r="Z66" s="275">
        <v>0</v>
      </c>
      <c r="AA66" s="275">
        <v>0</v>
      </c>
      <c r="AB66" s="281">
        <v>9695</v>
      </c>
      <c r="AC66" s="275">
        <v>0</v>
      </c>
      <c r="AD66" s="275">
        <v>0</v>
      </c>
      <c r="AE66" s="275">
        <v>0</v>
      </c>
      <c r="AF66" s="275">
        <v>0</v>
      </c>
      <c r="AG66" s="275">
        <v>0</v>
      </c>
      <c r="AH66" s="275">
        <v>0</v>
      </c>
      <c r="AI66" s="275">
        <v>0</v>
      </c>
      <c r="AJ66" s="275">
        <v>29623</v>
      </c>
      <c r="AK66" s="275">
        <v>0</v>
      </c>
      <c r="AL66" s="275">
        <v>0</v>
      </c>
      <c r="AM66" s="275">
        <v>0</v>
      </c>
      <c r="AN66" s="275">
        <v>0</v>
      </c>
      <c r="AO66" s="275">
        <v>194</v>
      </c>
      <c r="AP66" s="275">
        <v>0</v>
      </c>
      <c r="AQ66" s="275">
        <v>0</v>
      </c>
      <c r="AR66" s="275">
        <v>0</v>
      </c>
      <c r="AS66" s="275">
        <v>0</v>
      </c>
      <c r="AT66" s="275">
        <v>0</v>
      </c>
      <c r="AU66" s="275">
        <v>0</v>
      </c>
      <c r="AV66" s="280">
        <v>0</v>
      </c>
      <c r="AW66" s="280">
        <v>0</v>
      </c>
      <c r="AX66" s="280">
        <v>0</v>
      </c>
      <c r="AY66" s="275">
        <v>23182</v>
      </c>
      <c r="AZ66" s="275">
        <v>0</v>
      </c>
      <c r="BA66" s="280">
        <v>0</v>
      </c>
      <c r="BB66" s="280">
        <v>0</v>
      </c>
      <c r="BC66" s="280">
        <v>0</v>
      </c>
      <c r="BD66" s="280">
        <v>0</v>
      </c>
      <c r="BE66" s="275">
        <v>30622</v>
      </c>
      <c r="BF66" s="280">
        <v>221</v>
      </c>
      <c r="BG66" s="280">
        <v>0</v>
      </c>
      <c r="BH66" s="280">
        <v>74895</v>
      </c>
      <c r="BI66" s="280">
        <v>0</v>
      </c>
      <c r="BJ66" s="280">
        <v>0</v>
      </c>
      <c r="BK66" s="280">
        <v>0</v>
      </c>
      <c r="BL66" s="280">
        <v>0</v>
      </c>
      <c r="BM66" s="280">
        <v>0</v>
      </c>
      <c r="BN66" s="280">
        <v>15741</v>
      </c>
      <c r="BO66" s="280">
        <v>0</v>
      </c>
      <c r="BP66" s="280">
        <v>0</v>
      </c>
      <c r="BQ66" s="280">
        <v>0</v>
      </c>
      <c r="BR66" s="280">
        <v>44</v>
      </c>
      <c r="BS66" s="280">
        <v>0</v>
      </c>
      <c r="BT66" s="280">
        <v>0</v>
      </c>
      <c r="BU66" s="280">
        <v>0</v>
      </c>
      <c r="BV66" s="280">
        <v>0</v>
      </c>
      <c r="BW66" s="280">
        <v>0</v>
      </c>
      <c r="BX66" s="280">
        <v>0</v>
      </c>
      <c r="BY66" s="280">
        <v>600</v>
      </c>
      <c r="BZ66" s="280">
        <v>0</v>
      </c>
      <c r="CA66" s="280">
        <v>0</v>
      </c>
      <c r="CB66" s="280">
        <v>0</v>
      </c>
      <c r="CC66" s="280">
        <v>0</v>
      </c>
      <c r="CD66" s="24" t="s">
        <v>246</v>
      </c>
      <c r="CE66" s="25">
        <f t="shared" si="4"/>
        <v>391572</v>
      </c>
      <c r="CF66" s="318">
        <v>0</v>
      </c>
    </row>
    <row r="67" spans="1:84" x14ac:dyDescent="0.25">
      <c r="A67" s="31" t="s">
        <v>14</v>
      </c>
      <c r="B67" s="16"/>
      <c r="C67" s="25">
        <f t="shared" ref="C67:BN67" si="7">ROUND(C51+C52,0)</f>
        <v>0</v>
      </c>
      <c r="D67" s="25">
        <f t="shared" si="7"/>
        <v>0</v>
      </c>
      <c r="E67" s="25">
        <f>ROUND(E51+E52,0)</f>
        <v>1759</v>
      </c>
      <c r="F67" s="25">
        <f t="shared" si="7"/>
        <v>0</v>
      </c>
      <c r="G67" s="25">
        <f t="shared" si="7"/>
        <v>0</v>
      </c>
      <c r="H67" s="25">
        <f t="shared" si="7"/>
        <v>0</v>
      </c>
      <c r="I67" s="25">
        <f t="shared" si="7"/>
        <v>0</v>
      </c>
      <c r="J67" s="25">
        <f t="shared" si="7"/>
        <v>0</v>
      </c>
      <c r="K67" s="25">
        <f t="shared" si="7"/>
        <v>0</v>
      </c>
      <c r="L67" s="25">
        <f t="shared" si="7"/>
        <v>116080</v>
      </c>
      <c r="M67" s="25">
        <f t="shared" si="7"/>
        <v>0</v>
      </c>
      <c r="N67" s="25">
        <f t="shared" si="7"/>
        <v>0</v>
      </c>
      <c r="O67" s="25">
        <f t="shared" si="7"/>
        <v>0</v>
      </c>
      <c r="P67" s="25">
        <f t="shared" si="7"/>
        <v>0</v>
      </c>
      <c r="Q67" s="25">
        <f t="shared" si="7"/>
        <v>0</v>
      </c>
      <c r="R67" s="25">
        <f t="shared" si="7"/>
        <v>0</v>
      </c>
      <c r="S67" s="25">
        <f t="shared" si="7"/>
        <v>3411</v>
      </c>
      <c r="T67" s="25">
        <f t="shared" si="7"/>
        <v>0</v>
      </c>
      <c r="U67" s="25">
        <f t="shared" si="7"/>
        <v>7000</v>
      </c>
      <c r="V67" s="25">
        <f t="shared" si="7"/>
        <v>166</v>
      </c>
      <c r="W67" s="25">
        <f t="shared" si="7"/>
        <v>0</v>
      </c>
      <c r="X67" s="25">
        <f t="shared" si="7"/>
        <v>0</v>
      </c>
      <c r="Y67" s="25">
        <f t="shared" si="7"/>
        <v>1711</v>
      </c>
      <c r="Z67" s="25">
        <f t="shared" si="7"/>
        <v>0</v>
      </c>
      <c r="AA67" s="25">
        <f t="shared" si="7"/>
        <v>0</v>
      </c>
      <c r="AB67" s="25">
        <f t="shared" si="7"/>
        <v>677</v>
      </c>
      <c r="AC67" s="25">
        <f t="shared" si="7"/>
        <v>0</v>
      </c>
      <c r="AD67" s="25">
        <f t="shared" si="7"/>
        <v>0</v>
      </c>
      <c r="AE67" s="25">
        <f t="shared" si="7"/>
        <v>5954</v>
      </c>
      <c r="AF67" s="25">
        <f t="shared" si="7"/>
        <v>0</v>
      </c>
      <c r="AG67" s="25">
        <f t="shared" si="7"/>
        <v>7499</v>
      </c>
      <c r="AH67" s="25">
        <f t="shared" si="7"/>
        <v>0</v>
      </c>
      <c r="AI67" s="25">
        <f t="shared" si="7"/>
        <v>0</v>
      </c>
      <c r="AJ67" s="25">
        <f t="shared" si="7"/>
        <v>12312</v>
      </c>
      <c r="AK67" s="25">
        <f t="shared" si="7"/>
        <v>0</v>
      </c>
      <c r="AL67" s="25">
        <f t="shared" si="7"/>
        <v>0</v>
      </c>
      <c r="AM67" s="25">
        <f t="shared" si="7"/>
        <v>0</v>
      </c>
      <c r="AN67" s="25">
        <f t="shared" si="7"/>
        <v>0</v>
      </c>
      <c r="AO67" s="25">
        <f t="shared" si="7"/>
        <v>463</v>
      </c>
      <c r="AP67" s="25">
        <f t="shared" si="7"/>
        <v>0</v>
      </c>
      <c r="AQ67" s="25">
        <f t="shared" si="7"/>
        <v>0</v>
      </c>
      <c r="AR67" s="25">
        <f t="shared" si="7"/>
        <v>0</v>
      </c>
      <c r="AS67" s="25">
        <f t="shared" si="7"/>
        <v>0</v>
      </c>
      <c r="AT67" s="25">
        <f t="shared" si="7"/>
        <v>0</v>
      </c>
      <c r="AU67" s="25">
        <f t="shared" si="7"/>
        <v>0</v>
      </c>
      <c r="AV67" s="25">
        <f t="shared" si="7"/>
        <v>0</v>
      </c>
      <c r="AW67" s="25">
        <f t="shared" si="7"/>
        <v>0</v>
      </c>
      <c r="AX67" s="25">
        <f t="shared" si="7"/>
        <v>0</v>
      </c>
      <c r="AY67" s="25">
        <f t="shared" si="7"/>
        <v>13500</v>
      </c>
      <c r="AZ67" s="25">
        <f t="shared" si="7"/>
        <v>0</v>
      </c>
      <c r="BA67" s="25">
        <f t="shared" si="7"/>
        <v>8830</v>
      </c>
      <c r="BB67" s="25">
        <f t="shared" si="7"/>
        <v>0</v>
      </c>
      <c r="BC67" s="25">
        <f t="shared" si="7"/>
        <v>0</v>
      </c>
      <c r="BD67" s="25">
        <f t="shared" si="7"/>
        <v>0</v>
      </c>
      <c r="BE67" s="25">
        <f t="shared" si="7"/>
        <v>17505</v>
      </c>
      <c r="BF67" s="25">
        <f t="shared" si="7"/>
        <v>2484</v>
      </c>
      <c r="BG67" s="25">
        <f t="shared" si="7"/>
        <v>0</v>
      </c>
      <c r="BH67" s="25">
        <f t="shared" si="7"/>
        <v>0</v>
      </c>
      <c r="BI67" s="25">
        <f t="shared" si="7"/>
        <v>0</v>
      </c>
      <c r="BJ67" s="25">
        <f t="shared" si="7"/>
        <v>0</v>
      </c>
      <c r="BK67" s="25">
        <f t="shared" si="7"/>
        <v>0</v>
      </c>
      <c r="BL67" s="25">
        <f t="shared" si="7"/>
        <v>0</v>
      </c>
      <c r="BM67" s="25">
        <f t="shared" si="7"/>
        <v>0</v>
      </c>
      <c r="BN67" s="25">
        <f t="shared" si="7"/>
        <v>42722</v>
      </c>
      <c r="BO67" s="25">
        <f t="shared" ref="BO67:CC67" si="8">ROUND(BO51+BO52,0)</f>
        <v>0</v>
      </c>
      <c r="BP67" s="25">
        <f t="shared" si="8"/>
        <v>0</v>
      </c>
      <c r="BQ67" s="25">
        <f t="shared" si="8"/>
        <v>0</v>
      </c>
      <c r="BR67" s="25">
        <f t="shared" si="8"/>
        <v>0</v>
      </c>
      <c r="BS67" s="25">
        <f t="shared" si="8"/>
        <v>0</v>
      </c>
      <c r="BT67" s="25">
        <f t="shared" si="8"/>
        <v>0</v>
      </c>
      <c r="BU67" s="25">
        <f t="shared" si="8"/>
        <v>0</v>
      </c>
      <c r="BV67" s="25">
        <f t="shared" si="8"/>
        <v>4231</v>
      </c>
      <c r="BW67" s="25">
        <f t="shared" si="8"/>
        <v>0</v>
      </c>
      <c r="BX67" s="25">
        <f t="shared" si="8"/>
        <v>0</v>
      </c>
      <c r="BY67" s="25">
        <f t="shared" si="8"/>
        <v>2341</v>
      </c>
      <c r="BZ67" s="25">
        <f t="shared" si="8"/>
        <v>0</v>
      </c>
      <c r="CA67" s="25">
        <f t="shared" si="8"/>
        <v>0</v>
      </c>
      <c r="CB67" s="25">
        <f t="shared" si="8"/>
        <v>0</v>
      </c>
      <c r="CC67" s="25">
        <f t="shared" si="8"/>
        <v>0</v>
      </c>
      <c r="CD67" s="24" t="s">
        <v>246</v>
      </c>
      <c r="CE67" s="25">
        <f t="shared" si="4"/>
        <v>248645</v>
      </c>
      <c r="CF67" s="318">
        <v>0</v>
      </c>
    </row>
    <row r="68" spans="1:84" x14ac:dyDescent="0.25">
      <c r="A68" s="31" t="s">
        <v>266</v>
      </c>
      <c r="B68" s="25"/>
      <c r="C68" s="273">
        <v>0</v>
      </c>
      <c r="D68" s="273">
        <v>0</v>
      </c>
      <c r="E68" s="273">
        <v>445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29325</v>
      </c>
      <c r="M68" s="273">
        <v>0</v>
      </c>
      <c r="N68" s="273">
        <v>0</v>
      </c>
      <c r="O68" s="273">
        <v>0</v>
      </c>
      <c r="P68" s="275">
        <v>0</v>
      </c>
      <c r="Q68" s="275">
        <v>0</v>
      </c>
      <c r="R68" s="275">
        <v>0</v>
      </c>
      <c r="S68" s="280">
        <v>0</v>
      </c>
      <c r="T68" s="280">
        <v>0</v>
      </c>
      <c r="U68" s="276">
        <v>0</v>
      </c>
      <c r="V68" s="275">
        <v>0</v>
      </c>
      <c r="W68" s="275">
        <v>0</v>
      </c>
      <c r="X68" s="275">
        <v>0</v>
      </c>
      <c r="Y68" s="275">
        <v>0</v>
      </c>
      <c r="Z68" s="275">
        <v>0</v>
      </c>
      <c r="AA68" s="275">
        <v>0</v>
      </c>
      <c r="AB68" s="281">
        <v>0</v>
      </c>
      <c r="AC68" s="275">
        <v>0</v>
      </c>
      <c r="AD68" s="275">
        <v>0</v>
      </c>
      <c r="AE68" s="275">
        <v>0</v>
      </c>
      <c r="AF68" s="275">
        <v>0</v>
      </c>
      <c r="AG68" s="275">
        <v>14088</v>
      </c>
      <c r="AH68" s="275">
        <v>0</v>
      </c>
      <c r="AI68" s="275">
        <v>0</v>
      </c>
      <c r="AJ68" s="275">
        <v>5387</v>
      </c>
      <c r="AK68" s="275">
        <v>0</v>
      </c>
      <c r="AL68" s="275">
        <v>0</v>
      </c>
      <c r="AM68" s="275">
        <v>0</v>
      </c>
      <c r="AN68" s="275">
        <v>0</v>
      </c>
      <c r="AO68" s="275">
        <v>118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0</v>
      </c>
      <c r="AW68" s="280">
        <v>0</v>
      </c>
      <c r="AX68" s="280">
        <v>0</v>
      </c>
      <c r="AY68" s="275">
        <v>2880</v>
      </c>
      <c r="AZ68" s="275">
        <v>0</v>
      </c>
      <c r="BA68" s="280">
        <v>0</v>
      </c>
      <c r="BB68" s="280">
        <v>0</v>
      </c>
      <c r="BC68" s="280">
        <v>0</v>
      </c>
      <c r="BD68" s="280">
        <v>0</v>
      </c>
      <c r="BE68" s="275">
        <v>4615</v>
      </c>
      <c r="BF68" s="280">
        <v>0</v>
      </c>
      <c r="BG68" s="280">
        <v>0</v>
      </c>
      <c r="BH68" s="280">
        <v>0</v>
      </c>
      <c r="BI68" s="280">
        <v>0</v>
      </c>
      <c r="BJ68" s="280">
        <v>4644</v>
      </c>
      <c r="BK68" s="280">
        <v>0</v>
      </c>
      <c r="BL68" s="280">
        <v>0</v>
      </c>
      <c r="BM68" s="280">
        <v>0</v>
      </c>
      <c r="BN68" s="280">
        <v>-12264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2538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246</v>
      </c>
      <c r="CE68" s="25">
        <f t="shared" si="4"/>
        <v>51776</v>
      </c>
      <c r="CF68" s="318">
        <v>0</v>
      </c>
    </row>
    <row r="69" spans="1:84" x14ac:dyDescent="0.25">
      <c r="A69" s="31" t="s">
        <v>267</v>
      </c>
      <c r="B69" s="16"/>
      <c r="C69" s="25">
        <f t="shared" ref="C69:BN69" si="9">SUM(C70:C83)</f>
        <v>0</v>
      </c>
      <c r="D69" s="25">
        <f t="shared" si="9"/>
        <v>0</v>
      </c>
      <c r="E69" s="25">
        <f>SUM(E70:E83)</f>
        <v>602</v>
      </c>
      <c r="F69" s="25">
        <f t="shared" si="9"/>
        <v>0</v>
      </c>
      <c r="G69" s="25">
        <f t="shared" si="9"/>
        <v>0</v>
      </c>
      <c r="H69" s="25">
        <f t="shared" si="9"/>
        <v>0</v>
      </c>
      <c r="I69" s="25">
        <f t="shared" si="9"/>
        <v>0</v>
      </c>
      <c r="J69" s="25">
        <f t="shared" si="9"/>
        <v>0</v>
      </c>
      <c r="K69" s="25">
        <f t="shared" si="9"/>
        <v>0</v>
      </c>
      <c r="L69" s="25">
        <f>SUM(L70:L83)</f>
        <v>39700</v>
      </c>
      <c r="M69" s="25">
        <f t="shared" si="9"/>
        <v>0</v>
      </c>
      <c r="N69" s="25">
        <f t="shared" si="9"/>
        <v>0</v>
      </c>
      <c r="O69" s="25">
        <f t="shared" si="9"/>
        <v>0</v>
      </c>
      <c r="P69" s="25">
        <f t="shared" si="9"/>
        <v>0</v>
      </c>
      <c r="Q69" s="25">
        <f t="shared" si="9"/>
        <v>0</v>
      </c>
      <c r="R69" s="25">
        <f t="shared" si="9"/>
        <v>0</v>
      </c>
      <c r="S69" s="25">
        <f t="shared" si="9"/>
        <v>0</v>
      </c>
      <c r="T69" s="25">
        <f t="shared" si="9"/>
        <v>0</v>
      </c>
      <c r="U69" s="25">
        <f t="shared" si="9"/>
        <v>2290</v>
      </c>
      <c r="V69" s="25">
        <f>SUM(V70:V83)</f>
        <v>51</v>
      </c>
      <c r="W69" s="25">
        <f t="shared" si="9"/>
        <v>0</v>
      </c>
      <c r="X69" s="25">
        <f t="shared" si="9"/>
        <v>0</v>
      </c>
      <c r="Y69" s="25">
        <f>SUM(Y70:Y83)</f>
        <v>519</v>
      </c>
      <c r="Z69" s="25">
        <f t="shared" si="9"/>
        <v>0</v>
      </c>
      <c r="AA69" s="25">
        <f t="shared" si="9"/>
        <v>0</v>
      </c>
      <c r="AB69" s="25">
        <f t="shared" si="9"/>
        <v>0</v>
      </c>
      <c r="AC69" s="25">
        <f t="shared" si="9"/>
        <v>0</v>
      </c>
      <c r="AD69" s="25">
        <f t="shared" si="9"/>
        <v>0</v>
      </c>
      <c r="AE69" s="25">
        <f t="shared" si="9"/>
        <v>340</v>
      </c>
      <c r="AF69" s="25">
        <f t="shared" si="9"/>
        <v>0</v>
      </c>
      <c r="AG69" s="25">
        <f t="shared" si="9"/>
        <v>11473</v>
      </c>
      <c r="AH69" s="25">
        <f t="shared" si="9"/>
        <v>0</v>
      </c>
      <c r="AI69" s="25">
        <f t="shared" si="9"/>
        <v>0</v>
      </c>
      <c r="AJ69" s="25">
        <f t="shared" si="9"/>
        <v>4944</v>
      </c>
      <c r="AK69" s="25">
        <f t="shared" si="9"/>
        <v>0</v>
      </c>
      <c r="AL69" s="25">
        <f t="shared" si="9"/>
        <v>0</v>
      </c>
      <c r="AM69" s="25">
        <f t="shared" si="9"/>
        <v>0</v>
      </c>
      <c r="AN69" s="25">
        <f t="shared" si="9"/>
        <v>0</v>
      </c>
      <c r="AO69" s="25">
        <f>SUM(AO70:AO83)</f>
        <v>159</v>
      </c>
      <c r="AP69" s="25">
        <f t="shared" si="9"/>
        <v>0</v>
      </c>
      <c r="AQ69" s="25">
        <f t="shared" si="9"/>
        <v>0</v>
      </c>
      <c r="AR69" s="25">
        <f t="shared" si="9"/>
        <v>0</v>
      </c>
      <c r="AS69" s="25">
        <f t="shared" si="9"/>
        <v>0</v>
      </c>
      <c r="AT69" s="25">
        <f t="shared" si="9"/>
        <v>0</v>
      </c>
      <c r="AU69" s="25">
        <f t="shared" si="9"/>
        <v>0</v>
      </c>
      <c r="AV69" s="25">
        <f t="shared" si="9"/>
        <v>0</v>
      </c>
      <c r="AW69" s="25">
        <f t="shared" si="9"/>
        <v>0</v>
      </c>
      <c r="AX69" s="25">
        <f t="shared" si="9"/>
        <v>0</v>
      </c>
      <c r="AY69" s="25">
        <f t="shared" si="9"/>
        <v>42</v>
      </c>
      <c r="AZ69" s="25">
        <f t="shared" si="9"/>
        <v>0</v>
      </c>
      <c r="BA69" s="25">
        <f t="shared" si="9"/>
        <v>0</v>
      </c>
      <c r="BB69" s="25">
        <f t="shared" si="9"/>
        <v>408</v>
      </c>
      <c r="BC69" s="25">
        <f t="shared" si="9"/>
        <v>0</v>
      </c>
      <c r="BD69" s="25">
        <f t="shared" si="9"/>
        <v>0</v>
      </c>
      <c r="BE69" s="25">
        <f t="shared" si="9"/>
        <v>3777</v>
      </c>
      <c r="BF69" s="25">
        <f t="shared" si="9"/>
        <v>0</v>
      </c>
      <c r="BG69" s="25">
        <f t="shared" si="9"/>
        <v>0</v>
      </c>
      <c r="BH69" s="25">
        <f t="shared" si="9"/>
        <v>73173</v>
      </c>
      <c r="BI69" s="25">
        <f t="shared" si="9"/>
        <v>0</v>
      </c>
      <c r="BJ69" s="25">
        <f t="shared" si="9"/>
        <v>39745</v>
      </c>
      <c r="BK69" s="25">
        <f t="shared" si="9"/>
        <v>0</v>
      </c>
      <c r="BL69" s="25">
        <f t="shared" si="9"/>
        <v>0</v>
      </c>
      <c r="BM69" s="25">
        <f t="shared" si="9"/>
        <v>0</v>
      </c>
      <c r="BN69" s="25">
        <f t="shared" si="9"/>
        <v>183558</v>
      </c>
      <c r="BO69" s="25">
        <f t="shared" ref="BO69:CD69" si="10">SUM(BO70:BO83)</f>
        <v>0</v>
      </c>
      <c r="BP69" s="25">
        <f t="shared" si="10"/>
        <v>0</v>
      </c>
      <c r="BQ69" s="25">
        <f t="shared" si="10"/>
        <v>0</v>
      </c>
      <c r="BR69" s="25">
        <f t="shared" si="10"/>
        <v>13138</v>
      </c>
      <c r="BS69" s="25">
        <f t="shared" si="10"/>
        <v>0</v>
      </c>
      <c r="BT69" s="25">
        <f t="shared" si="10"/>
        <v>0</v>
      </c>
      <c r="BU69" s="25">
        <f t="shared" si="10"/>
        <v>0</v>
      </c>
      <c r="BV69" s="25">
        <f t="shared" si="10"/>
        <v>25396</v>
      </c>
      <c r="BW69" s="25">
        <f t="shared" si="10"/>
        <v>0</v>
      </c>
      <c r="BX69" s="25">
        <f t="shared" si="10"/>
        <v>0</v>
      </c>
      <c r="BY69" s="25">
        <f t="shared" si="10"/>
        <v>2893</v>
      </c>
      <c r="BZ69" s="25">
        <f t="shared" si="10"/>
        <v>0</v>
      </c>
      <c r="CA69" s="25">
        <f t="shared" si="10"/>
        <v>0</v>
      </c>
      <c r="CB69" s="25">
        <f t="shared" si="10"/>
        <v>0</v>
      </c>
      <c r="CC69" s="25">
        <f t="shared" si="10"/>
        <v>0</v>
      </c>
      <c r="CD69" s="25">
        <f t="shared" si="10"/>
        <v>201829</v>
      </c>
      <c r="CE69" s="25">
        <f>SUM(CE70:CE83)</f>
        <v>604037</v>
      </c>
      <c r="CF69" s="318">
        <v>0</v>
      </c>
    </row>
    <row r="70" spans="1:84" x14ac:dyDescent="0.25">
      <c r="A70" s="26" t="s">
        <v>268</v>
      </c>
      <c r="B70" s="27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f>SUM(C70:CD70)</f>
        <v>0</v>
      </c>
      <c r="CF70" s="318">
        <v>0</v>
      </c>
    </row>
    <row r="71" spans="1:84" x14ac:dyDescent="0.25">
      <c r="A71" s="26" t="s">
        <v>269</v>
      </c>
      <c r="B71" s="27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f t="shared" ref="CE71:CE84" si="11">SUM(C71:CD71)</f>
        <v>0</v>
      </c>
      <c r="CF71" s="318">
        <v>0</v>
      </c>
    </row>
    <row r="72" spans="1:84" x14ac:dyDescent="0.25">
      <c r="A72" s="26" t="s">
        <v>270</v>
      </c>
      <c r="B72" s="27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f t="shared" si="11"/>
        <v>0</v>
      </c>
      <c r="CF72" s="318">
        <v>0</v>
      </c>
    </row>
    <row r="73" spans="1:84" x14ac:dyDescent="0.25">
      <c r="A73" s="26" t="s">
        <v>271</v>
      </c>
      <c r="B73" s="2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f t="shared" si="11"/>
        <v>0</v>
      </c>
      <c r="CF73" s="318">
        <v>0</v>
      </c>
    </row>
    <row r="74" spans="1:84" x14ac:dyDescent="0.25">
      <c r="A74" s="26" t="s">
        <v>272</v>
      </c>
      <c r="B74" s="2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f t="shared" si="11"/>
        <v>0</v>
      </c>
      <c r="CF74" s="318">
        <v>0</v>
      </c>
    </row>
    <row r="75" spans="1:84" x14ac:dyDescent="0.25">
      <c r="A75" s="26" t="s">
        <v>273</v>
      </c>
      <c r="B75" s="2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f t="shared" si="11"/>
        <v>0</v>
      </c>
      <c r="CF75" s="318">
        <v>0</v>
      </c>
    </row>
    <row r="76" spans="1:84" x14ac:dyDescent="0.25">
      <c r="A76" s="26" t="s">
        <v>274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1"/>
        <v>0</v>
      </c>
      <c r="CF76" s="318">
        <v>0</v>
      </c>
    </row>
    <row r="77" spans="1:84" x14ac:dyDescent="0.25">
      <c r="A77" s="26" t="s">
        <v>275</v>
      </c>
      <c r="B77" s="27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f t="shared" si="11"/>
        <v>0</v>
      </c>
      <c r="CF77" s="318">
        <v>0</v>
      </c>
    </row>
    <row r="78" spans="1:84" x14ac:dyDescent="0.25">
      <c r="A78" s="26" t="s">
        <v>276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f t="shared" si="11"/>
        <v>0</v>
      </c>
      <c r="CF78" s="318">
        <v>0</v>
      </c>
    </row>
    <row r="79" spans="1:84" x14ac:dyDescent="0.25">
      <c r="A79" s="26" t="s">
        <v>277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f t="shared" si="11"/>
        <v>0</v>
      </c>
      <c r="CF79" s="318">
        <v>0</v>
      </c>
    </row>
    <row r="80" spans="1:84" x14ac:dyDescent="0.25">
      <c r="A80" s="26" t="s">
        <v>278</v>
      </c>
      <c r="B80" s="16"/>
      <c r="C80" s="282">
        <v>0</v>
      </c>
      <c r="D80" s="282">
        <v>0</v>
      </c>
      <c r="E80" s="282">
        <v>0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0</v>
      </c>
      <c r="AF80" s="282">
        <v>0</v>
      </c>
      <c r="AG80" s="282">
        <v>0</v>
      </c>
      <c r="AH80" s="282">
        <v>0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0</v>
      </c>
      <c r="CA80" s="282">
        <v>0</v>
      </c>
      <c r="CB80" s="282">
        <v>0</v>
      </c>
      <c r="CC80" s="282">
        <v>0</v>
      </c>
      <c r="CD80" s="282">
        <v>0</v>
      </c>
      <c r="CE80" s="25">
        <f t="shared" si="11"/>
        <v>0</v>
      </c>
      <c r="CF80" s="318">
        <v>0</v>
      </c>
    </row>
    <row r="81" spans="1:84" x14ac:dyDescent="0.25">
      <c r="A81" s="26" t="s">
        <v>279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0</v>
      </c>
      <c r="CE81" s="25">
        <f t="shared" si="11"/>
        <v>0</v>
      </c>
      <c r="CF81" s="318">
        <v>0</v>
      </c>
    </row>
    <row r="82" spans="1:84" x14ac:dyDescent="0.25">
      <c r="A82" s="26" t="s">
        <v>280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f t="shared" si="11"/>
        <v>0</v>
      </c>
      <c r="CF82" s="318">
        <v>0</v>
      </c>
    </row>
    <row r="83" spans="1:84" x14ac:dyDescent="0.25">
      <c r="A83" s="26" t="s">
        <v>281</v>
      </c>
      <c r="B83" s="16"/>
      <c r="C83" s="273">
        <v>0</v>
      </c>
      <c r="D83" s="273">
        <v>0</v>
      </c>
      <c r="E83" s="273">
        <v>602</v>
      </c>
      <c r="F83" s="275">
        <v>0</v>
      </c>
      <c r="G83" s="273">
        <v>0</v>
      </c>
      <c r="H83" s="273">
        <v>0</v>
      </c>
      <c r="I83" s="275">
        <v>0</v>
      </c>
      <c r="J83" s="275">
        <v>0</v>
      </c>
      <c r="K83" s="275">
        <v>0</v>
      </c>
      <c r="L83" s="273">
        <v>39700</v>
      </c>
      <c r="M83" s="273">
        <v>0</v>
      </c>
      <c r="N83" s="273">
        <v>0</v>
      </c>
      <c r="O83" s="273">
        <v>0</v>
      </c>
      <c r="P83" s="275">
        <v>0</v>
      </c>
      <c r="Q83" s="275">
        <v>0</v>
      </c>
      <c r="R83" s="276">
        <v>0</v>
      </c>
      <c r="S83" s="275">
        <v>0</v>
      </c>
      <c r="T83" s="273">
        <v>0</v>
      </c>
      <c r="U83" s="275">
        <v>2290</v>
      </c>
      <c r="V83" s="273">
        <v>51</v>
      </c>
      <c r="W83" s="273">
        <v>0</v>
      </c>
      <c r="X83" s="275">
        <v>0</v>
      </c>
      <c r="Y83" s="273">
        <v>519</v>
      </c>
      <c r="Z83" s="275">
        <v>0</v>
      </c>
      <c r="AA83" s="275">
        <v>0</v>
      </c>
      <c r="AB83" s="275">
        <v>0</v>
      </c>
      <c r="AC83" s="275">
        <v>0</v>
      </c>
      <c r="AD83" s="275">
        <v>0</v>
      </c>
      <c r="AE83" s="275">
        <v>340</v>
      </c>
      <c r="AF83" s="275">
        <v>0</v>
      </c>
      <c r="AG83" s="275">
        <v>11473</v>
      </c>
      <c r="AH83" s="275">
        <v>0</v>
      </c>
      <c r="AI83" s="275">
        <v>0</v>
      </c>
      <c r="AJ83" s="275">
        <v>4944</v>
      </c>
      <c r="AK83" s="275">
        <v>0</v>
      </c>
      <c r="AL83" s="275">
        <v>0</v>
      </c>
      <c r="AM83" s="275">
        <v>0</v>
      </c>
      <c r="AN83" s="275">
        <v>0</v>
      </c>
      <c r="AO83" s="273">
        <v>159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0</v>
      </c>
      <c r="AV83" s="275">
        <v>0</v>
      </c>
      <c r="AW83" s="275">
        <v>0</v>
      </c>
      <c r="AX83" s="275">
        <v>0</v>
      </c>
      <c r="AY83" s="275">
        <v>42</v>
      </c>
      <c r="AZ83" s="275">
        <v>0</v>
      </c>
      <c r="BA83" s="275">
        <v>0</v>
      </c>
      <c r="BB83" s="275">
        <v>408</v>
      </c>
      <c r="BC83" s="275">
        <v>0</v>
      </c>
      <c r="BD83" s="275">
        <v>0</v>
      </c>
      <c r="BE83" s="275">
        <v>3777</v>
      </c>
      <c r="BF83" s="275">
        <v>0</v>
      </c>
      <c r="BG83" s="275">
        <v>0</v>
      </c>
      <c r="BH83" s="276">
        <v>73173</v>
      </c>
      <c r="BI83" s="275">
        <v>0</v>
      </c>
      <c r="BJ83" s="275">
        <v>39745</v>
      </c>
      <c r="BK83" s="275">
        <v>0</v>
      </c>
      <c r="BL83" s="275">
        <v>0</v>
      </c>
      <c r="BM83" s="275">
        <v>0</v>
      </c>
      <c r="BN83" s="275">
        <v>183558</v>
      </c>
      <c r="BO83" s="275">
        <v>0</v>
      </c>
      <c r="BP83" s="275">
        <v>0</v>
      </c>
      <c r="BQ83" s="275">
        <v>0</v>
      </c>
      <c r="BR83" s="275">
        <v>13138</v>
      </c>
      <c r="BS83" s="275">
        <v>0</v>
      </c>
      <c r="BT83" s="275">
        <v>0</v>
      </c>
      <c r="BU83" s="275">
        <v>0</v>
      </c>
      <c r="BV83" s="275">
        <v>25396</v>
      </c>
      <c r="BW83" s="275">
        <v>0</v>
      </c>
      <c r="BX83" s="275">
        <v>0</v>
      </c>
      <c r="BY83" s="275">
        <v>2893</v>
      </c>
      <c r="BZ83" s="275">
        <v>0</v>
      </c>
      <c r="CA83" s="275">
        <v>0</v>
      </c>
      <c r="CB83" s="275">
        <v>0</v>
      </c>
      <c r="CC83" s="275">
        <v>0</v>
      </c>
      <c r="CD83" s="282">
        <v>201829</v>
      </c>
      <c r="CE83" s="25">
        <f t="shared" si="11"/>
        <v>604037</v>
      </c>
      <c r="CF83" s="318">
        <v>0</v>
      </c>
    </row>
    <row r="84" spans="1:84" x14ac:dyDescent="0.25">
      <c r="A84" s="31" t="s">
        <v>282</v>
      </c>
      <c r="B84" s="16"/>
      <c r="C84" s="273">
        <v>0</v>
      </c>
      <c r="D84" s="273">
        <v>0</v>
      </c>
      <c r="E84" s="318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318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318">
        <v>0</v>
      </c>
      <c r="W84" s="273">
        <v>0</v>
      </c>
      <c r="X84" s="273">
        <v>0</v>
      </c>
      <c r="Y84" s="318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318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0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0</v>
      </c>
      <c r="CE84" s="25">
        <f t="shared" si="11"/>
        <v>0</v>
      </c>
      <c r="CF84" s="318">
        <v>0</v>
      </c>
    </row>
    <row r="85" spans="1:84" x14ac:dyDescent="0.25">
      <c r="A85" s="31" t="s">
        <v>283</v>
      </c>
      <c r="B85" s="25"/>
      <c r="C85" s="25">
        <f t="shared" ref="C85:BE85" si="12">SUM(C61:C69)-C84</f>
        <v>0</v>
      </c>
      <c r="D85" s="25">
        <f t="shared" si="12"/>
        <v>0</v>
      </c>
      <c r="E85" s="25">
        <f t="shared" si="12"/>
        <v>64022</v>
      </c>
      <c r="F85" s="25">
        <f t="shared" si="12"/>
        <v>0</v>
      </c>
      <c r="G85" s="25">
        <f t="shared" si="12"/>
        <v>0</v>
      </c>
      <c r="H85" s="25">
        <f t="shared" si="12"/>
        <v>0</v>
      </c>
      <c r="I85" s="25">
        <f t="shared" si="12"/>
        <v>0</v>
      </c>
      <c r="J85" s="25">
        <f t="shared" si="12"/>
        <v>0</v>
      </c>
      <c r="K85" s="25">
        <f t="shared" si="12"/>
        <v>0</v>
      </c>
      <c r="L85" s="25">
        <f t="shared" si="12"/>
        <v>4220427</v>
      </c>
      <c r="M85" s="25">
        <f t="shared" si="12"/>
        <v>0</v>
      </c>
      <c r="N85" s="25">
        <f t="shared" si="12"/>
        <v>0</v>
      </c>
      <c r="O85" s="25">
        <f t="shared" si="12"/>
        <v>0</v>
      </c>
      <c r="P85" s="25">
        <f t="shared" si="12"/>
        <v>0</v>
      </c>
      <c r="Q85" s="25">
        <f t="shared" si="12"/>
        <v>0</v>
      </c>
      <c r="R85" s="25">
        <f t="shared" si="12"/>
        <v>0</v>
      </c>
      <c r="S85" s="25">
        <f t="shared" si="12"/>
        <v>74941</v>
      </c>
      <c r="T85" s="25">
        <f t="shared" si="12"/>
        <v>0</v>
      </c>
      <c r="U85" s="25">
        <f t="shared" si="12"/>
        <v>719454</v>
      </c>
      <c r="V85" s="25">
        <f t="shared" si="12"/>
        <v>7447</v>
      </c>
      <c r="W85" s="25">
        <f t="shared" si="12"/>
        <v>0</v>
      </c>
      <c r="X85" s="25">
        <f t="shared" si="12"/>
        <v>0</v>
      </c>
      <c r="Y85" s="25">
        <f t="shared" si="12"/>
        <v>456063</v>
      </c>
      <c r="Z85" s="25">
        <f t="shared" si="12"/>
        <v>0</v>
      </c>
      <c r="AA85" s="25">
        <f t="shared" si="12"/>
        <v>0</v>
      </c>
      <c r="AB85" s="25">
        <f t="shared" si="12"/>
        <v>386129</v>
      </c>
      <c r="AC85" s="25">
        <f t="shared" si="12"/>
        <v>0</v>
      </c>
      <c r="AD85" s="25">
        <f t="shared" si="12"/>
        <v>0</v>
      </c>
      <c r="AE85" s="25">
        <f t="shared" si="12"/>
        <v>228680</v>
      </c>
      <c r="AF85" s="25">
        <f t="shared" si="12"/>
        <v>0</v>
      </c>
      <c r="AG85" s="25">
        <f t="shared" si="12"/>
        <v>944084</v>
      </c>
      <c r="AH85" s="25">
        <f t="shared" si="12"/>
        <v>0</v>
      </c>
      <c r="AI85" s="25">
        <f t="shared" si="12"/>
        <v>0</v>
      </c>
      <c r="AJ85" s="25">
        <f t="shared" si="12"/>
        <v>835585</v>
      </c>
      <c r="AK85" s="25">
        <f t="shared" si="12"/>
        <v>0</v>
      </c>
      <c r="AL85" s="25">
        <f t="shared" si="12"/>
        <v>0</v>
      </c>
      <c r="AM85" s="25">
        <f t="shared" si="12"/>
        <v>0</v>
      </c>
      <c r="AN85" s="25">
        <f t="shared" si="12"/>
        <v>0</v>
      </c>
      <c r="AO85" s="25">
        <f t="shared" si="12"/>
        <v>16922</v>
      </c>
      <c r="AP85" s="25">
        <f t="shared" si="12"/>
        <v>0</v>
      </c>
      <c r="AQ85" s="25">
        <f t="shared" si="12"/>
        <v>0</v>
      </c>
      <c r="AR85" s="25">
        <f t="shared" si="12"/>
        <v>0</v>
      </c>
      <c r="AS85" s="25">
        <f t="shared" si="12"/>
        <v>0</v>
      </c>
      <c r="AT85" s="25">
        <f t="shared" si="12"/>
        <v>0</v>
      </c>
      <c r="AU85" s="25">
        <f t="shared" si="12"/>
        <v>0</v>
      </c>
      <c r="AV85" s="25">
        <f t="shared" si="12"/>
        <v>0</v>
      </c>
      <c r="AW85" s="25">
        <f t="shared" si="12"/>
        <v>0</v>
      </c>
      <c r="AX85" s="25">
        <f t="shared" si="12"/>
        <v>0</v>
      </c>
      <c r="AY85" s="25">
        <f t="shared" si="12"/>
        <v>454282</v>
      </c>
      <c r="AZ85" s="25">
        <f t="shared" si="12"/>
        <v>0</v>
      </c>
      <c r="BA85" s="25">
        <f t="shared" si="12"/>
        <v>79243</v>
      </c>
      <c r="BB85" s="25">
        <f t="shared" si="12"/>
        <v>145723</v>
      </c>
      <c r="BC85" s="25">
        <f t="shared" si="12"/>
        <v>0</v>
      </c>
      <c r="BD85" s="25">
        <f t="shared" si="12"/>
        <v>0</v>
      </c>
      <c r="BE85" s="25">
        <f t="shared" si="12"/>
        <v>393142</v>
      </c>
      <c r="BF85" s="25">
        <f>SUM(BF61:BF69)-BF84</f>
        <v>124800</v>
      </c>
      <c r="BG85" s="25">
        <f t="shared" ref="BG85:BO85" si="13">SUM(BG61:BG69)-BG84</f>
        <v>0</v>
      </c>
      <c r="BH85" s="25">
        <f>SUM(BH61:BH69)-BH84</f>
        <v>267452</v>
      </c>
      <c r="BI85" s="25">
        <f t="shared" si="13"/>
        <v>0</v>
      </c>
      <c r="BJ85" s="25">
        <f>SUM(BJ61:BJ69)-BJ84</f>
        <v>273488</v>
      </c>
      <c r="BK85" s="25">
        <f t="shared" si="13"/>
        <v>0</v>
      </c>
      <c r="BL85" s="25">
        <f t="shared" si="13"/>
        <v>0</v>
      </c>
      <c r="BM85" s="25">
        <f t="shared" si="13"/>
        <v>0</v>
      </c>
      <c r="BN85" s="25">
        <f>SUM(BN61:BN69)-BN84</f>
        <v>614758</v>
      </c>
      <c r="BO85" s="25">
        <f t="shared" si="13"/>
        <v>0</v>
      </c>
      <c r="BP85" s="25">
        <f t="shared" ref="BP85:CC85" si="14">SUM(BP61:BP69)-BP84</f>
        <v>0</v>
      </c>
      <c r="BQ85" s="25">
        <f t="shared" si="14"/>
        <v>0</v>
      </c>
      <c r="BR85" s="25">
        <f>SUM(BR61:BR69)-BR84</f>
        <v>144288</v>
      </c>
      <c r="BS85" s="25">
        <f t="shared" si="14"/>
        <v>0</v>
      </c>
      <c r="BT85" s="25">
        <f t="shared" si="14"/>
        <v>0</v>
      </c>
      <c r="BU85" s="25">
        <f t="shared" si="14"/>
        <v>0</v>
      </c>
      <c r="BV85" s="25">
        <f>SUM(BV61:BV69)-BV84</f>
        <v>379891</v>
      </c>
      <c r="BW85" s="25">
        <f t="shared" si="14"/>
        <v>0</v>
      </c>
      <c r="BX85" s="25">
        <f t="shared" si="14"/>
        <v>0</v>
      </c>
      <c r="BY85" s="25">
        <f>SUM(BY61:BY69)-BY84</f>
        <v>221815</v>
      </c>
      <c r="BZ85" s="25">
        <f t="shared" si="14"/>
        <v>0</v>
      </c>
      <c r="CA85" s="25">
        <f t="shared" si="14"/>
        <v>0</v>
      </c>
      <c r="CB85" s="25">
        <f t="shared" si="14"/>
        <v>0</v>
      </c>
      <c r="CC85" s="25">
        <f t="shared" si="14"/>
        <v>0</v>
      </c>
      <c r="CD85" s="25">
        <f>SUM(CD61:CD69)-CD84</f>
        <v>201829</v>
      </c>
      <c r="CE85" s="25">
        <f>SUM(C85:CD85)</f>
        <v>11254465</v>
      </c>
      <c r="CF85" s="318">
        <v>0</v>
      </c>
    </row>
    <row r="86" spans="1:84" x14ac:dyDescent="0.25">
      <c r="A86" s="31" t="s">
        <v>284</v>
      </c>
      <c r="B86" s="25"/>
      <c r="C86" s="24" t="s">
        <v>246</v>
      </c>
      <c r="D86" s="24" t="s">
        <v>246</v>
      </c>
      <c r="E86" s="24" t="s">
        <v>246</v>
      </c>
      <c r="F86" s="24" t="s">
        <v>246</v>
      </c>
      <c r="G86" s="24" t="s">
        <v>246</v>
      </c>
      <c r="H86" s="24" t="s">
        <v>246</v>
      </c>
      <c r="I86" s="24" t="s">
        <v>246</v>
      </c>
      <c r="J86" s="24" t="s">
        <v>246</v>
      </c>
      <c r="K86" s="28" t="s">
        <v>246</v>
      </c>
      <c r="L86" s="24" t="s">
        <v>246</v>
      </c>
      <c r="M86" s="24" t="s">
        <v>246</v>
      </c>
      <c r="N86" s="24" t="s">
        <v>246</v>
      </c>
      <c r="O86" s="24" t="s">
        <v>246</v>
      </c>
      <c r="P86" s="24" t="s">
        <v>246</v>
      </c>
      <c r="Q86" s="24" t="s">
        <v>246</v>
      </c>
      <c r="R86" s="24" t="s">
        <v>246</v>
      </c>
      <c r="S86" s="24" t="s">
        <v>246</v>
      </c>
      <c r="T86" s="24" t="s">
        <v>246</v>
      </c>
      <c r="U86" s="24" t="s">
        <v>246</v>
      </c>
      <c r="V86" s="24" t="s">
        <v>246</v>
      </c>
      <c r="W86" s="24" t="s">
        <v>246</v>
      </c>
      <c r="X86" s="24" t="s">
        <v>246</v>
      </c>
      <c r="Y86" s="24" t="s">
        <v>246</v>
      </c>
      <c r="Z86" s="24" t="s">
        <v>246</v>
      </c>
      <c r="AA86" s="24" t="s">
        <v>246</v>
      </c>
      <c r="AB86" s="24" t="s">
        <v>246</v>
      </c>
      <c r="AC86" s="24" t="s">
        <v>246</v>
      </c>
      <c r="AD86" s="24" t="s">
        <v>246</v>
      </c>
      <c r="AE86" s="24" t="s">
        <v>246</v>
      </c>
      <c r="AF86" s="24" t="s">
        <v>246</v>
      </c>
      <c r="AG86" s="24" t="s">
        <v>246</v>
      </c>
      <c r="AH86" s="24" t="s">
        <v>246</v>
      </c>
      <c r="AI86" s="24" t="s">
        <v>246</v>
      </c>
      <c r="AJ86" s="24" t="s">
        <v>246</v>
      </c>
      <c r="AK86" s="24" t="s">
        <v>246</v>
      </c>
      <c r="AL86" s="24" t="s">
        <v>246</v>
      </c>
      <c r="AM86" s="24" t="s">
        <v>246</v>
      </c>
      <c r="AN86" s="24" t="s">
        <v>246</v>
      </c>
      <c r="AO86" s="24" t="s">
        <v>246</v>
      </c>
      <c r="AP86" s="24" t="s">
        <v>246</v>
      </c>
      <c r="AQ86" s="24" t="s">
        <v>246</v>
      </c>
      <c r="AR86" s="24" t="s">
        <v>246</v>
      </c>
      <c r="AS86" s="24" t="s">
        <v>246</v>
      </c>
      <c r="AT86" s="24" t="s">
        <v>246</v>
      </c>
      <c r="AU86" s="24" t="s">
        <v>246</v>
      </c>
      <c r="AV86" s="24" t="s">
        <v>246</v>
      </c>
      <c r="AW86" s="24" t="s">
        <v>246</v>
      </c>
      <c r="AX86" s="24" t="s">
        <v>246</v>
      </c>
      <c r="AY86" s="24" t="s">
        <v>246</v>
      </c>
      <c r="AZ86" s="24" t="s">
        <v>246</v>
      </c>
      <c r="BA86" s="24" t="s">
        <v>246</v>
      </c>
      <c r="BB86" s="24" t="s">
        <v>246</v>
      </c>
      <c r="BC86" s="24" t="s">
        <v>246</v>
      </c>
      <c r="BD86" s="24" t="s">
        <v>246</v>
      </c>
      <c r="BE86" s="24" t="s">
        <v>246</v>
      </c>
      <c r="BF86" s="24" t="s">
        <v>246</v>
      </c>
      <c r="BG86" s="24" t="s">
        <v>246</v>
      </c>
      <c r="BH86" s="24" t="s">
        <v>246</v>
      </c>
      <c r="BI86" s="24" t="s">
        <v>246</v>
      </c>
      <c r="BJ86" s="24" t="s">
        <v>246</v>
      </c>
      <c r="BK86" s="24" t="s">
        <v>246</v>
      </c>
      <c r="BL86" s="24" t="s">
        <v>246</v>
      </c>
      <c r="BM86" s="24" t="s">
        <v>246</v>
      </c>
      <c r="BN86" s="24" t="s">
        <v>246</v>
      </c>
      <c r="BO86" s="24" t="s">
        <v>246</v>
      </c>
      <c r="BP86" s="24" t="s">
        <v>246</v>
      </c>
      <c r="BQ86" s="24" t="s">
        <v>246</v>
      </c>
      <c r="BR86" s="24" t="s">
        <v>246</v>
      </c>
      <c r="BS86" s="24" t="s">
        <v>246</v>
      </c>
      <c r="BT86" s="24" t="s">
        <v>246</v>
      </c>
      <c r="BU86" s="24" t="s">
        <v>246</v>
      </c>
      <c r="BV86" s="24" t="s">
        <v>246</v>
      </c>
      <c r="BW86" s="24" t="s">
        <v>246</v>
      </c>
      <c r="BX86" s="24" t="s">
        <v>246</v>
      </c>
      <c r="BY86" s="24" t="s">
        <v>246</v>
      </c>
      <c r="BZ86" s="24" t="s">
        <v>246</v>
      </c>
      <c r="CA86" s="24" t="s">
        <v>246</v>
      </c>
      <c r="CB86" s="24" t="s">
        <v>246</v>
      </c>
      <c r="CC86" s="24" t="s">
        <v>246</v>
      </c>
      <c r="CD86" s="24" t="s">
        <v>246</v>
      </c>
      <c r="CE86" s="282">
        <v>0</v>
      </c>
      <c r="CF86" s="318">
        <v>0</v>
      </c>
    </row>
    <row r="87" spans="1:84" x14ac:dyDescent="0.25">
      <c r="A87" s="21" t="s">
        <v>285</v>
      </c>
      <c r="B87" s="16"/>
      <c r="C87" s="273">
        <v>0</v>
      </c>
      <c r="D87" s="273">
        <v>0</v>
      </c>
      <c r="E87" s="273">
        <v>163624</v>
      </c>
      <c r="F87" s="273">
        <v>0</v>
      </c>
      <c r="G87" s="273">
        <v>0</v>
      </c>
      <c r="H87" s="273">
        <v>0</v>
      </c>
      <c r="I87" s="273">
        <v>0</v>
      </c>
      <c r="J87" s="273">
        <v>0</v>
      </c>
      <c r="K87" s="273">
        <v>0</v>
      </c>
      <c r="L87" s="273">
        <v>1417586</v>
      </c>
      <c r="M87" s="273">
        <v>0</v>
      </c>
      <c r="N87" s="273">
        <v>0</v>
      </c>
      <c r="O87" s="273">
        <v>0</v>
      </c>
      <c r="P87" s="273">
        <v>0</v>
      </c>
      <c r="Q87" s="273">
        <v>0</v>
      </c>
      <c r="R87" s="273">
        <v>0</v>
      </c>
      <c r="S87" s="273">
        <v>5898</v>
      </c>
      <c r="T87" s="273">
        <v>0</v>
      </c>
      <c r="U87" s="273">
        <v>95012</v>
      </c>
      <c r="V87" s="273">
        <v>4264</v>
      </c>
      <c r="W87" s="273">
        <v>0</v>
      </c>
      <c r="X87" s="273">
        <v>0</v>
      </c>
      <c r="Y87" s="273">
        <v>57386</v>
      </c>
      <c r="Z87" s="273">
        <v>0</v>
      </c>
      <c r="AA87" s="273">
        <v>0</v>
      </c>
      <c r="AB87" s="273">
        <v>410586.85</v>
      </c>
      <c r="AC87" s="273">
        <v>0</v>
      </c>
      <c r="AD87" s="273">
        <v>0</v>
      </c>
      <c r="AE87" s="273">
        <v>96560</v>
      </c>
      <c r="AF87" s="273">
        <v>0</v>
      </c>
      <c r="AG87" s="273">
        <v>4446</v>
      </c>
      <c r="AH87" s="273">
        <v>0</v>
      </c>
      <c r="AI87" s="273">
        <v>0</v>
      </c>
      <c r="AJ87" s="273">
        <v>0</v>
      </c>
      <c r="AK87" s="273">
        <v>0</v>
      </c>
      <c r="AL87" s="273">
        <v>0</v>
      </c>
      <c r="AM87" s="273">
        <v>0</v>
      </c>
      <c r="AN87" s="273">
        <v>0</v>
      </c>
      <c r="AO87" s="273">
        <v>589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246</v>
      </c>
      <c r="AX87" s="24" t="s">
        <v>246</v>
      </c>
      <c r="AY87" s="24" t="s">
        <v>246</v>
      </c>
      <c r="AZ87" s="24" t="s">
        <v>246</v>
      </c>
      <c r="BA87" s="24" t="s">
        <v>246</v>
      </c>
      <c r="BB87" s="24" t="s">
        <v>246</v>
      </c>
      <c r="BC87" s="24" t="s">
        <v>246</v>
      </c>
      <c r="BD87" s="24" t="s">
        <v>246</v>
      </c>
      <c r="BE87" s="24" t="s">
        <v>246</v>
      </c>
      <c r="BF87" s="24" t="s">
        <v>246</v>
      </c>
      <c r="BG87" s="24" t="s">
        <v>246</v>
      </c>
      <c r="BH87" s="24" t="s">
        <v>246</v>
      </c>
      <c r="BI87" s="24" t="s">
        <v>246</v>
      </c>
      <c r="BJ87" s="24" t="s">
        <v>246</v>
      </c>
      <c r="BK87" s="24" t="s">
        <v>246</v>
      </c>
      <c r="BL87" s="24" t="s">
        <v>246</v>
      </c>
      <c r="BM87" s="24" t="s">
        <v>246</v>
      </c>
      <c r="BN87" s="24" t="s">
        <v>246</v>
      </c>
      <c r="BO87" s="24" t="s">
        <v>246</v>
      </c>
      <c r="BP87" s="24" t="s">
        <v>246</v>
      </c>
      <c r="BQ87" s="24" t="s">
        <v>246</v>
      </c>
      <c r="BR87" s="24" t="s">
        <v>246</v>
      </c>
      <c r="BS87" s="24" t="s">
        <v>246</v>
      </c>
      <c r="BT87" s="24" t="s">
        <v>246</v>
      </c>
      <c r="BU87" s="24" t="s">
        <v>246</v>
      </c>
      <c r="BV87" s="24" t="s">
        <v>246</v>
      </c>
      <c r="BW87" s="24" t="s">
        <v>246</v>
      </c>
      <c r="BX87" s="24" t="s">
        <v>246</v>
      </c>
      <c r="BY87" s="24" t="s">
        <v>246</v>
      </c>
      <c r="BZ87" s="24" t="s">
        <v>246</v>
      </c>
      <c r="CA87" s="24" t="s">
        <v>246</v>
      </c>
      <c r="CB87" s="24" t="s">
        <v>246</v>
      </c>
      <c r="CC87" s="24" t="s">
        <v>246</v>
      </c>
      <c r="CD87" s="24" t="s">
        <v>246</v>
      </c>
      <c r="CE87" s="25">
        <f t="shared" ref="CE87:CE94" si="15">SUM(C87:CD87)</f>
        <v>2255951.85</v>
      </c>
      <c r="CF87" s="318">
        <v>0</v>
      </c>
    </row>
    <row r="88" spans="1:84" x14ac:dyDescent="0.25">
      <c r="A88" s="21" t="s">
        <v>286</v>
      </c>
      <c r="B88" s="16"/>
      <c r="C88" s="273">
        <v>0</v>
      </c>
      <c r="D88" s="273">
        <v>0</v>
      </c>
      <c r="E88" s="273">
        <v>6386.2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0</v>
      </c>
      <c r="Q88" s="273">
        <v>0</v>
      </c>
      <c r="R88" s="273">
        <v>0</v>
      </c>
      <c r="S88" s="273">
        <v>25303</v>
      </c>
      <c r="T88" s="273">
        <v>0</v>
      </c>
      <c r="U88" s="273">
        <v>985640.35</v>
      </c>
      <c r="V88" s="273">
        <v>66647</v>
      </c>
      <c r="W88" s="273">
        <v>0</v>
      </c>
      <c r="X88" s="273">
        <v>0</v>
      </c>
      <c r="Y88" s="273">
        <v>665095.68000000005</v>
      </c>
      <c r="Z88" s="273">
        <v>0</v>
      </c>
      <c r="AA88" s="273">
        <v>0</v>
      </c>
      <c r="AB88" s="273">
        <v>440451.08</v>
      </c>
      <c r="AC88" s="273">
        <v>0</v>
      </c>
      <c r="AD88" s="273">
        <v>0</v>
      </c>
      <c r="AE88" s="273">
        <v>405575.66</v>
      </c>
      <c r="AF88" s="273">
        <v>0</v>
      </c>
      <c r="AG88" s="273">
        <v>1700854.49</v>
      </c>
      <c r="AH88" s="273">
        <v>0</v>
      </c>
      <c r="AI88" s="273">
        <v>0</v>
      </c>
      <c r="AJ88" s="273">
        <v>902339</v>
      </c>
      <c r="AK88" s="273">
        <v>0</v>
      </c>
      <c r="AL88" s="273">
        <v>0</v>
      </c>
      <c r="AM88" s="273">
        <v>0</v>
      </c>
      <c r="AN88" s="273">
        <v>0</v>
      </c>
      <c r="AO88" s="273">
        <v>270736.21999999997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246</v>
      </c>
      <c r="AX88" s="24" t="s">
        <v>246</v>
      </c>
      <c r="AY88" s="24" t="s">
        <v>246</v>
      </c>
      <c r="AZ88" s="24" t="s">
        <v>246</v>
      </c>
      <c r="BA88" s="24" t="s">
        <v>246</v>
      </c>
      <c r="BB88" s="24" t="s">
        <v>246</v>
      </c>
      <c r="BC88" s="24" t="s">
        <v>246</v>
      </c>
      <c r="BD88" s="24" t="s">
        <v>246</v>
      </c>
      <c r="BE88" s="24" t="s">
        <v>246</v>
      </c>
      <c r="BF88" s="24" t="s">
        <v>246</v>
      </c>
      <c r="BG88" s="24" t="s">
        <v>246</v>
      </c>
      <c r="BH88" s="24" t="s">
        <v>246</v>
      </c>
      <c r="BI88" s="24" t="s">
        <v>246</v>
      </c>
      <c r="BJ88" s="24" t="s">
        <v>246</v>
      </c>
      <c r="BK88" s="24" t="s">
        <v>246</v>
      </c>
      <c r="BL88" s="24" t="s">
        <v>246</v>
      </c>
      <c r="BM88" s="24" t="s">
        <v>246</v>
      </c>
      <c r="BN88" s="24" t="s">
        <v>246</v>
      </c>
      <c r="BO88" s="24" t="s">
        <v>246</v>
      </c>
      <c r="BP88" s="24" t="s">
        <v>246</v>
      </c>
      <c r="BQ88" s="24" t="s">
        <v>246</v>
      </c>
      <c r="BR88" s="24" t="s">
        <v>246</v>
      </c>
      <c r="BS88" s="24" t="s">
        <v>246</v>
      </c>
      <c r="BT88" s="24" t="s">
        <v>246</v>
      </c>
      <c r="BU88" s="24" t="s">
        <v>246</v>
      </c>
      <c r="BV88" s="24" t="s">
        <v>246</v>
      </c>
      <c r="BW88" s="24" t="s">
        <v>246</v>
      </c>
      <c r="BX88" s="24" t="s">
        <v>246</v>
      </c>
      <c r="BY88" s="24" t="s">
        <v>246</v>
      </c>
      <c r="BZ88" s="24" t="s">
        <v>246</v>
      </c>
      <c r="CA88" s="24" t="s">
        <v>246</v>
      </c>
      <c r="CB88" s="24" t="s">
        <v>246</v>
      </c>
      <c r="CC88" s="24" t="s">
        <v>246</v>
      </c>
      <c r="CD88" s="24" t="s">
        <v>246</v>
      </c>
      <c r="CE88" s="25">
        <f t="shared" si="15"/>
        <v>5469028.6799999997</v>
      </c>
      <c r="CF88" s="318">
        <v>0</v>
      </c>
    </row>
    <row r="89" spans="1:84" x14ac:dyDescent="0.25">
      <c r="A89" s="21" t="s">
        <v>287</v>
      </c>
      <c r="B89" s="16"/>
      <c r="C89" s="25">
        <f>C87+C88</f>
        <v>0</v>
      </c>
      <c r="D89" s="25">
        <f t="shared" ref="D89:AV89" si="16">D87+D88</f>
        <v>0</v>
      </c>
      <c r="E89" s="25">
        <f t="shared" si="16"/>
        <v>170010.2</v>
      </c>
      <c r="F89" s="25">
        <f t="shared" si="16"/>
        <v>0</v>
      </c>
      <c r="G89" s="25">
        <f t="shared" si="16"/>
        <v>0</v>
      </c>
      <c r="H89" s="25">
        <f t="shared" si="16"/>
        <v>0</v>
      </c>
      <c r="I89" s="25">
        <f t="shared" si="16"/>
        <v>0</v>
      </c>
      <c r="J89" s="25">
        <f t="shared" si="16"/>
        <v>0</v>
      </c>
      <c r="K89" s="25">
        <f t="shared" si="16"/>
        <v>0</v>
      </c>
      <c r="L89" s="25">
        <f t="shared" si="16"/>
        <v>1417586</v>
      </c>
      <c r="M89" s="25">
        <f t="shared" si="16"/>
        <v>0</v>
      </c>
      <c r="N89" s="25">
        <f t="shared" si="16"/>
        <v>0</v>
      </c>
      <c r="O89" s="25">
        <f t="shared" si="16"/>
        <v>0</v>
      </c>
      <c r="P89" s="25">
        <f t="shared" si="16"/>
        <v>0</v>
      </c>
      <c r="Q89" s="25">
        <f t="shared" si="16"/>
        <v>0</v>
      </c>
      <c r="R89" s="25">
        <f t="shared" si="16"/>
        <v>0</v>
      </c>
      <c r="S89" s="25">
        <f t="shared" si="16"/>
        <v>31201</v>
      </c>
      <c r="T89" s="25">
        <f t="shared" si="16"/>
        <v>0</v>
      </c>
      <c r="U89" s="25">
        <f t="shared" si="16"/>
        <v>1080652.3500000001</v>
      </c>
      <c r="V89" s="25">
        <f t="shared" si="16"/>
        <v>70911</v>
      </c>
      <c r="W89" s="25">
        <f t="shared" si="16"/>
        <v>0</v>
      </c>
      <c r="X89" s="25">
        <f t="shared" si="16"/>
        <v>0</v>
      </c>
      <c r="Y89" s="25">
        <f t="shared" si="16"/>
        <v>722481.68</v>
      </c>
      <c r="Z89" s="25">
        <f t="shared" si="16"/>
        <v>0</v>
      </c>
      <c r="AA89" s="25">
        <f t="shared" si="16"/>
        <v>0</v>
      </c>
      <c r="AB89" s="25">
        <f t="shared" si="16"/>
        <v>851037.92999999993</v>
      </c>
      <c r="AC89" s="25">
        <f t="shared" si="16"/>
        <v>0</v>
      </c>
      <c r="AD89" s="25">
        <f t="shared" si="16"/>
        <v>0</v>
      </c>
      <c r="AE89" s="25">
        <f t="shared" si="16"/>
        <v>502135.66</v>
      </c>
      <c r="AF89" s="25">
        <f t="shared" si="16"/>
        <v>0</v>
      </c>
      <c r="AG89" s="25">
        <f t="shared" si="16"/>
        <v>1705300.49</v>
      </c>
      <c r="AH89" s="25">
        <f t="shared" si="16"/>
        <v>0</v>
      </c>
      <c r="AI89" s="25">
        <f t="shared" si="16"/>
        <v>0</v>
      </c>
      <c r="AJ89" s="25">
        <f t="shared" si="16"/>
        <v>902339</v>
      </c>
      <c r="AK89" s="25">
        <f t="shared" si="16"/>
        <v>0</v>
      </c>
      <c r="AL89" s="25">
        <f t="shared" si="16"/>
        <v>0</v>
      </c>
      <c r="AM89" s="25">
        <f t="shared" si="16"/>
        <v>0</v>
      </c>
      <c r="AN89" s="25">
        <f t="shared" si="16"/>
        <v>0</v>
      </c>
      <c r="AO89" s="25">
        <f t="shared" si="16"/>
        <v>271325.21999999997</v>
      </c>
      <c r="AP89" s="25">
        <f t="shared" si="16"/>
        <v>0</v>
      </c>
      <c r="AQ89" s="25">
        <f t="shared" si="16"/>
        <v>0</v>
      </c>
      <c r="AR89" s="25">
        <f t="shared" si="16"/>
        <v>0</v>
      </c>
      <c r="AS89" s="25">
        <f t="shared" si="16"/>
        <v>0</v>
      </c>
      <c r="AT89" s="25">
        <f t="shared" si="16"/>
        <v>0</v>
      </c>
      <c r="AU89" s="25">
        <f t="shared" si="16"/>
        <v>0</v>
      </c>
      <c r="AV89" s="25">
        <f t="shared" si="16"/>
        <v>0</v>
      </c>
      <c r="AW89" s="24" t="s">
        <v>246</v>
      </c>
      <c r="AX89" s="24" t="s">
        <v>246</v>
      </c>
      <c r="AY89" s="24" t="s">
        <v>246</v>
      </c>
      <c r="AZ89" s="24" t="s">
        <v>246</v>
      </c>
      <c r="BA89" s="24" t="s">
        <v>246</v>
      </c>
      <c r="BB89" s="24" t="s">
        <v>246</v>
      </c>
      <c r="BC89" s="24" t="s">
        <v>246</v>
      </c>
      <c r="BD89" s="24" t="s">
        <v>246</v>
      </c>
      <c r="BE89" s="24" t="s">
        <v>246</v>
      </c>
      <c r="BF89" s="24" t="s">
        <v>246</v>
      </c>
      <c r="BG89" s="24" t="s">
        <v>246</v>
      </c>
      <c r="BH89" s="24" t="s">
        <v>246</v>
      </c>
      <c r="BI89" s="24" t="s">
        <v>246</v>
      </c>
      <c r="BJ89" s="24" t="s">
        <v>246</v>
      </c>
      <c r="BK89" s="24" t="s">
        <v>246</v>
      </c>
      <c r="BL89" s="24" t="s">
        <v>246</v>
      </c>
      <c r="BM89" s="24" t="s">
        <v>246</v>
      </c>
      <c r="BN89" s="24" t="s">
        <v>246</v>
      </c>
      <c r="BO89" s="24" t="s">
        <v>246</v>
      </c>
      <c r="BP89" s="24" t="s">
        <v>246</v>
      </c>
      <c r="BQ89" s="24" t="s">
        <v>246</v>
      </c>
      <c r="BR89" s="24" t="s">
        <v>246</v>
      </c>
      <c r="BS89" s="24" t="s">
        <v>246</v>
      </c>
      <c r="BT89" s="24" t="s">
        <v>246</v>
      </c>
      <c r="BU89" s="24" t="s">
        <v>246</v>
      </c>
      <c r="BV89" s="24" t="s">
        <v>246</v>
      </c>
      <c r="BW89" s="24" t="s">
        <v>246</v>
      </c>
      <c r="BX89" s="24" t="s">
        <v>246</v>
      </c>
      <c r="BY89" s="24" t="s">
        <v>246</v>
      </c>
      <c r="BZ89" s="24" t="s">
        <v>246</v>
      </c>
      <c r="CA89" s="24" t="s">
        <v>246</v>
      </c>
      <c r="CB89" s="24" t="s">
        <v>246</v>
      </c>
      <c r="CC89" s="24" t="s">
        <v>246</v>
      </c>
      <c r="CD89" s="24" t="s">
        <v>246</v>
      </c>
      <c r="CE89" s="25">
        <f t="shared" si="15"/>
        <v>7724980.5300000003</v>
      </c>
      <c r="CF89" s="318">
        <v>0</v>
      </c>
    </row>
    <row r="90" spans="1:84" x14ac:dyDescent="0.25">
      <c r="A90" s="31" t="s">
        <v>288</v>
      </c>
      <c r="B90" s="25"/>
      <c r="C90" s="273">
        <v>0</v>
      </c>
      <c r="D90" s="273">
        <v>0</v>
      </c>
      <c r="E90" s="273">
        <v>148</v>
      </c>
      <c r="F90" s="273">
        <v>0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9768</v>
      </c>
      <c r="M90" s="273">
        <v>0</v>
      </c>
      <c r="N90" s="273">
        <v>0</v>
      </c>
      <c r="O90" s="273">
        <v>0</v>
      </c>
      <c r="P90" s="273">
        <v>0</v>
      </c>
      <c r="Q90" s="273">
        <v>0</v>
      </c>
      <c r="R90" s="273">
        <v>0</v>
      </c>
      <c r="S90" s="273">
        <v>287</v>
      </c>
      <c r="T90" s="273">
        <v>0</v>
      </c>
      <c r="U90" s="273">
        <v>589</v>
      </c>
      <c r="V90" s="273">
        <v>14</v>
      </c>
      <c r="W90" s="273">
        <v>0</v>
      </c>
      <c r="X90" s="273">
        <v>0</v>
      </c>
      <c r="Y90" s="273">
        <v>144</v>
      </c>
      <c r="Z90" s="273">
        <v>0</v>
      </c>
      <c r="AA90" s="273">
        <v>0</v>
      </c>
      <c r="AB90" s="273">
        <v>57</v>
      </c>
      <c r="AC90" s="273">
        <v>0</v>
      </c>
      <c r="AD90" s="273">
        <v>0</v>
      </c>
      <c r="AE90" s="273">
        <v>501</v>
      </c>
      <c r="AF90" s="273">
        <v>0</v>
      </c>
      <c r="AG90" s="273">
        <v>631</v>
      </c>
      <c r="AH90" s="273">
        <v>0</v>
      </c>
      <c r="AI90" s="273">
        <v>0</v>
      </c>
      <c r="AJ90" s="273">
        <v>1036</v>
      </c>
      <c r="AK90" s="273">
        <v>0</v>
      </c>
      <c r="AL90" s="273">
        <v>0</v>
      </c>
      <c r="AM90" s="273">
        <v>0</v>
      </c>
      <c r="AN90" s="273">
        <v>0</v>
      </c>
      <c r="AO90" s="273">
        <v>39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1136</v>
      </c>
      <c r="AZ90" s="273">
        <v>0</v>
      </c>
      <c r="BA90" s="273">
        <v>743</v>
      </c>
      <c r="BB90" s="273">
        <v>0</v>
      </c>
      <c r="BC90" s="273">
        <v>0</v>
      </c>
      <c r="BD90" s="273">
        <v>0</v>
      </c>
      <c r="BE90" s="273">
        <v>1473</v>
      </c>
      <c r="BF90" s="273">
        <v>209</v>
      </c>
      <c r="BG90" s="273">
        <v>0</v>
      </c>
      <c r="BH90" s="273">
        <v>0</v>
      </c>
      <c r="BI90" s="273">
        <v>0</v>
      </c>
      <c r="BJ90" s="273">
        <v>0</v>
      </c>
      <c r="BK90" s="273">
        <v>0</v>
      </c>
      <c r="BL90" s="273">
        <v>0</v>
      </c>
      <c r="BM90" s="273">
        <v>0</v>
      </c>
      <c r="BN90" s="273">
        <v>3595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0</v>
      </c>
      <c r="BU90" s="273">
        <v>0</v>
      </c>
      <c r="BV90" s="273">
        <v>356</v>
      </c>
      <c r="BW90" s="273">
        <v>0</v>
      </c>
      <c r="BX90" s="273">
        <v>0</v>
      </c>
      <c r="BY90" s="273">
        <v>197</v>
      </c>
      <c r="BZ90" s="273">
        <v>0</v>
      </c>
      <c r="CA90" s="273">
        <v>0</v>
      </c>
      <c r="CB90" s="273">
        <v>0</v>
      </c>
      <c r="CC90" s="273">
        <v>0</v>
      </c>
      <c r="CD90" s="224" t="s">
        <v>246</v>
      </c>
      <c r="CE90" s="25">
        <f t="shared" si="15"/>
        <v>20923</v>
      </c>
      <c r="CF90" s="25">
        <f>BE59-CE90</f>
        <v>0</v>
      </c>
    </row>
    <row r="91" spans="1:84" x14ac:dyDescent="0.25">
      <c r="A91" s="21" t="s">
        <v>289</v>
      </c>
      <c r="B91" s="16"/>
      <c r="C91" s="273">
        <v>0</v>
      </c>
      <c r="D91" s="273">
        <v>0</v>
      </c>
      <c r="E91" s="273">
        <v>255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16805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67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246</v>
      </c>
      <c r="AY91" s="264" t="s">
        <v>246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246</v>
      </c>
      <c r="BE91" s="24" t="s">
        <v>246</v>
      </c>
      <c r="BF91" s="273">
        <v>0</v>
      </c>
      <c r="BG91" s="24" t="s">
        <v>246</v>
      </c>
      <c r="BH91" s="273">
        <v>0</v>
      </c>
      <c r="BI91" s="273">
        <v>0</v>
      </c>
      <c r="BJ91" s="24" t="s">
        <v>246</v>
      </c>
      <c r="BK91" s="273">
        <v>0</v>
      </c>
      <c r="BL91" s="273">
        <v>0</v>
      </c>
      <c r="BM91" s="273">
        <v>0</v>
      </c>
      <c r="BN91" s="24" t="s">
        <v>246</v>
      </c>
      <c r="BO91" s="24" t="s">
        <v>246</v>
      </c>
      <c r="BP91" s="24" t="s">
        <v>246</v>
      </c>
      <c r="BQ91" s="24" t="s">
        <v>246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246</v>
      </c>
      <c r="CD91" s="24" t="s">
        <v>246</v>
      </c>
      <c r="CE91" s="25">
        <f t="shared" si="15"/>
        <v>17127</v>
      </c>
      <c r="CF91" s="25">
        <f>AY59-CE91</f>
        <v>0</v>
      </c>
    </row>
    <row r="92" spans="1:84" x14ac:dyDescent="0.25">
      <c r="A92" s="21" t="s">
        <v>290</v>
      </c>
      <c r="B92" s="16"/>
      <c r="C92" s="273">
        <v>0</v>
      </c>
      <c r="D92" s="273">
        <v>0</v>
      </c>
      <c r="E92" s="273">
        <v>148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9768</v>
      </c>
      <c r="M92" s="273">
        <v>0</v>
      </c>
      <c r="N92" s="273">
        <v>0</v>
      </c>
      <c r="O92" s="273">
        <v>0</v>
      </c>
      <c r="P92" s="273">
        <v>0</v>
      </c>
      <c r="Q92" s="273">
        <v>0</v>
      </c>
      <c r="R92" s="273">
        <v>0</v>
      </c>
      <c r="S92" s="273">
        <v>287</v>
      </c>
      <c r="T92" s="273">
        <v>0</v>
      </c>
      <c r="U92" s="273">
        <v>589</v>
      </c>
      <c r="V92" s="273">
        <v>14</v>
      </c>
      <c r="W92" s="273">
        <v>0</v>
      </c>
      <c r="X92" s="273">
        <v>0</v>
      </c>
      <c r="Y92" s="273">
        <v>144</v>
      </c>
      <c r="Z92" s="273">
        <v>0</v>
      </c>
      <c r="AA92" s="273">
        <v>0</v>
      </c>
      <c r="AB92" s="273">
        <v>57</v>
      </c>
      <c r="AC92" s="273">
        <v>0</v>
      </c>
      <c r="AD92" s="273">
        <v>0</v>
      </c>
      <c r="AE92" s="273">
        <v>501</v>
      </c>
      <c r="AF92" s="273">
        <v>0</v>
      </c>
      <c r="AG92" s="273">
        <v>631</v>
      </c>
      <c r="AH92" s="273">
        <v>0</v>
      </c>
      <c r="AI92" s="273">
        <v>0</v>
      </c>
      <c r="AJ92" s="273">
        <v>1036</v>
      </c>
      <c r="AK92" s="273">
        <v>0</v>
      </c>
      <c r="AL92" s="273">
        <v>0</v>
      </c>
      <c r="AM92" s="273">
        <v>0</v>
      </c>
      <c r="AN92" s="273">
        <v>0</v>
      </c>
      <c r="AO92" s="273">
        <v>39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246</v>
      </c>
      <c r="AY92" s="264" t="s">
        <v>246</v>
      </c>
      <c r="AZ92" s="24" t="s">
        <v>246</v>
      </c>
      <c r="BA92" s="273">
        <v>743</v>
      </c>
      <c r="BB92" s="273">
        <v>0</v>
      </c>
      <c r="BC92" s="273">
        <v>0</v>
      </c>
      <c r="BD92" s="24" t="s">
        <v>246</v>
      </c>
      <c r="BE92" s="273">
        <v>1473</v>
      </c>
      <c r="BF92" s="273">
        <v>209</v>
      </c>
      <c r="BG92" s="24" t="s">
        <v>246</v>
      </c>
      <c r="BH92" s="273">
        <v>0</v>
      </c>
      <c r="BI92" s="273">
        <v>0</v>
      </c>
      <c r="BJ92" s="24" t="s">
        <v>246</v>
      </c>
      <c r="BK92" s="273">
        <v>0</v>
      </c>
      <c r="BL92" s="273">
        <v>0</v>
      </c>
      <c r="BM92" s="273">
        <v>0</v>
      </c>
      <c r="BN92" s="273">
        <v>3595</v>
      </c>
      <c r="BO92" s="24" t="s">
        <v>246</v>
      </c>
      <c r="BP92" s="24" t="s">
        <v>246</v>
      </c>
      <c r="BQ92" s="24" t="s">
        <v>246</v>
      </c>
      <c r="BR92" s="24" t="s">
        <v>246</v>
      </c>
      <c r="BS92" s="273">
        <v>0</v>
      </c>
      <c r="BT92" s="273">
        <v>0</v>
      </c>
      <c r="BU92" s="273">
        <v>0</v>
      </c>
      <c r="BV92" s="273">
        <v>356</v>
      </c>
      <c r="BW92" s="273">
        <v>0</v>
      </c>
      <c r="BX92" s="273">
        <v>0</v>
      </c>
      <c r="BY92" s="273">
        <v>197</v>
      </c>
      <c r="BZ92" s="273">
        <v>0</v>
      </c>
      <c r="CA92" s="273">
        <v>0</v>
      </c>
      <c r="CB92" s="273">
        <v>0</v>
      </c>
      <c r="CC92" s="24" t="s">
        <v>246</v>
      </c>
      <c r="CD92" s="24" t="s">
        <v>246</v>
      </c>
      <c r="CE92" s="25">
        <f t="shared" si="15"/>
        <v>19787</v>
      </c>
      <c r="CF92" s="16"/>
    </row>
    <row r="93" spans="1:84" x14ac:dyDescent="0.25">
      <c r="A93" s="21" t="s">
        <v>291</v>
      </c>
      <c r="B93" s="16"/>
      <c r="C93" s="273">
        <v>0</v>
      </c>
      <c r="D93" s="273">
        <v>0</v>
      </c>
      <c r="E93" s="273">
        <v>87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5735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23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246</v>
      </c>
      <c r="AY93" s="264" t="s">
        <v>246</v>
      </c>
      <c r="AZ93" s="24" t="s">
        <v>246</v>
      </c>
      <c r="BA93" s="24" t="s">
        <v>246</v>
      </c>
      <c r="BB93" s="273">
        <v>0</v>
      </c>
      <c r="BC93" s="273">
        <v>0</v>
      </c>
      <c r="BD93" s="24" t="s">
        <v>246</v>
      </c>
      <c r="BE93" s="24" t="s">
        <v>246</v>
      </c>
      <c r="BF93" s="24" t="s">
        <v>246</v>
      </c>
      <c r="BG93" s="24" t="s">
        <v>246</v>
      </c>
      <c r="BH93" s="273">
        <v>0</v>
      </c>
      <c r="BI93" s="273">
        <v>0</v>
      </c>
      <c r="BJ93" s="24" t="s">
        <v>246</v>
      </c>
      <c r="BK93" s="273">
        <v>0</v>
      </c>
      <c r="BL93" s="273">
        <v>0</v>
      </c>
      <c r="BM93" s="273">
        <v>0</v>
      </c>
      <c r="BN93" s="24" t="s">
        <v>246</v>
      </c>
      <c r="BO93" s="24" t="s">
        <v>246</v>
      </c>
      <c r="BP93" s="24" t="s">
        <v>246</v>
      </c>
      <c r="BQ93" s="24" t="s">
        <v>246</v>
      </c>
      <c r="BR93" s="24" t="s">
        <v>246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246</v>
      </c>
      <c r="CD93" s="24" t="s">
        <v>246</v>
      </c>
      <c r="CE93" s="25">
        <f t="shared" si="15"/>
        <v>5845</v>
      </c>
      <c r="CF93" s="25">
        <f>BA59</f>
        <v>0</v>
      </c>
    </row>
    <row r="94" spans="1:84" x14ac:dyDescent="0.25">
      <c r="A94" s="21" t="s">
        <v>292</v>
      </c>
      <c r="B94" s="16"/>
      <c r="C94" s="277">
        <v>0</v>
      </c>
      <c r="D94" s="277">
        <v>0</v>
      </c>
      <c r="E94" s="277">
        <v>0.4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26.57</v>
      </c>
      <c r="M94" s="277">
        <v>0</v>
      </c>
      <c r="N94" s="277">
        <v>0</v>
      </c>
      <c r="O94" s="277">
        <v>0</v>
      </c>
      <c r="P94" s="274">
        <v>0</v>
      </c>
      <c r="Q94" s="274">
        <v>0</v>
      </c>
      <c r="R94" s="274">
        <v>0</v>
      </c>
      <c r="S94" s="278">
        <v>0</v>
      </c>
      <c r="T94" s="278">
        <v>0</v>
      </c>
      <c r="U94" s="279">
        <v>0</v>
      </c>
      <c r="V94" s="274">
        <v>0</v>
      </c>
      <c r="W94" s="274">
        <v>0</v>
      </c>
      <c r="X94" s="274">
        <v>0</v>
      </c>
      <c r="Y94" s="274">
        <v>0</v>
      </c>
      <c r="Z94" s="274">
        <v>0</v>
      </c>
      <c r="AA94" s="274">
        <v>0</v>
      </c>
      <c r="AB94" s="278">
        <v>0</v>
      </c>
      <c r="AC94" s="274">
        <v>0</v>
      </c>
      <c r="AD94" s="274">
        <v>0</v>
      </c>
      <c r="AE94" s="274">
        <v>0</v>
      </c>
      <c r="AF94" s="274">
        <v>0</v>
      </c>
      <c r="AG94" s="274">
        <v>0</v>
      </c>
      <c r="AH94" s="274">
        <v>0</v>
      </c>
      <c r="AI94" s="274">
        <v>0</v>
      </c>
      <c r="AJ94" s="274">
        <v>1.95</v>
      </c>
      <c r="AK94" s="274">
        <v>0</v>
      </c>
      <c r="AL94" s="274">
        <v>0</v>
      </c>
      <c r="AM94" s="274">
        <v>0</v>
      </c>
      <c r="AN94" s="274">
        <v>0</v>
      </c>
      <c r="AO94" s="274">
        <v>0.11</v>
      </c>
      <c r="AP94" s="274">
        <v>0</v>
      </c>
      <c r="AQ94" s="274">
        <v>0</v>
      </c>
      <c r="AR94" s="274">
        <v>0</v>
      </c>
      <c r="AS94" s="274">
        <v>0</v>
      </c>
      <c r="AT94" s="274">
        <v>0</v>
      </c>
      <c r="AU94" s="274">
        <v>0</v>
      </c>
      <c r="AV94" s="278">
        <v>0</v>
      </c>
      <c r="AW94" s="264" t="s">
        <v>246</v>
      </c>
      <c r="AX94" s="264" t="s">
        <v>246</v>
      </c>
      <c r="AY94" s="264" t="s">
        <v>246</v>
      </c>
      <c r="AZ94" s="24" t="s">
        <v>246</v>
      </c>
      <c r="BA94" s="24" t="s">
        <v>246</v>
      </c>
      <c r="BB94" s="24" t="s">
        <v>246</v>
      </c>
      <c r="BC94" s="24" t="s">
        <v>246</v>
      </c>
      <c r="BD94" s="24" t="s">
        <v>246</v>
      </c>
      <c r="BE94" s="24" t="s">
        <v>246</v>
      </c>
      <c r="BF94" s="24" t="s">
        <v>246</v>
      </c>
      <c r="BG94" s="24" t="s">
        <v>246</v>
      </c>
      <c r="BH94" s="24" t="s">
        <v>246</v>
      </c>
      <c r="BI94" s="24" t="s">
        <v>246</v>
      </c>
      <c r="BJ94" s="24" t="s">
        <v>246</v>
      </c>
      <c r="BK94" s="24" t="s">
        <v>246</v>
      </c>
      <c r="BL94" s="24" t="s">
        <v>246</v>
      </c>
      <c r="BM94" s="24" t="s">
        <v>246</v>
      </c>
      <c r="BN94" s="24" t="s">
        <v>246</v>
      </c>
      <c r="BO94" s="24" t="s">
        <v>246</v>
      </c>
      <c r="BP94" s="24" t="s">
        <v>246</v>
      </c>
      <c r="BQ94" s="24" t="s">
        <v>246</v>
      </c>
      <c r="BR94" s="24" t="s">
        <v>246</v>
      </c>
      <c r="BS94" s="24" t="s">
        <v>246</v>
      </c>
      <c r="BT94" s="24" t="s">
        <v>246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246</v>
      </c>
      <c r="CD94" s="24" t="s">
        <v>246</v>
      </c>
      <c r="CE94" s="226">
        <f t="shared" si="15"/>
        <v>29.029999999999998</v>
      </c>
      <c r="CF94" s="29"/>
    </row>
    <row r="95" spans="1:84" x14ac:dyDescent="0.25">
      <c r="A95" s="30" t="s">
        <v>293</v>
      </c>
      <c r="B95" s="30"/>
      <c r="C95" s="30"/>
      <c r="D95" s="30"/>
      <c r="E95" s="30"/>
    </row>
    <row r="96" spans="1:84" x14ac:dyDescent="0.25">
      <c r="A96" s="31" t="s">
        <v>294</v>
      </c>
      <c r="B96" s="32"/>
      <c r="C96" s="283" t="s">
        <v>1352</v>
      </c>
      <c r="D96" s="284" t="s">
        <v>3</v>
      </c>
      <c r="E96" s="285" t="s">
        <v>3</v>
      </c>
      <c r="F96" s="12"/>
    </row>
    <row r="97" spans="1:6" x14ac:dyDescent="0.25">
      <c r="A97" s="25" t="s">
        <v>295</v>
      </c>
      <c r="B97" s="32" t="s">
        <v>296</v>
      </c>
      <c r="C97" s="286" t="s">
        <v>1353</v>
      </c>
      <c r="D97" s="284" t="s">
        <v>3</v>
      </c>
      <c r="E97" s="285" t="s">
        <v>3</v>
      </c>
      <c r="F97" s="12"/>
    </row>
    <row r="98" spans="1:6" x14ac:dyDescent="0.25">
      <c r="A98" s="25" t="s">
        <v>297</v>
      </c>
      <c r="B98" s="32" t="s">
        <v>296</v>
      </c>
      <c r="C98" s="287" t="s">
        <v>1354</v>
      </c>
      <c r="D98" s="284" t="s">
        <v>3</v>
      </c>
      <c r="E98" s="285" t="s">
        <v>3</v>
      </c>
      <c r="F98" s="12"/>
    </row>
    <row r="99" spans="1:6" x14ac:dyDescent="0.25">
      <c r="A99" s="25" t="s">
        <v>298</v>
      </c>
      <c r="B99" s="32" t="s">
        <v>296</v>
      </c>
      <c r="C99" s="321" t="s">
        <v>1355</v>
      </c>
      <c r="D99" s="284" t="s">
        <v>3</v>
      </c>
      <c r="E99" s="285" t="s">
        <v>3</v>
      </c>
      <c r="F99" s="12"/>
    </row>
    <row r="100" spans="1:6" x14ac:dyDescent="0.25">
      <c r="A100" s="25" t="s">
        <v>299</v>
      </c>
      <c r="B100" s="32" t="s">
        <v>296</v>
      </c>
      <c r="C100" s="322" t="s">
        <v>1356</v>
      </c>
      <c r="D100" s="284" t="s">
        <v>3</v>
      </c>
      <c r="E100" s="285" t="s">
        <v>3</v>
      </c>
      <c r="F100" s="12"/>
    </row>
    <row r="101" spans="1:6" x14ac:dyDescent="0.25">
      <c r="A101" s="25" t="s">
        <v>300</v>
      </c>
      <c r="B101" s="32" t="s">
        <v>296</v>
      </c>
      <c r="C101" s="287" t="s">
        <v>1357</v>
      </c>
      <c r="D101" s="284" t="s">
        <v>3</v>
      </c>
      <c r="E101" s="285" t="s">
        <v>3</v>
      </c>
      <c r="F101" s="12"/>
    </row>
    <row r="102" spans="1:6" x14ac:dyDescent="0.25">
      <c r="A102" s="25" t="s">
        <v>301</v>
      </c>
      <c r="B102" s="32" t="s">
        <v>296</v>
      </c>
      <c r="C102" s="289">
        <v>99347</v>
      </c>
      <c r="D102" s="284" t="s">
        <v>3</v>
      </c>
      <c r="E102" s="285" t="s">
        <v>3</v>
      </c>
      <c r="F102" s="12"/>
    </row>
    <row r="103" spans="1:6" x14ac:dyDescent="0.25">
      <c r="A103" s="25" t="s">
        <v>302</v>
      </c>
      <c r="B103" s="32" t="s">
        <v>296</v>
      </c>
      <c r="C103" s="322" t="s">
        <v>1358</v>
      </c>
      <c r="D103" s="284" t="s">
        <v>3</v>
      </c>
      <c r="E103" s="285" t="s">
        <v>3</v>
      </c>
      <c r="F103" s="12"/>
    </row>
    <row r="104" spans="1:6" x14ac:dyDescent="0.25">
      <c r="A104" s="25" t="s">
        <v>303</v>
      </c>
      <c r="B104" s="32" t="s">
        <v>296</v>
      </c>
      <c r="C104" s="322" t="s">
        <v>1359</v>
      </c>
      <c r="D104" s="284" t="s">
        <v>3</v>
      </c>
      <c r="E104" s="285" t="s">
        <v>3</v>
      </c>
      <c r="F104" s="12"/>
    </row>
    <row r="105" spans="1:6" x14ac:dyDescent="0.25">
      <c r="A105" s="25" t="s">
        <v>304</v>
      </c>
      <c r="B105" s="32" t="s">
        <v>296</v>
      </c>
      <c r="C105" s="322" t="s">
        <v>1360</v>
      </c>
      <c r="D105" s="284" t="s">
        <v>3</v>
      </c>
      <c r="E105" s="285" t="s">
        <v>3</v>
      </c>
      <c r="F105" s="12"/>
    </row>
    <row r="106" spans="1:6" x14ac:dyDescent="0.25">
      <c r="A106" s="25" t="s">
        <v>305</v>
      </c>
      <c r="B106" s="32" t="s">
        <v>296</v>
      </c>
      <c r="C106" s="322" t="s">
        <v>1361</v>
      </c>
      <c r="D106" s="284" t="s">
        <v>3</v>
      </c>
      <c r="E106" s="285" t="s">
        <v>3</v>
      </c>
      <c r="F106" s="12"/>
    </row>
    <row r="107" spans="1:6" x14ac:dyDescent="0.25">
      <c r="A107" s="25" t="s">
        <v>306</v>
      </c>
      <c r="B107" s="32" t="s">
        <v>296</v>
      </c>
      <c r="C107" s="323" t="s">
        <v>1362</v>
      </c>
      <c r="D107" s="284" t="s">
        <v>3</v>
      </c>
      <c r="E107" s="285" t="s">
        <v>3</v>
      </c>
      <c r="F107" s="12"/>
    </row>
    <row r="108" spans="1:6" x14ac:dyDescent="0.25">
      <c r="A108" s="25" t="s">
        <v>307</v>
      </c>
      <c r="B108" s="32" t="s">
        <v>296</v>
      </c>
      <c r="C108" s="291"/>
      <c r="D108" s="284" t="s">
        <v>3</v>
      </c>
      <c r="E108" s="285" t="s">
        <v>3</v>
      </c>
      <c r="F108" s="12"/>
    </row>
    <row r="109" spans="1:6" x14ac:dyDescent="0.25">
      <c r="A109" s="33" t="s">
        <v>308</v>
      </c>
      <c r="B109" s="32" t="s">
        <v>296</v>
      </c>
      <c r="C109" s="287" t="s">
        <v>1366</v>
      </c>
      <c r="D109" s="284" t="s">
        <v>3</v>
      </c>
      <c r="E109" s="285" t="s">
        <v>3</v>
      </c>
      <c r="F109" s="12"/>
    </row>
    <row r="110" spans="1:6" x14ac:dyDescent="0.25">
      <c r="A110" s="33" t="s">
        <v>309</v>
      </c>
      <c r="B110" s="32" t="s">
        <v>296</v>
      </c>
      <c r="C110" s="325" t="s">
        <v>1365</v>
      </c>
      <c r="D110" s="284" t="s">
        <v>3</v>
      </c>
      <c r="E110" s="285" t="s">
        <v>3</v>
      </c>
      <c r="F110" s="12"/>
    </row>
    <row r="111" spans="1:6" x14ac:dyDescent="0.25">
      <c r="A111" s="30" t="s">
        <v>310</v>
      </c>
      <c r="B111" s="30"/>
      <c r="C111" s="30"/>
      <c r="D111" s="30"/>
      <c r="E111" s="30"/>
    </row>
    <row r="112" spans="1:6" x14ac:dyDescent="0.25">
      <c r="A112" s="34" t="s">
        <v>311</v>
      </c>
      <c r="B112" s="34"/>
      <c r="C112" s="34"/>
      <c r="D112" s="34"/>
      <c r="E112" s="34">
        <v>362</v>
      </c>
    </row>
    <row r="113" spans="1:5" x14ac:dyDescent="0.25">
      <c r="A113" s="16" t="s">
        <v>300</v>
      </c>
      <c r="B113" s="35" t="s">
        <v>296</v>
      </c>
      <c r="C113" s="292">
        <v>0</v>
      </c>
      <c r="D113" s="16"/>
      <c r="E113" s="16"/>
    </row>
    <row r="114" spans="1:5" x14ac:dyDescent="0.25">
      <c r="A114" s="16" t="s">
        <v>302</v>
      </c>
      <c r="B114" s="35" t="s">
        <v>296</v>
      </c>
      <c r="C114" s="292">
        <v>0</v>
      </c>
      <c r="D114" s="16"/>
      <c r="E114" s="16"/>
    </row>
    <row r="115" spans="1:5" x14ac:dyDescent="0.25">
      <c r="A115" s="16" t="s">
        <v>312</v>
      </c>
      <c r="B115" s="35" t="s">
        <v>296</v>
      </c>
      <c r="C115" s="292">
        <v>1</v>
      </c>
      <c r="D115" s="16"/>
      <c r="E115" s="16"/>
    </row>
    <row r="116" spans="1:5" x14ac:dyDescent="0.25">
      <c r="A116" s="34" t="s">
        <v>313</v>
      </c>
      <c r="B116" s="34"/>
      <c r="C116" s="34"/>
      <c r="D116" s="34"/>
      <c r="E116" s="34"/>
    </row>
    <row r="117" spans="1:5" x14ac:dyDescent="0.25">
      <c r="A117" s="16" t="s">
        <v>314</v>
      </c>
      <c r="B117" s="35" t="s">
        <v>296</v>
      </c>
      <c r="C117" s="292">
        <v>0</v>
      </c>
      <c r="D117" s="16"/>
      <c r="E117" s="16"/>
    </row>
    <row r="118" spans="1:5" x14ac:dyDescent="0.25">
      <c r="A118" s="16" t="s">
        <v>157</v>
      </c>
      <c r="B118" s="35" t="s">
        <v>296</v>
      </c>
      <c r="C118" s="293">
        <v>0</v>
      </c>
      <c r="D118" s="16"/>
      <c r="E118" s="16"/>
    </row>
    <row r="119" spans="1:5" x14ac:dyDescent="0.25">
      <c r="A119" s="34" t="s">
        <v>315</v>
      </c>
      <c r="B119" s="34"/>
      <c r="C119" s="34"/>
      <c r="D119" s="34"/>
      <c r="E119" s="34"/>
    </row>
    <row r="120" spans="1:5" x14ac:dyDescent="0.25">
      <c r="A120" s="16" t="s">
        <v>316</v>
      </c>
      <c r="B120" s="35" t="s">
        <v>296</v>
      </c>
      <c r="C120" s="292">
        <v>0</v>
      </c>
      <c r="D120" s="16"/>
      <c r="E120" s="16"/>
    </row>
    <row r="121" spans="1:5" x14ac:dyDescent="0.25">
      <c r="A121" s="16" t="s">
        <v>317</v>
      </c>
      <c r="B121" s="35" t="s">
        <v>296</v>
      </c>
      <c r="C121" s="292">
        <v>0</v>
      </c>
      <c r="D121" s="16"/>
      <c r="E121" s="16"/>
    </row>
    <row r="122" spans="1:5" x14ac:dyDescent="0.25">
      <c r="A122" s="16" t="s">
        <v>318</v>
      </c>
      <c r="B122" s="35" t="s">
        <v>296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319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320</v>
      </c>
      <c r="B126" s="16"/>
      <c r="C126" s="17" t="s">
        <v>321</v>
      </c>
      <c r="D126" s="18" t="s">
        <v>240</v>
      </c>
      <c r="E126" s="16"/>
    </row>
    <row r="127" spans="1:5" x14ac:dyDescent="0.25">
      <c r="A127" s="16" t="s">
        <v>322</v>
      </c>
      <c r="B127" s="35" t="s">
        <v>296</v>
      </c>
      <c r="C127" s="292">
        <v>43</v>
      </c>
      <c r="D127" s="272">
        <v>87</v>
      </c>
      <c r="E127" s="16"/>
    </row>
    <row r="128" spans="1:5" x14ac:dyDescent="0.25">
      <c r="A128" s="16" t="s">
        <v>323</v>
      </c>
      <c r="B128" s="35" t="s">
        <v>296</v>
      </c>
      <c r="C128" s="292">
        <v>334</v>
      </c>
      <c r="D128" s="272">
        <v>5735</v>
      </c>
      <c r="E128" s="16"/>
    </row>
    <row r="129" spans="1:5" x14ac:dyDescent="0.25">
      <c r="A129" s="16" t="s">
        <v>324</v>
      </c>
      <c r="B129" s="35" t="s">
        <v>296</v>
      </c>
      <c r="C129" s="292">
        <v>0</v>
      </c>
      <c r="D129" s="295">
        <v>0</v>
      </c>
      <c r="E129" s="16"/>
    </row>
    <row r="130" spans="1:5" x14ac:dyDescent="0.25">
      <c r="A130" s="16" t="s">
        <v>325</v>
      </c>
      <c r="B130" s="35" t="s">
        <v>296</v>
      </c>
      <c r="C130" s="292">
        <v>0</v>
      </c>
      <c r="D130" s="295">
        <v>0</v>
      </c>
      <c r="E130" s="16"/>
    </row>
    <row r="131" spans="1:5" x14ac:dyDescent="0.25">
      <c r="A131" s="21" t="s">
        <v>326</v>
      </c>
      <c r="B131" s="16"/>
      <c r="C131" s="17" t="s">
        <v>192</v>
      </c>
      <c r="D131" s="16"/>
      <c r="E131" s="16"/>
    </row>
    <row r="132" spans="1:5" x14ac:dyDescent="0.25">
      <c r="A132" s="16" t="s">
        <v>327</v>
      </c>
      <c r="B132" s="35" t="s">
        <v>296</v>
      </c>
      <c r="C132" s="292">
        <v>0</v>
      </c>
      <c r="D132" s="16"/>
      <c r="E132" s="16"/>
    </row>
    <row r="133" spans="1:5" x14ac:dyDescent="0.25">
      <c r="A133" s="16" t="s">
        <v>328</v>
      </c>
      <c r="B133" s="35" t="s">
        <v>296</v>
      </c>
      <c r="C133" s="292">
        <v>0</v>
      </c>
      <c r="D133" s="16"/>
      <c r="E133" s="16"/>
    </row>
    <row r="134" spans="1:5" x14ac:dyDescent="0.25">
      <c r="A134" s="16" t="s">
        <v>329</v>
      </c>
      <c r="B134" s="35" t="s">
        <v>296</v>
      </c>
      <c r="C134" s="294">
        <v>25</v>
      </c>
      <c r="D134" s="16"/>
      <c r="E134" s="16"/>
    </row>
    <row r="135" spans="1:5" x14ac:dyDescent="0.25">
      <c r="A135" s="16" t="s">
        <v>330</v>
      </c>
      <c r="B135" s="35" t="s">
        <v>296</v>
      </c>
      <c r="C135" s="292">
        <v>0</v>
      </c>
      <c r="D135" s="16"/>
      <c r="E135" s="16"/>
    </row>
    <row r="136" spans="1:5" x14ac:dyDescent="0.25">
      <c r="A136" s="16" t="s">
        <v>331</v>
      </c>
      <c r="B136" s="35" t="s">
        <v>296</v>
      </c>
      <c r="C136" s="292">
        <v>0</v>
      </c>
      <c r="D136" s="16"/>
      <c r="E136" s="16"/>
    </row>
    <row r="137" spans="1:5" x14ac:dyDescent="0.25">
      <c r="A137" s="16" t="s">
        <v>332</v>
      </c>
      <c r="B137" s="35" t="s">
        <v>296</v>
      </c>
      <c r="C137" s="292">
        <v>0</v>
      </c>
      <c r="D137" s="16"/>
      <c r="E137" s="16"/>
    </row>
    <row r="138" spans="1:5" x14ac:dyDescent="0.25">
      <c r="A138" s="16" t="s">
        <v>121</v>
      </c>
      <c r="B138" s="35" t="s">
        <v>296</v>
      </c>
      <c r="C138" s="292">
        <v>0</v>
      </c>
      <c r="D138" s="16"/>
      <c r="E138" s="16"/>
    </row>
    <row r="139" spans="1:5" x14ac:dyDescent="0.25">
      <c r="A139" s="16" t="s">
        <v>333</v>
      </c>
      <c r="B139" s="35" t="s">
        <v>296</v>
      </c>
      <c r="C139" s="292">
        <v>0</v>
      </c>
      <c r="D139" s="16"/>
      <c r="E139" s="16"/>
    </row>
    <row r="140" spans="1:5" x14ac:dyDescent="0.25">
      <c r="A140" s="16" t="s">
        <v>334</v>
      </c>
      <c r="B140" s="35"/>
      <c r="C140" s="292">
        <v>0</v>
      </c>
      <c r="D140" s="16"/>
      <c r="E140" s="16"/>
    </row>
    <row r="141" spans="1:5" x14ac:dyDescent="0.25">
      <c r="A141" s="16" t="s">
        <v>324</v>
      </c>
      <c r="B141" s="35" t="s">
        <v>296</v>
      </c>
      <c r="C141" s="292">
        <v>0</v>
      </c>
      <c r="D141" s="16"/>
      <c r="E141" s="16"/>
    </row>
    <row r="142" spans="1:5" x14ac:dyDescent="0.25">
      <c r="A142" s="16" t="s">
        <v>335</v>
      </c>
      <c r="B142" s="35" t="s">
        <v>296</v>
      </c>
      <c r="C142" s="292">
        <v>0</v>
      </c>
      <c r="D142" s="16"/>
      <c r="E142" s="16"/>
    </row>
    <row r="143" spans="1:5" x14ac:dyDescent="0.25">
      <c r="A143" s="16" t="s">
        <v>336</v>
      </c>
      <c r="B143" s="16"/>
      <c r="C143" s="22"/>
      <c r="D143" s="16"/>
      <c r="E143" s="25">
        <f>SUM(C132:C142)</f>
        <v>25</v>
      </c>
    </row>
    <row r="144" spans="1:5" x14ac:dyDescent="0.25">
      <c r="A144" s="16" t="s">
        <v>337</v>
      </c>
      <c r="B144" s="35" t="s">
        <v>296</v>
      </c>
      <c r="C144" s="292">
        <v>0</v>
      </c>
      <c r="D144" s="16"/>
      <c r="E144" s="16"/>
    </row>
    <row r="145" spans="1:6" x14ac:dyDescent="0.25">
      <c r="A145" s="16" t="s">
        <v>338</v>
      </c>
      <c r="B145" s="35" t="s">
        <v>296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339</v>
      </c>
      <c r="B147" s="35" t="s">
        <v>296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340</v>
      </c>
      <c r="B152" s="37"/>
      <c r="C152" s="37"/>
      <c r="D152" s="37"/>
      <c r="E152" s="37"/>
    </row>
    <row r="153" spans="1:6" x14ac:dyDescent="0.25">
      <c r="A153" s="38" t="s">
        <v>341</v>
      </c>
      <c r="B153" s="39" t="s">
        <v>342</v>
      </c>
      <c r="C153" s="40" t="s">
        <v>343</v>
      </c>
      <c r="D153" s="39" t="s">
        <v>157</v>
      </c>
      <c r="E153" s="39" t="s">
        <v>228</v>
      </c>
    </row>
    <row r="154" spans="1:6" x14ac:dyDescent="0.25">
      <c r="A154" s="16" t="s">
        <v>321</v>
      </c>
      <c r="B154" s="295">
        <v>22</v>
      </c>
      <c r="C154" s="295">
        <v>0</v>
      </c>
      <c r="D154" s="295">
        <v>21</v>
      </c>
      <c r="E154" s="25">
        <f>SUM(B154:D154)</f>
        <v>43</v>
      </c>
    </row>
    <row r="155" spans="1:6" x14ac:dyDescent="0.25">
      <c r="A155" s="16" t="s">
        <v>240</v>
      </c>
      <c r="B155" s="272">
        <v>58</v>
      </c>
      <c r="C155" s="272">
        <v>0</v>
      </c>
      <c r="D155" s="272">
        <v>29</v>
      </c>
      <c r="E155" s="25">
        <f>SUM(B155:D155)</f>
        <v>87</v>
      </c>
    </row>
    <row r="156" spans="1:6" x14ac:dyDescent="0.25">
      <c r="A156" s="16" t="s">
        <v>344</v>
      </c>
      <c r="B156" s="272">
        <v>0</v>
      </c>
      <c r="C156" s="272">
        <v>0</v>
      </c>
      <c r="D156" s="272">
        <v>0</v>
      </c>
      <c r="E156" s="25">
        <f>SUM(B156:D156)</f>
        <v>0</v>
      </c>
    </row>
    <row r="157" spans="1:6" x14ac:dyDescent="0.25">
      <c r="A157" s="16" t="s">
        <v>285</v>
      </c>
      <c r="B157" s="295">
        <v>115127.97</v>
      </c>
      <c r="C157" s="295">
        <v>2102</v>
      </c>
      <c r="D157" s="295">
        <v>132923.07999999999</v>
      </c>
      <c r="E157" s="25">
        <f>SUM(B157:D157)</f>
        <v>250153.05</v>
      </c>
      <c r="F157" s="14"/>
    </row>
    <row r="158" spans="1:6" x14ac:dyDescent="0.25">
      <c r="A158" s="16" t="s">
        <v>286</v>
      </c>
      <c r="B158" s="295">
        <v>2311443.21</v>
      </c>
      <c r="C158" s="295">
        <v>19130</v>
      </c>
      <c r="D158" s="295">
        <v>3138456.48</v>
      </c>
      <c r="E158" s="25">
        <f>SUM(B158:D158)</f>
        <v>5469029.6899999995</v>
      </c>
      <c r="F158" s="14"/>
    </row>
    <row r="159" spans="1:6" x14ac:dyDescent="0.25">
      <c r="A159" s="38" t="s">
        <v>345</v>
      </c>
      <c r="B159" s="39" t="s">
        <v>342</v>
      </c>
      <c r="C159" s="40" t="s">
        <v>343</v>
      </c>
      <c r="D159" s="39" t="s">
        <v>157</v>
      </c>
      <c r="E159" s="39" t="s">
        <v>228</v>
      </c>
    </row>
    <row r="160" spans="1:6" x14ac:dyDescent="0.25">
      <c r="A160" s="16" t="s">
        <v>321</v>
      </c>
      <c r="B160" s="295">
        <v>57</v>
      </c>
      <c r="C160" s="295">
        <v>124</v>
      </c>
      <c r="D160" s="295">
        <v>153</v>
      </c>
      <c r="E160" s="25">
        <f>SUM(B160:D160)</f>
        <v>334</v>
      </c>
    </row>
    <row r="161" spans="1:5" x14ac:dyDescent="0.25">
      <c r="A161" s="16" t="s">
        <v>240</v>
      </c>
      <c r="B161" s="272">
        <v>456</v>
      </c>
      <c r="C161" s="272">
        <v>2634</v>
      </c>
      <c r="D161" s="272">
        <v>2645</v>
      </c>
      <c r="E161" s="25">
        <f>SUM(B161:D161)</f>
        <v>5735</v>
      </c>
    </row>
    <row r="162" spans="1:5" x14ac:dyDescent="0.25">
      <c r="A162" s="16" t="s">
        <v>344</v>
      </c>
      <c r="B162" s="295">
        <v>0</v>
      </c>
      <c r="C162" s="295">
        <v>0</v>
      </c>
      <c r="D162" s="295">
        <v>0</v>
      </c>
      <c r="E162" s="25">
        <f>SUM(B162:D162)</f>
        <v>0</v>
      </c>
    </row>
    <row r="163" spans="1:5" x14ac:dyDescent="0.25">
      <c r="A163" s="16" t="s">
        <v>285</v>
      </c>
      <c r="B163" s="295">
        <v>516719.49</v>
      </c>
      <c r="C163" s="295">
        <v>633835</v>
      </c>
      <c r="D163" s="295">
        <v>855245.8</v>
      </c>
      <c r="E163" s="25">
        <f>SUM(B163:D163)</f>
        <v>2005800.29</v>
      </c>
    </row>
    <row r="164" spans="1:5" x14ac:dyDescent="0.25">
      <c r="A164" s="16" t="s">
        <v>286</v>
      </c>
      <c r="B164" s="295">
        <v>0</v>
      </c>
      <c r="C164" s="295">
        <v>0</v>
      </c>
      <c r="D164" s="295">
        <v>0</v>
      </c>
      <c r="E164" s="25">
        <f>SUM(B164:D164)</f>
        <v>0</v>
      </c>
    </row>
    <row r="165" spans="1:5" x14ac:dyDescent="0.25">
      <c r="A165" s="38" t="s">
        <v>346</v>
      </c>
      <c r="B165" s="39" t="s">
        <v>342</v>
      </c>
      <c r="C165" s="40" t="s">
        <v>343</v>
      </c>
      <c r="D165" s="39" t="s">
        <v>157</v>
      </c>
      <c r="E165" s="39" t="s">
        <v>228</v>
      </c>
    </row>
    <row r="166" spans="1:5" x14ac:dyDescent="0.25">
      <c r="A166" s="16" t="s">
        <v>321</v>
      </c>
      <c r="B166" s="295">
        <v>0</v>
      </c>
      <c r="C166" s="295">
        <v>0</v>
      </c>
      <c r="D166" s="295">
        <v>0</v>
      </c>
      <c r="E166" s="25">
        <f>SUM(B166:D166)</f>
        <v>0</v>
      </c>
    </row>
    <row r="167" spans="1:5" x14ac:dyDescent="0.25">
      <c r="A167" s="16" t="s">
        <v>240</v>
      </c>
      <c r="B167" s="295">
        <v>0</v>
      </c>
      <c r="C167" s="295">
        <v>0</v>
      </c>
      <c r="D167" s="295">
        <v>0</v>
      </c>
      <c r="E167" s="25">
        <f>SUM(B167:D167)</f>
        <v>0</v>
      </c>
    </row>
    <row r="168" spans="1:5" x14ac:dyDescent="0.25">
      <c r="A168" s="16" t="s">
        <v>344</v>
      </c>
      <c r="B168" s="295">
        <v>0</v>
      </c>
      <c r="C168" s="295">
        <v>0</v>
      </c>
      <c r="D168" s="295">
        <v>0</v>
      </c>
      <c r="E168" s="25">
        <f>SUM(B168:D168)</f>
        <v>0</v>
      </c>
    </row>
    <row r="169" spans="1:5" x14ac:dyDescent="0.25">
      <c r="A169" s="16" t="s">
        <v>285</v>
      </c>
      <c r="B169" s="295">
        <v>0</v>
      </c>
      <c r="C169" s="295">
        <v>0</v>
      </c>
      <c r="D169" s="295">
        <v>0</v>
      </c>
      <c r="E169" s="25">
        <f>SUM(B169:D169)</f>
        <v>0</v>
      </c>
    </row>
    <row r="170" spans="1:5" x14ac:dyDescent="0.25">
      <c r="A170" s="16" t="s">
        <v>286</v>
      </c>
      <c r="B170" s="295">
        <v>0</v>
      </c>
      <c r="C170" s="295">
        <v>0</v>
      </c>
      <c r="D170" s="295">
        <v>0</v>
      </c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347</v>
      </c>
      <c r="B172" s="39" t="s">
        <v>348</v>
      </c>
      <c r="C172" s="40" t="s">
        <v>349</v>
      </c>
      <c r="D172" s="16"/>
      <c r="E172" s="16"/>
    </row>
    <row r="173" spans="1:5" x14ac:dyDescent="0.25">
      <c r="A173" s="20" t="s">
        <v>350</v>
      </c>
      <c r="B173" s="295">
        <v>958953.81</v>
      </c>
      <c r="C173" s="295">
        <v>343719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351</v>
      </c>
      <c r="B179" s="30"/>
      <c r="C179" s="30"/>
      <c r="D179" s="30"/>
      <c r="E179" s="30"/>
    </row>
    <row r="180" spans="1:5" x14ac:dyDescent="0.25">
      <c r="A180" s="34" t="s">
        <v>352</v>
      </c>
      <c r="B180" s="34"/>
      <c r="C180" s="34"/>
      <c r="D180" s="34"/>
      <c r="E180" s="34"/>
    </row>
    <row r="181" spans="1:5" x14ac:dyDescent="0.25">
      <c r="A181" s="16" t="s">
        <v>353</v>
      </c>
      <c r="B181" s="35" t="s">
        <v>296</v>
      </c>
      <c r="C181" s="292">
        <v>400279</v>
      </c>
      <c r="D181" s="16"/>
      <c r="E181" s="16"/>
    </row>
    <row r="182" spans="1:5" x14ac:dyDescent="0.25">
      <c r="A182" s="16" t="s">
        <v>354</v>
      </c>
      <c r="B182" s="35" t="s">
        <v>296</v>
      </c>
      <c r="C182" s="292">
        <v>18636</v>
      </c>
      <c r="D182" s="16"/>
      <c r="E182" s="16"/>
    </row>
    <row r="183" spans="1:5" x14ac:dyDescent="0.25">
      <c r="A183" s="20" t="s">
        <v>355</v>
      </c>
      <c r="B183" s="35" t="s">
        <v>296</v>
      </c>
      <c r="C183" s="292">
        <v>88296</v>
      </c>
      <c r="D183" s="16"/>
      <c r="E183" s="16"/>
    </row>
    <row r="184" spans="1:5" x14ac:dyDescent="0.25">
      <c r="A184" s="16" t="s">
        <v>356</v>
      </c>
      <c r="B184" s="35" t="s">
        <v>296</v>
      </c>
      <c r="C184" s="292">
        <v>789998</v>
      </c>
      <c r="D184" s="16"/>
      <c r="E184" s="16"/>
    </row>
    <row r="185" spans="1:5" x14ac:dyDescent="0.25">
      <c r="A185" s="16" t="s">
        <v>357</v>
      </c>
      <c r="B185" s="35" t="s">
        <v>296</v>
      </c>
      <c r="C185" s="292">
        <v>10860</v>
      </c>
      <c r="D185" s="16"/>
      <c r="E185" s="16"/>
    </row>
    <row r="186" spans="1:5" x14ac:dyDescent="0.25">
      <c r="A186" s="16" t="s">
        <v>358</v>
      </c>
      <c r="B186" s="35" t="s">
        <v>296</v>
      </c>
      <c r="C186" s="292">
        <v>58203</v>
      </c>
      <c r="D186" s="16"/>
      <c r="E186" s="16"/>
    </row>
    <row r="187" spans="1:5" x14ac:dyDescent="0.25">
      <c r="A187" s="16" t="s">
        <v>1363</v>
      </c>
      <c r="B187" s="35" t="s">
        <v>296</v>
      </c>
      <c r="C187" s="292">
        <v>-714680</v>
      </c>
      <c r="D187" s="16"/>
      <c r="E187" s="16"/>
    </row>
    <row r="188" spans="1:5" x14ac:dyDescent="0.25">
      <c r="A188" s="16" t="s">
        <v>359</v>
      </c>
      <c r="B188" s="35" t="s">
        <v>296</v>
      </c>
      <c r="C188" s="292">
        <v>22553</v>
      </c>
      <c r="D188" s="16"/>
      <c r="E188" s="16"/>
    </row>
    <row r="189" spans="1:5" x14ac:dyDescent="0.25">
      <c r="A189" s="16" t="s">
        <v>228</v>
      </c>
      <c r="B189" s="16"/>
      <c r="C189" s="22"/>
      <c r="D189" s="25">
        <f>SUM(C181:C188)</f>
        <v>674145</v>
      </c>
      <c r="E189" s="16"/>
    </row>
    <row r="190" spans="1:5" x14ac:dyDescent="0.25">
      <c r="A190" s="34" t="s">
        <v>360</v>
      </c>
      <c r="B190" s="34"/>
      <c r="C190" s="34"/>
      <c r="D190" s="34"/>
      <c r="E190" s="34"/>
    </row>
    <row r="191" spans="1:5" x14ac:dyDescent="0.25">
      <c r="A191" s="16" t="s">
        <v>361</v>
      </c>
      <c r="B191" s="35" t="s">
        <v>296</v>
      </c>
      <c r="C191" s="292">
        <v>0</v>
      </c>
      <c r="D191" s="16"/>
      <c r="E191" s="16"/>
    </row>
    <row r="192" spans="1:5" x14ac:dyDescent="0.25">
      <c r="A192" s="16" t="s">
        <v>362</v>
      </c>
      <c r="B192" s="35" t="s">
        <v>296</v>
      </c>
      <c r="C192" s="292">
        <v>51775</v>
      </c>
      <c r="D192" s="16"/>
      <c r="E192" s="16"/>
    </row>
    <row r="193" spans="1:5" x14ac:dyDescent="0.25">
      <c r="A193" s="16" t="s">
        <v>228</v>
      </c>
      <c r="B193" s="16"/>
      <c r="C193" s="22"/>
      <c r="D193" s="25">
        <f>SUM(C191:C192)</f>
        <v>51775</v>
      </c>
      <c r="E193" s="16"/>
    </row>
    <row r="194" spans="1:5" x14ac:dyDescent="0.25">
      <c r="A194" s="34" t="s">
        <v>363</v>
      </c>
      <c r="B194" s="34"/>
      <c r="C194" s="34"/>
      <c r="D194" s="34"/>
      <c r="E194" s="34"/>
    </row>
    <row r="195" spans="1:5" x14ac:dyDescent="0.25">
      <c r="A195" s="16" t="s">
        <v>364</v>
      </c>
      <c r="B195" s="35" t="s">
        <v>296</v>
      </c>
      <c r="C195" s="292">
        <v>29829</v>
      </c>
      <c r="D195" s="16"/>
      <c r="E195" s="16"/>
    </row>
    <row r="196" spans="1:5" x14ac:dyDescent="0.25">
      <c r="A196" s="16" t="s">
        <v>365</v>
      </c>
      <c r="B196" s="35" t="s">
        <v>296</v>
      </c>
      <c r="C196" s="292">
        <v>125027</v>
      </c>
      <c r="D196" s="16"/>
      <c r="E196" s="16"/>
    </row>
    <row r="197" spans="1:5" x14ac:dyDescent="0.25">
      <c r="A197" s="16" t="s">
        <v>228</v>
      </c>
      <c r="B197" s="16"/>
      <c r="C197" s="22"/>
      <c r="D197" s="25">
        <f>SUM(C195:C196)</f>
        <v>154856</v>
      </c>
      <c r="E197" s="16"/>
    </row>
    <row r="198" spans="1:5" x14ac:dyDescent="0.25">
      <c r="A198" s="34" t="s">
        <v>366</v>
      </c>
      <c r="B198" s="34"/>
      <c r="C198" s="34"/>
      <c r="D198" s="34"/>
      <c r="E198" s="34"/>
    </row>
    <row r="199" spans="1:5" x14ac:dyDescent="0.25">
      <c r="A199" s="16" t="s">
        <v>367</v>
      </c>
      <c r="B199" s="35" t="s">
        <v>296</v>
      </c>
      <c r="C199" s="292">
        <v>18337</v>
      </c>
      <c r="D199" s="16"/>
      <c r="E199" s="16"/>
    </row>
    <row r="200" spans="1:5" x14ac:dyDescent="0.25">
      <c r="A200" s="16" t="s">
        <v>368</v>
      </c>
      <c r="B200" s="35" t="s">
        <v>296</v>
      </c>
      <c r="C200" s="292">
        <v>25478</v>
      </c>
      <c r="D200" s="16"/>
      <c r="E200" s="16"/>
    </row>
    <row r="201" spans="1:5" x14ac:dyDescent="0.25">
      <c r="A201" s="16" t="s">
        <v>157</v>
      </c>
      <c r="B201" s="35" t="s">
        <v>296</v>
      </c>
      <c r="C201" s="292">
        <v>0</v>
      </c>
      <c r="D201" s="16"/>
      <c r="E201" s="16"/>
    </row>
    <row r="202" spans="1:5" x14ac:dyDescent="0.25">
      <c r="A202" s="16" t="s">
        <v>228</v>
      </c>
      <c r="B202" s="16"/>
      <c r="C202" s="22"/>
      <c r="D202" s="25">
        <f>SUM(C199:C201)</f>
        <v>43815</v>
      </c>
      <c r="E202" s="16"/>
    </row>
    <row r="203" spans="1:5" x14ac:dyDescent="0.25">
      <c r="A203" s="34" t="s">
        <v>369</v>
      </c>
      <c r="B203" s="34"/>
      <c r="C203" s="34"/>
      <c r="D203" s="34"/>
      <c r="E203" s="34"/>
    </row>
    <row r="204" spans="1:5" x14ac:dyDescent="0.25">
      <c r="A204" s="16" t="s">
        <v>370</v>
      </c>
      <c r="B204" s="35" t="s">
        <v>296</v>
      </c>
      <c r="C204" s="292">
        <v>0</v>
      </c>
      <c r="D204" s="16"/>
      <c r="E204" s="16"/>
    </row>
    <row r="205" spans="1:5" x14ac:dyDescent="0.25">
      <c r="A205" s="16" t="s">
        <v>371</v>
      </c>
      <c r="B205" s="35" t="s">
        <v>296</v>
      </c>
      <c r="C205" s="292">
        <v>3158</v>
      </c>
      <c r="D205" s="16"/>
      <c r="E205" s="16"/>
    </row>
    <row r="206" spans="1:5" x14ac:dyDescent="0.25">
      <c r="A206" s="16" t="s">
        <v>228</v>
      </c>
      <c r="B206" s="16"/>
      <c r="C206" s="22"/>
      <c r="D206" s="25">
        <f>SUM(C204:C205)</f>
        <v>3158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372</v>
      </c>
      <c r="B208" s="30"/>
      <c r="C208" s="30"/>
      <c r="D208" s="30"/>
      <c r="E208" s="30"/>
    </row>
    <row r="209" spans="1:5" x14ac:dyDescent="0.25">
      <c r="A209" s="37" t="s">
        <v>373</v>
      </c>
      <c r="B209" s="30"/>
      <c r="C209" s="30"/>
      <c r="D209" s="30"/>
      <c r="E209" s="30"/>
    </row>
    <row r="210" spans="1:5" x14ac:dyDescent="0.25">
      <c r="A210" s="21"/>
      <c r="B210" s="18" t="s">
        <v>374</v>
      </c>
      <c r="C210" s="17" t="s">
        <v>375</v>
      </c>
      <c r="D210" s="18" t="s">
        <v>1364</v>
      </c>
      <c r="E210" s="18" t="s">
        <v>377</v>
      </c>
    </row>
    <row r="211" spans="1:5" x14ac:dyDescent="0.25">
      <c r="A211" s="16" t="s">
        <v>378</v>
      </c>
      <c r="B211" s="295">
        <v>83983</v>
      </c>
      <c r="C211" s="292">
        <v>0</v>
      </c>
      <c r="D211" s="295">
        <v>0</v>
      </c>
      <c r="E211" s="25">
        <f t="shared" ref="E211:E216" si="17">SUM(B211:D211)</f>
        <v>83983</v>
      </c>
    </row>
    <row r="212" spans="1:5" x14ac:dyDescent="0.25">
      <c r="A212" s="16" t="s">
        <v>379</v>
      </c>
      <c r="B212" s="295">
        <v>234472</v>
      </c>
      <c r="C212" s="292">
        <v>0</v>
      </c>
      <c r="D212" s="295">
        <v>0</v>
      </c>
      <c r="E212" s="25">
        <f t="shared" si="17"/>
        <v>234472</v>
      </c>
    </row>
    <row r="213" spans="1:5" x14ac:dyDescent="0.25">
      <c r="A213" s="16" t="s">
        <v>380</v>
      </c>
      <c r="B213" s="295">
        <v>1511534</v>
      </c>
      <c r="C213" s="292">
        <v>0</v>
      </c>
      <c r="D213" s="295">
        <v>0</v>
      </c>
      <c r="E213" s="25">
        <f t="shared" si="17"/>
        <v>1511534</v>
      </c>
    </row>
    <row r="214" spans="1:5" x14ac:dyDescent="0.25">
      <c r="A214" s="16" t="s">
        <v>381</v>
      </c>
      <c r="B214" s="295">
        <v>0</v>
      </c>
      <c r="C214" s="292">
        <v>0</v>
      </c>
      <c r="D214" s="295">
        <v>0</v>
      </c>
      <c r="E214" s="25">
        <f t="shared" si="17"/>
        <v>0</v>
      </c>
    </row>
    <row r="215" spans="1:5" x14ac:dyDescent="0.25">
      <c r="A215" s="16" t="s">
        <v>382</v>
      </c>
      <c r="B215" s="295">
        <v>1126319</v>
      </c>
      <c r="C215" s="292">
        <v>0</v>
      </c>
      <c r="D215" s="295">
        <v>-842901</v>
      </c>
      <c r="E215" s="25">
        <f t="shared" si="17"/>
        <v>283418</v>
      </c>
    </row>
    <row r="216" spans="1:5" x14ac:dyDescent="0.25">
      <c r="A216" s="16" t="s">
        <v>383</v>
      </c>
      <c r="B216" s="272">
        <v>3158384</v>
      </c>
      <c r="C216" s="294">
        <v>137069</v>
      </c>
      <c r="D216" s="272">
        <v>-160979</v>
      </c>
      <c r="E216" s="25">
        <f t="shared" si="17"/>
        <v>3134474</v>
      </c>
    </row>
    <row r="217" spans="1:5" x14ac:dyDescent="0.25">
      <c r="A217" s="16" t="s">
        <v>384</v>
      </c>
      <c r="B217" s="295">
        <v>0</v>
      </c>
      <c r="C217" s="292">
        <v>0</v>
      </c>
      <c r="D217" s="295">
        <v>0</v>
      </c>
      <c r="E217" s="25">
        <f>SUM(B217:C217)-D217</f>
        <v>0</v>
      </c>
    </row>
    <row r="218" spans="1:5" x14ac:dyDescent="0.25">
      <c r="A218" s="16" t="s">
        <v>385</v>
      </c>
      <c r="B218" s="295">
        <v>172145</v>
      </c>
      <c r="C218" s="294">
        <v>0</v>
      </c>
      <c r="D218" s="272">
        <v>0</v>
      </c>
      <c r="E218" s="25">
        <f>SUM(B218:D218)</f>
        <v>172145</v>
      </c>
    </row>
    <row r="219" spans="1:5" x14ac:dyDescent="0.25">
      <c r="A219" s="16" t="s">
        <v>386</v>
      </c>
      <c r="B219" s="295">
        <v>304686</v>
      </c>
      <c r="C219" s="292">
        <v>725127</v>
      </c>
      <c r="D219" s="295">
        <v>0</v>
      </c>
      <c r="E219" s="25">
        <f>SUM(B219:D219)</f>
        <v>1029813</v>
      </c>
    </row>
    <row r="220" spans="1:5" x14ac:dyDescent="0.25">
      <c r="A220" s="16" t="s">
        <v>228</v>
      </c>
      <c r="B220" s="25">
        <f>SUM(B211:B219)</f>
        <v>6591523</v>
      </c>
      <c r="C220" s="225">
        <f>SUM(C211:C219)</f>
        <v>862196</v>
      </c>
      <c r="D220" s="25">
        <f>SUM(D211:D219)</f>
        <v>-1003880</v>
      </c>
      <c r="E220" s="25">
        <f>SUM(E211:E219)</f>
        <v>6449839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387</v>
      </c>
      <c r="B222" s="37"/>
      <c r="C222" s="37"/>
      <c r="D222" s="37"/>
      <c r="E222" s="37"/>
    </row>
    <row r="223" spans="1:5" x14ac:dyDescent="0.25">
      <c r="A223" s="21"/>
      <c r="B223" s="18" t="s">
        <v>374</v>
      </c>
      <c r="C223" s="17" t="s">
        <v>375</v>
      </c>
      <c r="D223" s="18" t="s">
        <v>376</v>
      </c>
      <c r="E223" s="18" t="s">
        <v>377</v>
      </c>
    </row>
    <row r="224" spans="1:5" x14ac:dyDescent="0.25">
      <c r="A224" s="16" t="s">
        <v>378</v>
      </c>
      <c r="B224" s="42"/>
      <c r="C224" s="41"/>
      <c r="D224" s="42"/>
      <c r="E224" s="16"/>
    </row>
    <row r="225" spans="1:5" x14ac:dyDescent="0.25">
      <c r="A225" s="16" t="s">
        <v>379</v>
      </c>
      <c r="B225" s="272">
        <v>234472</v>
      </c>
      <c r="C225" s="294">
        <v>0</v>
      </c>
      <c r="D225" s="272">
        <v>0</v>
      </c>
      <c r="E225" s="25">
        <f>SUM(B225:C225)-D225</f>
        <v>234472</v>
      </c>
    </row>
    <row r="226" spans="1:5" x14ac:dyDescent="0.25">
      <c r="A226" s="16" t="s">
        <v>380</v>
      </c>
      <c r="B226" s="272">
        <v>1333434</v>
      </c>
      <c r="C226" s="294">
        <v>26637</v>
      </c>
      <c r="D226" s="272">
        <v>0</v>
      </c>
      <c r="E226" s="25">
        <f t="shared" ref="E226:E232" si="18">SUM(B226:C226)-D226</f>
        <v>1360071</v>
      </c>
    </row>
    <row r="227" spans="1:5" x14ac:dyDescent="0.25">
      <c r="A227" s="16" t="s">
        <v>381</v>
      </c>
      <c r="B227" s="272">
        <v>0</v>
      </c>
      <c r="C227" s="294">
        <v>0</v>
      </c>
      <c r="D227" s="272">
        <v>0</v>
      </c>
      <c r="E227" s="25">
        <f t="shared" si="18"/>
        <v>0</v>
      </c>
    </row>
    <row r="228" spans="1:5" x14ac:dyDescent="0.25">
      <c r="A228" s="16" t="s">
        <v>382</v>
      </c>
      <c r="B228" s="272">
        <v>962943</v>
      </c>
      <c r="C228" s="294">
        <v>27223</v>
      </c>
      <c r="D228" s="272">
        <v>842901</v>
      </c>
      <c r="E228" s="25">
        <f>SUM(B228:C228)-D228</f>
        <v>147265</v>
      </c>
    </row>
    <row r="229" spans="1:5" x14ac:dyDescent="0.25">
      <c r="A229" s="16" t="s">
        <v>383</v>
      </c>
      <c r="B229" s="272">
        <v>2459706</v>
      </c>
      <c r="C229" s="294">
        <v>190839</v>
      </c>
      <c r="D229" s="272">
        <v>160979</v>
      </c>
      <c r="E229" s="25">
        <f t="shared" si="18"/>
        <v>2489566</v>
      </c>
    </row>
    <row r="230" spans="1:5" x14ac:dyDescent="0.25">
      <c r="A230" s="16" t="s">
        <v>384</v>
      </c>
      <c r="B230" s="272">
        <v>0</v>
      </c>
      <c r="C230" s="294">
        <v>0</v>
      </c>
      <c r="D230" s="272">
        <v>0</v>
      </c>
      <c r="E230" s="25">
        <f t="shared" si="18"/>
        <v>0</v>
      </c>
    </row>
    <row r="231" spans="1:5" x14ac:dyDescent="0.25">
      <c r="A231" s="16" t="s">
        <v>385</v>
      </c>
      <c r="B231" s="272">
        <v>62152</v>
      </c>
      <c r="C231" s="294">
        <v>3944</v>
      </c>
      <c r="D231" s="272">
        <v>0</v>
      </c>
      <c r="E231" s="25">
        <f t="shared" si="18"/>
        <v>66096</v>
      </c>
    </row>
    <row r="232" spans="1:5" x14ac:dyDescent="0.25">
      <c r="A232" s="16" t="s">
        <v>386</v>
      </c>
      <c r="B232" s="272">
        <v>0</v>
      </c>
      <c r="C232" s="294">
        <v>0</v>
      </c>
      <c r="D232" s="272">
        <v>0</v>
      </c>
      <c r="E232" s="25">
        <f t="shared" si="18"/>
        <v>0</v>
      </c>
    </row>
    <row r="233" spans="1:5" x14ac:dyDescent="0.25">
      <c r="A233" s="16" t="s">
        <v>228</v>
      </c>
      <c r="B233" s="25">
        <f>SUM(B224:B232)</f>
        <v>5052707</v>
      </c>
      <c r="C233" s="225">
        <f>SUM(C224:C232)</f>
        <v>248643</v>
      </c>
      <c r="D233" s="25">
        <f>SUM(D224:D232)</f>
        <v>1003880</v>
      </c>
      <c r="E233" s="25">
        <f>SUM(E224:E232)</f>
        <v>4297470</v>
      </c>
    </row>
    <row r="234" spans="1:5" x14ac:dyDescent="0.25">
      <c r="A234" s="16"/>
      <c r="B234" s="16"/>
      <c r="C234" s="22"/>
      <c r="D234" s="16"/>
      <c r="E234" s="16"/>
    </row>
    <row r="235" spans="1:5" x14ac:dyDescent="0.25">
      <c r="A235" s="30" t="s">
        <v>388</v>
      </c>
      <c r="B235" s="30"/>
      <c r="C235" s="30"/>
      <c r="D235" s="30"/>
      <c r="E235" s="30"/>
    </row>
    <row r="236" spans="1:5" x14ac:dyDescent="0.25">
      <c r="A236" s="30"/>
      <c r="B236" s="327" t="s">
        <v>389</v>
      </c>
      <c r="C236" s="327"/>
      <c r="D236" s="30"/>
      <c r="E236" s="30"/>
    </row>
    <row r="237" spans="1:5" x14ac:dyDescent="0.25">
      <c r="A237" s="43" t="s">
        <v>389</v>
      </c>
      <c r="B237" s="30"/>
      <c r="C237" s="292">
        <v>268505</v>
      </c>
      <c r="D237" s="32">
        <f>C237</f>
        <v>268505</v>
      </c>
      <c r="E237" s="30"/>
    </row>
    <row r="238" spans="1:5" x14ac:dyDescent="0.25">
      <c r="A238" s="34" t="s">
        <v>390</v>
      </c>
      <c r="B238" s="34"/>
      <c r="C238" s="34"/>
      <c r="D238" s="34"/>
      <c r="E238" s="34"/>
    </row>
    <row r="239" spans="1:5" x14ac:dyDescent="0.25">
      <c r="A239" s="16" t="s">
        <v>391</v>
      </c>
      <c r="B239" s="35" t="s">
        <v>296</v>
      </c>
      <c r="C239" s="292">
        <v>-3994763</v>
      </c>
      <c r="D239" s="16"/>
      <c r="E239" s="16"/>
    </row>
    <row r="240" spans="1:5" x14ac:dyDescent="0.25">
      <c r="A240" s="16" t="s">
        <v>392</v>
      </c>
      <c r="B240" s="35" t="s">
        <v>296</v>
      </c>
      <c r="C240" s="292">
        <v>211959</v>
      </c>
      <c r="D240" s="16"/>
      <c r="E240" s="16"/>
    </row>
    <row r="241" spans="1:5" x14ac:dyDescent="0.25">
      <c r="A241" s="16" t="s">
        <v>393</v>
      </c>
      <c r="B241" s="35" t="s">
        <v>296</v>
      </c>
      <c r="C241" s="292">
        <v>0</v>
      </c>
      <c r="D241" s="16"/>
      <c r="E241" s="16"/>
    </row>
    <row r="242" spans="1:5" x14ac:dyDescent="0.25">
      <c r="A242" s="16" t="s">
        <v>394</v>
      </c>
      <c r="B242" s="35" t="s">
        <v>296</v>
      </c>
      <c r="C242" s="292">
        <v>0</v>
      </c>
      <c r="D242" s="16"/>
      <c r="E242" s="16"/>
    </row>
    <row r="243" spans="1:5" x14ac:dyDescent="0.25">
      <c r="A243" s="16" t="s">
        <v>395</v>
      </c>
      <c r="B243" s="35" t="s">
        <v>296</v>
      </c>
      <c r="C243" s="292">
        <v>0</v>
      </c>
      <c r="D243" s="16"/>
      <c r="E243" s="16"/>
    </row>
    <row r="244" spans="1:5" x14ac:dyDescent="0.25">
      <c r="A244" s="16" t="s">
        <v>396</v>
      </c>
      <c r="B244" s="35" t="s">
        <v>296</v>
      </c>
      <c r="C244" s="292">
        <v>1083472</v>
      </c>
      <c r="D244" s="16"/>
      <c r="E244" s="16"/>
    </row>
    <row r="245" spans="1:5" x14ac:dyDescent="0.25">
      <c r="A245" s="16" t="s">
        <v>397</v>
      </c>
      <c r="B245" s="16"/>
      <c r="C245" s="22"/>
      <c r="D245" s="25">
        <f>SUM(C239:C244)</f>
        <v>-2699332</v>
      </c>
      <c r="E245" s="16"/>
    </row>
    <row r="246" spans="1:5" x14ac:dyDescent="0.25">
      <c r="A246" s="34" t="s">
        <v>398</v>
      </c>
      <c r="B246" s="34"/>
      <c r="C246" s="34"/>
      <c r="D246" s="34"/>
      <c r="E246" s="34"/>
    </row>
    <row r="247" spans="1:5" x14ac:dyDescent="0.25">
      <c r="A247" s="21" t="s">
        <v>399</v>
      </c>
      <c r="B247" s="35" t="s">
        <v>296</v>
      </c>
      <c r="C247" s="292">
        <v>45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400</v>
      </c>
      <c r="B249" s="35" t="s">
        <v>296</v>
      </c>
      <c r="C249" s="292">
        <v>20927</v>
      </c>
      <c r="D249" s="16"/>
      <c r="E249" s="16"/>
    </row>
    <row r="250" spans="1:5" x14ac:dyDescent="0.25">
      <c r="A250" s="21" t="s">
        <v>401</v>
      </c>
      <c r="B250" s="35" t="s">
        <v>296</v>
      </c>
      <c r="C250" s="292">
        <v>50786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402</v>
      </c>
      <c r="B252" s="16"/>
      <c r="C252" s="22"/>
      <c r="D252" s="25">
        <f>SUM(C249:C251)</f>
        <v>71713</v>
      </c>
      <c r="E252" s="16"/>
    </row>
    <row r="253" spans="1:5" x14ac:dyDescent="0.25">
      <c r="A253" s="34" t="s">
        <v>403</v>
      </c>
      <c r="B253" s="34"/>
      <c r="C253" s="34"/>
      <c r="D253" s="34"/>
      <c r="E253" s="34"/>
    </row>
    <row r="254" spans="1:5" x14ac:dyDescent="0.25">
      <c r="A254" s="16" t="s">
        <v>404</v>
      </c>
      <c r="B254" s="35" t="s">
        <v>296</v>
      </c>
      <c r="C254" s="292">
        <v>0</v>
      </c>
      <c r="D254" s="16"/>
      <c r="E254" s="16"/>
    </row>
    <row r="255" spans="1:5" x14ac:dyDescent="0.25">
      <c r="A255" s="16" t="s">
        <v>403</v>
      </c>
      <c r="B255" s="35" t="s">
        <v>296</v>
      </c>
      <c r="C255" s="292">
        <v>0</v>
      </c>
      <c r="D255" s="16"/>
      <c r="E255" s="16"/>
    </row>
    <row r="256" spans="1:5" x14ac:dyDescent="0.25">
      <c r="A256" s="16" t="s">
        <v>405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406</v>
      </c>
      <c r="B258" s="16"/>
      <c r="C258" s="22"/>
      <c r="D258" s="25">
        <f>D237+D245+D252+D256</f>
        <v>-2359114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407</v>
      </c>
      <c r="B264" s="30"/>
      <c r="C264" s="30"/>
      <c r="D264" s="30"/>
      <c r="E264" s="30"/>
    </row>
    <row r="265" spans="1:5" x14ac:dyDescent="0.25">
      <c r="A265" s="34" t="s">
        <v>408</v>
      </c>
      <c r="B265" s="34"/>
      <c r="C265" s="34"/>
      <c r="D265" s="34"/>
      <c r="E265" s="34"/>
    </row>
    <row r="266" spans="1:5" x14ac:dyDescent="0.25">
      <c r="A266" s="16" t="s">
        <v>409</v>
      </c>
      <c r="B266" s="35" t="s">
        <v>296</v>
      </c>
      <c r="C266" s="292">
        <v>3621180</v>
      </c>
      <c r="D266" s="16"/>
      <c r="E266" s="16"/>
    </row>
    <row r="267" spans="1:5" x14ac:dyDescent="0.25">
      <c r="A267" s="16" t="s">
        <v>410</v>
      </c>
      <c r="B267" s="35" t="s">
        <v>296</v>
      </c>
      <c r="C267" s="292">
        <v>0</v>
      </c>
      <c r="D267" s="16"/>
      <c r="E267" s="16"/>
    </row>
    <row r="268" spans="1:5" x14ac:dyDescent="0.25">
      <c r="A268" s="16" t="s">
        <v>411</v>
      </c>
      <c r="B268" s="35" t="s">
        <v>296</v>
      </c>
      <c r="C268" s="292">
        <v>2965923</v>
      </c>
      <c r="D268" s="16"/>
      <c r="E268" s="16"/>
    </row>
    <row r="269" spans="1:5" x14ac:dyDescent="0.25">
      <c r="A269" s="16" t="s">
        <v>412</v>
      </c>
      <c r="B269" s="35" t="s">
        <v>296</v>
      </c>
      <c r="C269" s="292">
        <v>0</v>
      </c>
      <c r="D269" s="16"/>
      <c r="E269" s="16"/>
    </row>
    <row r="270" spans="1:5" x14ac:dyDescent="0.25">
      <c r="A270" s="16" t="s">
        <v>413</v>
      </c>
      <c r="B270" s="35" t="s">
        <v>296</v>
      </c>
      <c r="C270" s="292">
        <v>0</v>
      </c>
      <c r="D270" s="16"/>
      <c r="E270" s="16"/>
    </row>
    <row r="271" spans="1:5" x14ac:dyDescent="0.25">
      <c r="A271" s="16" t="s">
        <v>414</v>
      </c>
      <c r="B271" s="35" t="s">
        <v>296</v>
      </c>
      <c r="C271" s="292">
        <v>389809</v>
      </c>
      <c r="D271" s="16"/>
      <c r="E271" s="16"/>
    </row>
    <row r="272" spans="1:5" x14ac:dyDescent="0.25">
      <c r="A272" s="16" t="s">
        <v>415</v>
      </c>
      <c r="B272" s="35" t="s">
        <v>296</v>
      </c>
      <c r="C272" s="292">
        <v>0</v>
      </c>
      <c r="D272" s="16"/>
      <c r="E272" s="16"/>
    </row>
    <row r="273" spans="1:5" x14ac:dyDescent="0.25">
      <c r="A273" s="16" t="s">
        <v>416</v>
      </c>
      <c r="B273" s="35" t="s">
        <v>296</v>
      </c>
      <c r="C273" s="292">
        <v>108166</v>
      </c>
      <c r="D273" s="16"/>
      <c r="E273" s="16"/>
    </row>
    <row r="274" spans="1:5" x14ac:dyDescent="0.25">
      <c r="A274" s="16" t="s">
        <v>417</v>
      </c>
      <c r="B274" s="35" t="s">
        <v>296</v>
      </c>
      <c r="C274" s="292">
        <v>48413</v>
      </c>
      <c r="D274" s="16"/>
      <c r="E274" s="16"/>
    </row>
    <row r="275" spans="1:5" x14ac:dyDescent="0.25">
      <c r="A275" s="16" t="s">
        <v>418</v>
      </c>
      <c r="B275" s="35" t="s">
        <v>296</v>
      </c>
      <c r="C275" s="292">
        <v>0</v>
      </c>
      <c r="D275" s="16"/>
      <c r="E275" s="16"/>
    </row>
    <row r="276" spans="1:5" x14ac:dyDescent="0.25">
      <c r="A276" s="16" t="s">
        <v>419</v>
      </c>
      <c r="B276" s="16"/>
      <c r="C276" s="22"/>
      <c r="D276" s="25">
        <f>SUM(C266:C268)-C269+SUM(C270:C275)</f>
        <v>7133491</v>
      </c>
      <c r="E276" s="16"/>
    </row>
    <row r="277" spans="1:5" x14ac:dyDescent="0.25">
      <c r="A277" s="34" t="s">
        <v>420</v>
      </c>
      <c r="B277" s="34"/>
      <c r="C277" s="34"/>
      <c r="D277" s="34"/>
      <c r="E277" s="34"/>
    </row>
    <row r="278" spans="1:5" x14ac:dyDescent="0.25">
      <c r="A278" s="16" t="s">
        <v>409</v>
      </c>
      <c r="B278" s="35" t="s">
        <v>296</v>
      </c>
      <c r="C278" s="292">
        <v>0</v>
      </c>
      <c r="D278" s="16"/>
      <c r="E278" s="16"/>
    </row>
    <row r="279" spans="1:5" x14ac:dyDescent="0.25">
      <c r="A279" s="16" t="s">
        <v>410</v>
      </c>
      <c r="B279" s="35" t="s">
        <v>296</v>
      </c>
      <c r="C279" s="292">
        <v>0</v>
      </c>
      <c r="D279" s="16"/>
      <c r="E279" s="16"/>
    </row>
    <row r="280" spans="1:5" x14ac:dyDescent="0.25">
      <c r="A280" s="16" t="s">
        <v>421</v>
      </c>
      <c r="B280" s="35" t="s">
        <v>296</v>
      </c>
      <c r="C280" s="292">
        <v>0</v>
      </c>
      <c r="D280" s="16"/>
      <c r="E280" s="16"/>
    </row>
    <row r="281" spans="1:5" x14ac:dyDescent="0.25">
      <c r="A281" s="16" t="s">
        <v>422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423</v>
      </c>
      <c r="B282" s="34"/>
      <c r="C282" s="34"/>
      <c r="D282" s="34"/>
      <c r="E282" s="34"/>
    </row>
    <row r="283" spans="1:5" x14ac:dyDescent="0.25">
      <c r="A283" s="16" t="s">
        <v>378</v>
      </c>
      <c r="B283" s="35" t="s">
        <v>296</v>
      </c>
      <c r="C283" s="292">
        <v>83983</v>
      </c>
      <c r="D283" s="16"/>
      <c r="E283" s="16"/>
    </row>
    <row r="284" spans="1:5" x14ac:dyDescent="0.25">
      <c r="A284" s="16" t="s">
        <v>379</v>
      </c>
      <c r="B284" s="35" t="s">
        <v>296</v>
      </c>
      <c r="C284" s="292">
        <v>234472</v>
      </c>
      <c r="D284" s="16"/>
      <c r="E284" s="16"/>
    </row>
    <row r="285" spans="1:5" x14ac:dyDescent="0.25">
      <c r="A285" s="16" t="s">
        <v>380</v>
      </c>
      <c r="B285" s="35" t="s">
        <v>296</v>
      </c>
      <c r="C285" s="292">
        <v>1511534</v>
      </c>
      <c r="D285" s="16"/>
      <c r="E285" s="16"/>
    </row>
    <row r="286" spans="1:5" x14ac:dyDescent="0.25">
      <c r="A286" s="16" t="s">
        <v>424</v>
      </c>
      <c r="B286" s="35" t="s">
        <v>296</v>
      </c>
      <c r="C286" s="318">
        <v>0</v>
      </c>
      <c r="D286" s="16"/>
      <c r="E286" s="16"/>
    </row>
    <row r="287" spans="1:5" x14ac:dyDescent="0.25">
      <c r="A287" s="16" t="s">
        <v>425</v>
      </c>
      <c r="B287" s="35" t="s">
        <v>296</v>
      </c>
      <c r="C287" s="292">
        <v>283418</v>
      </c>
      <c r="D287" s="16"/>
      <c r="E287" s="16"/>
    </row>
    <row r="288" spans="1:5" x14ac:dyDescent="0.25">
      <c r="A288" s="16" t="s">
        <v>426</v>
      </c>
      <c r="B288" s="35" t="s">
        <v>296</v>
      </c>
      <c r="C288" s="292">
        <v>3134474</v>
      </c>
      <c r="D288" s="16"/>
      <c r="E288" s="16"/>
    </row>
    <row r="289" spans="1:5" x14ac:dyDescent="0.25">
      <c r="A289" s="16" t="s">
        <v>385</v>
      </c>
      <c r="B289" s="35" t="s">
        <v>296</v>
      </c>
      <c r="C289" s="292">
        <v>172145</v>
      </c>
      <c r="D289" s="16"/>
      <c r="E289" s="16"/>
    </row>
    <row r="290" spans="1:5" x14ac:dyDescent="0.25">
      <c r="A290" s="16" t="s">
        <v>386</v>
      </c>
      <c r="B290" s="35" t="s">
        <v>296</v>
      </c>
      <c r="C290" s="292">
        <v>1029813</v>
      </c>
      <c r="D290" s="16"/>
      <c r="E290" s="16"/>
    </row>
    <row r="291" spans="1:5" x14ac:dyDescent="0.25">
      <c r="A291" s="16" t="s">
        <v>427</v>
      </c>
      <c r="B291" s="16"/>
      <c r="C291" s="22"/>
      <c r="D291" s="25">
        <f>SUM(C283:C290)</f>
        <v>6449839</v>
      </c>
      <c r="E291" s="16"/>
    </row>
    <row r="292" spans="1:5" x14ac:dyDescent="0.25">
      <c r="A292" s="16" t="s">
        <v>428</v>
      </c>
      <c r="B292" s="35" t="s">
        <v>296</v>
      </c>
      <c r="C292" s="292">
        <v>4297470</v>
      </c>
      <c r="D292" s="16"/>
      <c r="E292" s="16"/>
    </row>
    <row r="293" spans="1:5" x14ac:dyDescent="0.25">
      <c r="A293" s="16" t="s">
        <v>429</v>
      </c>
      <c r="B293" s="16"/>
      <c r="C293" s="22"/>
      <c r="D293" s="25">
        <f>D291-C292</f>
        <v>2152369</v>
      </c>
      <c r="E293" s="16"/>
    </row>
    <row r="294" spans="1:5" x14ac:dyDescent="0.25">
      <c r="A294" s="34" t="s">
        <v>430</v>
      </c>
      <c r="B294" s="34"/>
      <c r="C294" s="34"/>
      <c r="D294" s="34"/>
      <c r="E294" s="34"/>
    </row>
    <row r="295" spans="1:5" x14ac:dyDescent="0.25">
      <c r="A295" s="16" t="s">
        <v>431</v>
      </c>
      <c r="B295" s="35" t="s">
        <v>296</v>
      </c>
      <c r="C295" s="292">
        <v>0</v>
      </c>
      <c r="D295" s="16"/>
      <c r="E295" s="16"/>
    </row>
    <row r="296" spans="1:5" x14ac:dyDescent="0.25">
      <c r="A296" s="16" t="s">
        <v>432</v>
      </c>
      <c r="B296" s="35" t="s">
        <v>296</v>
      </c>
      <c r="C296" s="292">
        <v>0</v>
      </c>
      <c r="D296" s="16"/>
      <c r="E296" s="16"/>
    </row>
    <row r="297" spans="1:5" x14ac:dyDescent="0.25">
      <c r="A297" s="16" t="s">
        <v>433</v>
      </c>
      <c r="B297" s="35" t="s">
        <v>296</v>
      </c>
      <c r="C297" s="292">
        <v>0</v>
      </c>
      <c r="D297" s="16"/>
      <c r="E297" s="16"/>
    </row>
    <row r="298" spans="1:5" x14ac:dyDescent="0.25">
      <c r="A298" s="16" t="s">
        <v>421</v>
      </c>
      <c r="B298" s="35" t="s">
        <v>296</v>
      </c>
      <c r="C298" s="292">
        <v>0</v>
      </c>
      <c r="D298" s="16"/>
      <c r="E298" s="16"/>
    </row>
    <row r="299" spans="1:5" x14ac:dyDescent="0.25">
      <c r="A299" s="16" t="s">
        <v>434</v>
      </c>
      <c r="B299" s="16"/>
      <c r="C299" s="22"/>
      <c r="D299" s="25">
        <f>C295-C296+C297+C298</f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435</v>
      </c>
      <c r="B301" s="34"/>
      <c r="C301" s="34"/>
      <c r="D301" s="34"/>
      <c r="E301" s="34"/>
    </row>
    <row r="302" spans="1:5" x14ac:dyDescent="0.25">
      <c r="A302" s="16" t="s">
        <v>436</v>
      </c>
      <c r="B302" s="35" t="s">
        <v>296</v>
      </c>
      <c r="C302" s="292">
        <v>0</v>
      </c>
      <c r="D302" s="16"/>
      <c r="E302" s="16"/>
    </row>
    <row r="303" spans="1:5" x14ac:dyDescent="0.25">
      <c r="A303" s="16" t="s">
        <v>437</v>
      </c>
      <c r="B303" s="35" t="s">
        <v>296</v>
      </c>
      <c r="C303" s="292">
        <v>0</v>
      </c>
      <c r="D303" s="16"/>
      <c r="E303" s="16"/>
    </row>
    <row r="304" spans="1:5" x14ac:dyDescent="0.25">
      <c r="A304" s="16" t="s">
        <v>438</v>
      </c>
      <c r="B304" s="35" t="s">
        <v>296</v>
      </c>
      <c r="C304" s="292">
        <v>0</v>
      </c>
      <c r="D304" s="16"/>
      <c r="E304" s="16"/>
    </row>
    <row r="305" spans="1:5" x14ac:dyDescent="0.25">
      <c r="A305" s="16" t="s">
        <v>439</v>
      </c>
      <c r="B305" s="35" t="s">
        <v>296</v>
      </c>
      <c r="C305" s="292">
        <v>0</v>
      </c>
      <c r="D305" s="16"/>
      <c r="E305" s="16"/>
    </row>
    <row r="306" spans="1:5" x14ac:dyDescent="0.25">
      <c r="A306" s="16" t="s">
        <v>440</v>
      </c>
      <c r="B306" s="16"/>
      <c r="C306" s="22"/>
      <c r="D306" s="25">
        <f>SUM(C302:C305)</f>
        <v>0</v>
      </c>
      <c r="E306" s="16"/>
    </row>
    <row r="307" spans="1:5" x14ac:dyDescent="0.25">
      <c r="A307" s="16"/>
      <c r="B307" s="16"/>
      <c r="C307" s="22"/>
      <c r="D307" s="16"/>
      <c r="E307" s="16"/>
    </row>
    <row r="308" spans="1:5" x14ac:dyDescent="0.25">
      <c r="A308" s="16" t="s">
        <v>441</v>
      </c>
      <c r="B308" s="16"/>
      <c r="C308" s="22"/>
      <c r="D308" s="25">
        <f>D276+D281+D293+D299+D306</f>
        <v>9285860</v>
      </c>
      <c r="E308" s="16"/>
    </row>
    <row r="309" spans="1:5" x14ac:dyDescent="0.25">
      <c r="A309" s="16"/>
      <c r="B309" s="16"/>
      <c r="C309" s="22"/>
      <c r="D309" s="16"/>
      <c r="E309" s="16"/>
    </row>
    <row r="310" spans="1:5" x14ac:dyDescent="0.25">
      <c r="A310" s="16"/>
      <c r="B310" s="16"/>
      <c r="C310" s="22"/>
      <c r="D310" s="16"/>
      <c r="E310" s="16"/>
    </row>
    <row r="311" spans="1:5" x14ac:dyDescent="0.25">
      <c r="A311" s="16"/>
      <c r="B311" s="16"/>
      <c r="C311" s="22"/>
      <c r="D311" s="16"/>
      <c r="E311" s="16"/>
    </row>
    <row r="312" spans="1:5" x14ac:dyDescent="0.25">
      <c r="A312" s="30" t="s">
        <v>442</v>
      </c>
      <c r="B312" s="30"/>
      <c r="C312" s="30"/>
      <c r="D312" s="30"/>
      <c r="E312" s="30"/>
    </row>
    <row r="313" spans="1:5" x14ac:dyDescent="0.25">
      <c r="A313" s="34" t="s">
        <v>443</v>
      </c>
      <c r="B313" s="34"/>
      <c r="C313" s="34"/>
      <c r="D313" s="34"/>
      <c r="E313" s="34"/>
    </row>
    <row r="314" spans="1:5" x14ac:dyDescent="0.25">
      <c r="A314" s="16" t="s">
        <v>444</v>
      </c>
      <c r="B314" s="35" t="s">
        <v>296</v>
      </c>
      <c r="C314" s="292">
        <v>0</v>
      </c>
      <c r="D314" s="16"/>
      <c r="E314" s="16"/>
    </row>
    <row r="315" spans="1:5" x14ac:dyDescent="0.25">
      <c r="A315" s="16" t="s">
        <v>445</v>
      </c>
      <c r="B315" s="35" t="s">
        <v>296</v>
      </c>
      <c r="C315" s="292">
        <v>320016</v>
      </c>
      <c r="D315" s="16"/>
      <c r="E315" s="16"/>
    </row>
    <row r="316" spans="1:5" x14ac:dyDescent="0.25">
      <c r="A316" s="16" t="s">
        <v>446</v>
      </c>
      <c r="B316" s="35" t="s">
        <v>296</v>
      </c>
      <c r="C316" s="292">
        <v>306524</v>
      </c>
      <c r="D316" s="16"/>
      <c r="E316" s="16"/>
    </row>
    <row r="317" spans="1:5" x14ac:dyDescent="0.25">
      <c r="A317" s="16" t="s">
        <v>447</v>
      </c>
      <c r="B317" s="35" t="s">
        <v>296</v>
      </c>
      <c r="C317" s="292">
        <v>0</v>
      </c>
      <c r="D317" s="16"/>
      <c r="E317" s="16"/>
    </row>
    <row r="318" spans="1:5" x14ac:dyDescent="0.25">
      <c r="A318" s="16" t="s">
        <v>448</v>
      </c>
      <c r="B318" s="35" t="s">
        <v>296</v>
      </c>
      <c r="C318" s="292">
        <v>0</v>
      </c>
      <c r="D318" s="16"/>
      <c r="E318" s="16"/>
    </row>
    <row r="319" spans="1:5" x14ac:dyDescent="0.25">
      <c r="A319" s="16" t="s">
        <v>449</v>
      </c>
      <c r="B319" s="35" t="s">
        <v>296</v>
      </c>
      <c r="C319" s="292">
        <v>0</v>
      </c>
      <c r="D319" s="16"/>
      <c r="E319" s="16"/>
    </row>
    <row r="320" spans="1:5" x14ac:dyDescent="0.25">
      <c r="A320" s="16" t="s">
        <v>450</v>
      </c>
      <c r="B320" s="35" t="s">
        <v>296</v>
      </c>
      <c r="C320" s="292">
        <v>0</v>
      </c>
      <c r="D320" s="16"/>
      <c r="E320" s="16"/>
    </row>
    <row r="321" spans="1:5" x14ac:dyDescent="0.25">
      <c r="A321" s="16" t="s">
        <v>451</v>
      </c>
      <c r="B321" s="35" t="s">
        <v>296</v>
      </c>
      <c r="C321" s="292">
        <v>0</v>
      </c>
      <c r="D321" s="16"/>
      <c r="E321" s="16"/>
    </row>
    <row r="322" spans="1:5" x14ac:dyDescent="0.25">
      <c r="A322" s="16" t="s">
        <v>452</v>
      </c>
      <c r="B322" s="35" t="s">
        <v>296</v>
      </c>
      <c r="C322" s="292">
        <v>473850</v>
      </c>
      <c r="D322" s="16"/>
      <c r="E322" s="16"/>
    </row>
    <row r="323" spans="1:5" x14ac:dyDescent="0.25">
      <c r="A323" s="16" t="s">
        <v>453</v>
      </c>
      <c r="B323" s="35" t="s">
        <v>296</v>
      </c>
      <c r="C323" s="292">
        <v>0</v>
      </c>
      <c r="D323" s="16"/>
      <c r="E323" s="16"/>
    </row>
    <row r="324" spans="1:5" x14ac:dyDescent="0.25">
      <c r="A324" s="16" t="s">
        <v>454</v>
      </c>
      <c r="B324" s="16"/>
      <c r="C324" s="22"/>
      <c r="D324" s="25">
        <f>SUM(C314:C323)</f>
        <v>1100390</v>
      </c>
      <c r="E324" s="16"/>
    </row>
    <row r="325" spans="1:5" x14ac:dyDescent="0.25">
      <c r="A325" s="34" t="s">
        <v>455</v>
      </c>
      <c r="B325" s="34"/>
      <c r="C325" s="34"/>
      <c r="D325" s="34"/>
      <c r="E325" s="34"/>
    </row>
    <row r="326" spans="1:5" x14ac:dyDescent="0.25">
      <c r="A326" s="16" t="s">
        <v>456</v>
      </c>
      <c r="B326" s="35" t="s">
        <v>296</v>
      </c>
      <c r="C326" s="292">
        <v>0</v>
      </c>
      <c r="D326" s="16"/>
      <c r="E326" s="16"/>
    </row>
    <row r="327" spans="1:5" x14ac:dyDescent="0.25">
      <c r="A327" s="16" t="s">
        <v>457</v>
      </c>
      <c r="B327" s="35" t="s">
        <v>296</v>
      </c>
      <c r="C327" s="292">
        <v>0</v>
      </c>
      <c r="D327" s="16"/>
      <c r="E327" s="16"/>
    </row>
    <row r="328" spans="1:5" x14ac:dyDescent="0.25">
      <c r="A328" s="16" t="s">
        <v>458</v>
      </c>
      <c r="B328" s="35" t="s">
        <v>296</v>
      </c>
      <c r="C328" s="292">
        <v>0</v>
      </c>
      <c r="D328" s="16"/>
      <c r="E328" s="16"/>
    </row>
    <row r="329" spans="1:5" x14ac:dyDescent="0.25">
      <c r="A329" s="16" t="s">
        <v>459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460</v>
      </c>
      <c r="B330" s="34"/>
      <c r="C330" s="34"/>
      <c r="D330" s="34"/>
      <c r="E330" s="34"/>
    </row>
    <row r="331" spans="1:5" x14ac:dyDescent="0.25">
      <c r="A331" s="16" t="s">
        <v>461</v>
      </c>
      <c r="B331" s="35" t="s">
        <v>296</v>
      </c>
      <c r="C331" s="292">
        <v>0</v>
      </c>
      <c r="D331" s="16"/>
      <c r="E331" s="16"/>
    </row>
    <row r="332" spans="1:5" x14ac:dyDescent="0.25">
      <c r="A332" s="16" t="s">
        <v>462</v>
      </c>
      <c r="B332" s="35" t="s">
        <v>296</v>
      </c>
      <c r="C332" s="292">
        <v>0</v>
      </c>
      <c r="D332" s="16"/>
      <c r="E332" s="16"/>
    </row>
    <row r="333" spans="1:5" x14ac:dyDescent="0.25">
      <c r="A333" s="16" t="s">
        <v>463</v>
      </c>
      <c r="B333" s="35" t="s">
        <v>296</v>
      </c>
      <c r="C333" s="292">
        <v>0</v>
      </c>
      <c r="D333" s="16"/>
      <c r="E333" s="16"/>
    </row>
    <row r="334" spans="1:5" x14ac:dyDescent="0.25">
      <c r="A334" s="21" t="s">
        <v>464</v>
      </c>
      <c r="B334" s="35" t="s">
        <v>296</v>
      </c>
      <c r="C334" s="292">
        <v>54834</v>
      </c>
      <c r="D334" s="16"/>
      <c r="E334" s="16"/>
    </row>
    <row r="335" spans="1:5" x14ac:dyDescent="0.25">
      <c r="A335" s="16" t="s">
        <v>465</v>
      </c>
      <c r="B335" s="35" t="s">
        <v>296</v>
      </c>
      <c r="C335" s="292">
        <v>0</v>
      </c>
      <c r="D335" s="16"/>
      <c r="E335" s="16"/>
    </row>
    <row r="336" spans="1:5" x14ac:dyDescent="0.25">
      <c r="A336" s="21" t="s">
        <v>466</v>
      </c>
      <c r="B336" s="35" t="s">
        <v>296</v>
      </c>
      <c r="C336" s="292">
        <v>0</v>
      </c>
      <c r="D336" s="16"/>
      <c r="E336" s="16"/>
    </row>
    <row r="337" spans="1:5" x14ac:dyDescent="0.25">
      <c r="A337" s="21" t="s">
        <v>467</v>
      </c>
      <c r="B337" s="35" t="s">
        <v>296</v>
      </c>
      <c r="C337" s="298">
        <v>0</v>
      </c>
      <c r="D337" s="16"/>
      <c r="E337" s="16"/>
    </row>
    <row r="338" spans="1:5" x14ac:dyDescent="0.25">
      <c r="A338" s="16" t="s">
        <v>468</v>
      </c>
      <c r="B338" s="35" t="s">
        <v>296</v>
      </c>
      <c r="C338" s="292">
        <v>1154962</v>
      </c>
      <c r="D338" s="16"/>
      <c r="E338" s="16"/>
    </row>
    <row r="339" spans="1:5" x14ac:dyDescent="0.25">
      <c r="A339" s="16" t="s">
        <v>228</v>
      </c>
      <c r="B339" s="16"/>
      <c r="C339" s="22"/>
      <c r="D339" s="25">
        <f>SUM(C331:C338)</f>
        <v>1209796</v>
      </c>
      <c r="E339" s="16"/>
    </row>
    <row r="340" spans="1:5" x14ac:dyDescent="0.25">
      <c r="A340" s="16" t="s">
        <v>469</v>
      </c>
      <c r="B340" s="16"/>
      <c r="C340" s="22"/>
      <c r="D340" s="25">
        <f>C323</f>
        <v>0</v>
      </c>
      <c r="E340" s="16"/>
    </row>
    <row r="341" spans="1:5" x14ac:dyDescent="0.25">
      <c r="A341" s="16" t="s">
        <v>470</v>
      </c>
      <c r="B341" s="16"/>
      <c r="C341" s="22"/>
      <c r="D341" s="25">
        <f>D339-D340</f>
        <v>1209796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471</v>
      </c>
      <c r="B343" s="35" t="s">
        <v>296</v>
      </c>
      <c r="C343" s="297">
        <v>6975674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472</v>
      </c>
      <c r="B345" s="35" t="s">
        <v>296</v>
      </c>
      <c r="C345" s="293">
        <v>0</v>
      </c>
      <c r="D345" s="16"/>
      <c r="E345" s="16"/>
    </row>
    <row r="346" spans="1:5" x14ac:dyDescent="0.25">
      <c r="A346" s="16" t="s">
        <v>473</v>
      </c>
      <c r="B346" s="35" t="s">
        <v>296</v>
      </c>
      <c r="C346" s="293">
        <v>0</v>
      </c>
      <c r="D346" s="16"/>
      <c r="E346" s="16"/>
    </row>
    <row r="347" spans="1:5" x14ac:dyDescent="0.25">
      <c r="A347" s="16" t="s">
        <v>474</v>
      </c>
      <c r="B347" s="35" t="s">
        <v>296</v>
      </c>
      <c r="C347" s="293">
        <v>0</v>
      </c>
      <c r="D347" s="16"/>
      <c r="E347" s="16"/>
    </row>
    <row r="348" spans="1:5" x14ac:dyDescent="0.25">
      <c r="A348" s="16" t="s">
        <v>475</v>
      </c>
      <c r="B348" s="35" t="s">
        <v>296</v>
      </c>
      <c r="C348" s="293">
        <v>0</v>
      </c>
      <c r="D348" s="16"/>
      <c r="E348" s="16"/>
    </row>
    <row r="349" spans="1:5" x14ac:dyDescent="0.25">
      <c r="A349" s="16" t="s">
        <v>476</v>
      </c>
      <c r="B349" s="35" t="s">
        <v>296</v>
      </c>
      <c r="C349" s="293">
        <v>0</v>
      </c>
      <c r="D349" s="16"/>
      <c r="E349" s="16"/>
    </row>
    <row r="350" spans="1:5" x14ac:dyDescent="0.25">
      <c r="A350" s="16" t="s">
        <v>477</v>
      </c>
      <c r="B350" s="16"/>
      <c r="C350" s="22"/>
      <c r="D350" s="25">
        <f>D324+D329+D341+C343+C347+C348</f>
        <v>9285860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478</v>
      </c>
      <c r="B352" s="16"/>
      <c r="C352" s="22"/>
      <c r="D352" s="25">
        <f>D308</f>
        <v>9285860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479</v>
      </c>
      <c r="B356" s="30"/>
      <c r="C356" s="30"/>
      <c r="D356" s="30"/>
      <c r="E356" s="30"/>
    </row>
    <row r="357" spans="1:5" x14ac:dyDescent="0.25">
      <c r="A357" s="34" t="s">
        <v>480</v>
      </c>
      <c r="B357" s="34"/>
      <c r="C357" s="34"/>
      <c r="D357" s="34"/>
      <c r="E357" s="34"/>
    </row>
    <row r="358" spans="1:5" x14ac:dyDescent="0.25">
      <c r="A358" s="16" t="s">
        <v>481</v>
      </c>
      <c r="B358" s="35" t="s">
        <v>296</v>
      </c>
      <c r="C358" s="324">
        <v>2255953.34</v>
      </c>
      <c r="D358" s="16"/>
      <c r="E358" s="16"/>
    </row>
    <row r="359" spans="1:5" x14ac:dyDescent="0.25">
      <c r="A359" s="16" t="s">
        <v>482</v>
      </c>
      <c r="B359" s="35" t="s">
        <v>296</v>
      </c>
      <c r="C359" s="324">
        <v>5469029.7699999996</v>
      </c>
      <c r="D359" s="16"/>
      <c r="E359" s="16"/>
    </row>
    <row r="360" spans="1:5" x14ac:dyDescent="0.25">
      <c r="A360" s="16" t="s">
        <v>483</v>
      </c>
      <c r="B360" s="16"/>
      <c r="C360" s="22"/>
      <c r="D360" s="25">
        <f>SUM(C358:C359)</f>
        <v>7724983.1099999994</v>
      </c>
      <c r="E360" s="16"/>
    </row>
    <row r="361" spans="1:5" x14ac:dyDescent="0.25">
      <c r="A361" s="34" t="s">
        <v>484</v>
      </c>
      <c r="B361" s="34"/>
      <c r="C361" s="34"/>
      <c r="D361" s="34"/>
      <c r="E361" s="34"/>
    </row>
    <row r="362" spans="1:5" x14ac:dyDescent="0.25">
      <c r="A362" s="16" t="s">
        <v>389</v>
      </c>
      <c r="B362" s="34"/>
      <c r="C362" s="294">
        <v>268505</v>
      </c>
      <c r="D362" s="16"/>
      <c r="E362" s="34"/>
    </row>
    <row r="363" spans="1:5" x14ac:dyDescent="0.25">
      <c r="A363" s="16" t="s">
        <v>485</v>
      </c>
      <c r="B363" s="35" t="s">
        <v>296</v>
      </c>
      <c r="C363" s="294">
        <v>-2699332</v>
      </c>
      <c r="D363" s="16"/>
      <c r="E363" s="16"/>
    </row>
    <row r="364" spans="1:5" x14ac:dyDescent="0.25">
      <c r="A364" s="16" t="s">
        <v>486</v>
      </c>
      <c r="B364" s="35" t="s">
        <v>296</v>
      </c>
      <c r="C364" s="294">
        <v>71713</v>
      </c>
      <c r="D364" s="16"/>
      <c r="E364" s="16"/>
    </row>
    <row r="365" spans="1:5" x14ac:dyDescent="0.25">
      <c r="A365" s="16" t="s">
        <v>487</v>
      </c>
      <c r="B365" s="35" t="s">
        <v>296</v>
      </c>
      <c r="C365" s="294">
        <v>0</v>
      </c>
      <c r="D365" s="16"/>
      <c r="E365" s="16"/>
    </row>
    <row r="366" spans="1:5" x14ac:dyDescent="0.25">
      <c r="A366" s="16" t="s">
        <v>406</v>
      </c>
      <c r="B366" s="16"/>
      <c r="C366" s="22"/>
      <c r="D366" s="25">
        <f>SUM(C362:C365)</f>
        <v>-2359114</v>
      </c>
      <c r="E366" s="16"/>
    </row>
    <row r="367" spans="1:5" x14ac:dyDescent="0.25">
      <c r="A367" s="16" t="s">
        <v>488</v>
      </c>
      <c r="B367" s="16"/>
      <c r="C367" s="22"/>
      <c r="D367" s="25">
        <f>D360-D366</f>
        <v>10084097.109999999</v>
      </c>
      <c r="E367" s="16"/>
    </row>
    <row r="368" spans="1:5" x14ac:dyDescent="0.25">
      <c r="A368" s="45" t="s">
        <v>489</v>
      </c>
      <c r="B368" s="34"/>
      <c r="C368" s="34"/>
      <c r="D368" s="34"/>
      <c r="E368" s="34"/>
    </row>
    <row r="369" spans="1:6" x14ac:dyDescent="0.25">
      <c r="A369" s="25" t="s">
        <v>490</v>
      </c>
      <c r="B369" s="16"/>
      <c r="C369" s="16"/>
      <c r="D369" s="16"/>
      <c r="E369" s="16"/>
    </row>
    <row r="370" spans="1:6" x14ac:dyDescent="0.25">
      <c r="A370" s="46" t="s">
        <v>491</v>
      </c>
      <c r="B370" s="32" t="s">
        <v>296</v>
      </c>
      <c r="C370" s="292">
        <v>0</v>
      </c>
      <c r="D370" s="25">
        <v>0</v>
      </c>
      <c r="E370" s="25"/>
    </row>
    <row r="371" spans="1:6" x14ac:dyDescent="0.25">
      <c r="A371" s="46" t="s">
        <v>492</v>
      </c>
      <c r="B371" s="32" t="s">
        <v>296</v>
      </c>
      <c r="C371" s="292">
        <v>427173</v>
      </c>
      <c r="D371" s="25">
        <v>0</v>
      </c>
      <c r="E371" s="25"/>
    </row>
    <row r="372" spans="1:6" x14ac:dyDescent="0.25">
      <c r="A372" s="46" t="s">
        <v>493</v>
      </c>
      <c r="B372" s="32" t="s">
        <v>296</v>
      </c>
      <c r="C372" s="292">
        <v>0</v>
      </c>
      <c r="D372" s="25">
        <v>0</v>
      </c>
      <c r="E372" s="25"/>
    </row>
    <row r="373" spans="1:6" x14ac:dyDescent="0.25">
      <c r="A373" s="46" t="s">
        <v>494</v>
      </c>
      <c r="B373" s="32" t="s">
        <v>296</v>
      </c>
      <c r="C373" s="292">
        <v>0</v>
      </c>
      <c r="D373" s="25">
        <v>0</v>
      </c>
      <c r="E373" s="25"/>
    </row>
    <row r="374" spans="1:6" x14ac:dyDescent="0.25">
      <c r="A374" s="46" t="s">
        <v>495</v>
      </c>
      <c r="B374" s="32" t="s">
        <v>296</v>
      </c>
      <c r="C374" s="292">
        <v>0</v>
      </c>
      <c r="D374" s="25">
        <v>0</v>
      </c>
      <c r="E374" s="25"/>
    </row>
    <row r="375" spans="1:6" x14ac:dyDescent="0.25">
      <c r="A375" s="46" t="s">
        <v>496</v>
      </c>
      <c r="B375" s="32" t="s">
        <v>296</v>
      </c>
      <c r="C375" s="292">
        <v>0</v>
      </c>
      <c r="D375" s="25">
        <v>0</v>
      </c>
      <c r="E375" s="25"/>
    </row>
    <row r="376" spans="1:6" x14ac:dyDescent="0.25">
      <c r="A376" s="46" t="s">
        <v>497</v>
      </c>
      <c r="B376" s="32" t="s">
        <v>296</v>
      </c>
      <c r="C376" s="292">
        <v>0</v>
      </c>
      <c r="D376" s="25">
        <v>0</v>
      </c>
      <c r="E376" s="25"/>
    </row>
    <row r="377" spans="1:6" x14ac:dyDescent="0.25">
      <c r="A377" s="46" t="s">
        <v>498</v>
      </c>
      <c r="B377" s="32" t="s">
        <v>296</v>
      </c>
      <c r="C377" s="292">
        <v>0</v>
      </c>
      <c r="D377" s="25">
        <v>0</v>
      </c>
      <c r="E377" s="25"/>
    </row>
    <row r="378" spans="1:6" x14ac:dyDescent="0.25">
      <c r="A378" s="46" t="s">
        <v>499</v>
      </c>
      <c r="B378" s="32" t="s">
        <v>296</v>
      </c>
      <c r="C378" s="292">
        <v>0</v>
      </c>
      <c r="D378" s="25">
        <v>0</v>
      </c>
      <c r="E378" s="25"/>
    </row>
    <row r="379" spans="1:6" x14ac:dyDescent="0.25">
      <c r="A379" s="46" t="s">
        <v>500</v>
      </c>
      <c r="B379" s="32" t="s">
        <v>296</v>
      </c>
      <c r="C379" s="292">
        <v>0</v>
      </c>
      <c r="D379" s="25">
        <v>0</v>
      </c>
      <c r="E379" s="25"/>
    </row>
    <row r="380" spans="1:6" x14ac:dyDescent="0.25">
      <c r="A380" s="46" t="s">
        <v>501</v>
      </c>
      <c r="B380" s="32" t="s">
        <v>296</v>
      </c>
      <c r="C380" s="294">
        <v>95054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502</v>
      </c>
      <c r="B381" s="35"/>
      <c r="C381" s="35"/>
      <c r="D381" s="25">
        <f>SUM(C370:C380)</f>
        <v>522227</v>
      </c>
      <c r="E381" s="25"/>
      <c r="F381" s="47"/>
    </row>
    <row r="382" spans="1:6" x14ac:dyDescent="0.25">
      <c r="A382" s="43" t="s">
        <v>503</v>
      </c>
      <c r="B382" s="35" t="s">
        <v>296</v>
      </c>
      <c r="C382" s="292">
        <v>0</v>
      </c>
      <c r="D382" s="25">
        <v>0</v>
      </c>
      <c r="E382" s="16"/>
    </row>
    <row r="383" spans="1:6" x14ac:dyDescent="0.25">
      <c r="A383" s="16" t="s">
        <v>504</v>
      </c>
      <c r="B383" s="16"/>
      <c r="C383" s="22"/>
      <c r="D383" s="25">
        <f>D381+C382</f>
        <v>522227</v>
      </c>
      <c r="E383" s="16"/>
    </row>
    <row r="384" spans="1:6" x14ac:dyDescent="0.25">
      <c r="A384" s="16" t="s">
        <v>505</v>
      </c>
      <c r="B384" s="16"/>
      <c r="C384" s="22"/>
      <c r="D384" s="25">
        <f>D367+D383</f>
        <v>10606324.109999999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506</v>
      </c>
      <c r="B388" s="34"/>
      <c r="C388" s="34"/>
      <c r="D388" s="34"/>
      <c r="E388" s="34"/>
    </row>
    <row r="389" spans="1:5" x14ac:dyDescent="0.25">
      <c r="A389" s="16" t="s">
        <v>507</v>
      </c>
      <c r="B389" s="35" t="s">
        <v>296</v>
      </c>
      <c r="C389" s="292">
        <v>5917187</v>
      </c>
      <c r="D389" s="16"/>
      <c r="E389" s="16"/>
    </row>
    <row r="390" spans="1:5" x14ac:dyDescent="0.25">
      <c r="A390" s="16" t="s">
        <v>9</v>
      </c>
      <c r="B390" s="35" t="s">
        <v>296</v>
      </c>
      <c r="C390" s="292">
        <v>674145</v>
      </c>
      <c r="D390" s="16"/>
      <c r="E390" s="16"/>
    </row>
    <row r="391" spans="1:5" x14ac:dyDescent="0.25">
      <c r="A391" s="16" t="s">
        <v>262</v>
      </c>
      <c r="B391" s="35" t="s">
        <v>296</v>
      </c>
      <c r="C391" s="292">
        <v>2397711</v>
      </c>
      <c r="D391" s="16"/>
      <c r="E391" s="16"/>
    </row>
    <row r="392" spans="1:5" x14ac:dyDescent="0.25">
      <c r="A392" s="16" t="s">
        <v>508</v>
      </c>
      <c r="B392" s="35" t="s">
        <v>296</v>
      </c>
      <c r="C392" s="292">
        <v>787601</v>
      </c>
      <c r="D392" s="16"/>
      <c r="E392" s="16"/>
    </row>
    <row r="393" spans="1:5" x14ac:dyDescent="0.25">
      <c r="A393" s="16" t="s">
        <v>509</v>
      </c>
      <c r="B393" s="35" t="s">
        <v>296</v>
      </c>
      <c r="C393" s="292">
        <v>181790</v>
      </c>
      <c r="D393" s="16"/>
      <c r="E393" s="16"/>
    </row>
    <row r="394" spans="1:5" x14ac:dyDescent="0.25">
      <c r="A394" s="16" t="s">
        <v>510</v>
      </c>
      <c r="B394" s="35" t="s">
        <v>296</v>
      </c>
      <c r="C394" s="292">
        <v>301429</v>
      </c>
      <c r="D394" s="16"/>
      <c r="E394" s="16"/>
    </row>
    <row r="395" spans="1:5" x14ac:dyDescent="0.25">
      <c r="A395" s="16" t="s">
        <v>14</v>
      </c>
      <c r="B395" s="35" t="s">
        <v>296</v>
      </c>
      <c r="C395" s="292">
        <v>248643</v>
      </c>
      <c r="D395" s="16"/>
      <c r="E395" s="16"/>
    </row>
    <row r="396" spans="1:5" x14ac:dyDescent="0.25">
      <c r="A396" s="16" t="s">
        <v>511</v>
      </c>
      <c r="B396" s="35" t="s">
        <v>296</v>
      </c>
      <c r="C396" s="292">
        <v>51775</v>
      </c>
      <c r="D396" s="16"/>
      <c r="E396" s="16"/>
    </row>
    <row r="397" spans="1:5" x14ac:dyDescent="0.25">
      <c r="A397" s="16" t="s">
        <v>512</v>
      </c>
      <c r="B397" s="35" t="s">
        <v>296</v>
      </c>
      <c r="C397" s="292">
        <v>154856</v>
      </c>
      <c r="D397" s="16"/>
      <c r="E397" s="16"/>
    </row>
    <row r="398" spans="1:5" x14ac:dyDescent="0.25">
      <c r="A398" s="16" t="s">
        <v>513</v>
      </c>
      <c r="B398" s="35" t="s">
        <v>296</v>
      </c>
      <c r="C398" s="292">
        <v>43815</v>
      </c>
      <c r="D398" s="16"/>
      <c r="E398" s="16"/>
    </row>
    <row r="399" spans="1:5" x14ac:dyDescent="0.25">
      <c r="A399" s="16" t="s">
        <v>514</v>
      </c>
      <c r="B399" s="35" t="s">
        <v>296</v>
      </c>
      <c r="C399" s="292">
        <v>3158</v>
      </c>
      <c r="D399" s="16"/>
      <c r="E399" s="16"/>
    </row>
    <row r="400" spans="1:5" x14ac:dyDescent="0.25">
      <c r="A400" s="25" t="s">
        <v>515</v>
      </c>
      <c r="B400" s="16"/>
      <c r="C400" s="16"/>
      <c r="D400" s="16"/>
      <c r="E400" s="16"/>
    </row>
    <row r="401" spans="1:9" x14ac:dyDescent="0.25">
      <c r="A401" s="26" t="s">
        <v>268</v>
      </c>
      <c r="B401" s="32" t="s">
        <v>296</v>
      </c>
      <c r="C401" s="292">
        <v>0</v>
      </c>
      <c r="D401" s="25">
        <v>0</v>
      </c>
      <c r="E401" s="25"/>
    </row>
    <row r="402" spans="1:9" x14ac:dyDescent="0.25">
      <c r="A402" s="26" t="s">
        <v>269</v>
      </c>
      <c r="B402" s="32" t="s">
        <v>296</v>
      </c>
      <c r="C402" s="292">
        <v>0</v>
      </c>
      <c r="D402" s="25">
        <v>0</v>
      </c>
      <c r="E402" s="25"/>
    </row>
    <row r="403" spans="1:9" x14ac:dyDescent="0.25">
      <c r="A403" s="26" t="s">
        <v>516</v>
      </c>
      <c r="B403" s="32" t="s">
        <v>296</v>
      </c>
      <c r="C403" s="292">
        <v>0</v>
      </c>
      <c r="D403" s="25">
        <v>0</v>
      </c>
      <c r="E403" s="25"/>
    </row>
    <row r="404" spans="1:9" x14ac:dyDescent="0.25">
      <c r="A404" s="26" t="s">
        <v>271</v>
      </c>
      <c r="B404" s="32" t="s">
        <v>296</v>
      </c>
      <c r="C404" s="292">
        <v>0</v>
      </c>
      <c r="D404" s="25">
        <v>0</v>
      </c>
      <c r="E404" s="25"/>
    </row>
    <row r="405" spans="1:9" x14ac:dyDescent="0.25">
      <c r="A405" s="26" t="s">
        <v>272</v>
      </c>
      <c r="B405" s="32" t="s">
        <v>296</v>
      </c>
      <c r="C405" s="292">
        <v>0</v>
      </c>
      <c r="D405" s="25">
        <v>0</v>
      </c>
      <c r="E405" s="25"/>
    </row>
    <row r="406" spans="1:9" x14ac:dyDescent="0.25">
      <c r="A406" s="26" t="s">
        <v>273</v>
      </c>
      <c r="B406" s="32" t="s">
        <v>296</v>
      </c>
      <c r="C406" s="292">
        <v>0</v>
      </c>
      <c r="D406" s="25">
        <v>0</v>
      </c>
      <c r="E406" s="25"/>
    </row>
    <row r="407" spans="1:9" x14ac:dyDescent="0.25">
      <c r="A407" s="26" t="s">
        <v>274</v>
      </c>
      <c r="B407" s="32" t="s">
        <v>296</v>
      </c>
      <c r="C407" s="292">
        <v>0</v>
      </c>
      <c r="D407" s="25">
        <v>0</v>
      </c>
      <c r="E407" s="25"/>
    </row>
    <row r="408" spans="1:9" x14ac:dyDescent="0.25">
      <c r="A408" s="26" t="s">
        <v>275</v>
      </c>
      <c r="B408" s="32" t="s">
        <v>296</v>
      </c>
      <c r="C408" s="292">
        <v>90144</v>
      </c>
      <c r="D408" s="25">
        <v>0</v>
      </c>
      <c r="E408" s="25"/>
    </row>
    <row r="409" spans="1:9" x14ac:dyDescent="0.25">
      <c r="A409" s="26" t="s">
        <v>276</v>
      </c>
      <c r="B409" s="32" t="s">
        <v>296</v>
      </c>
      <c r="C409" s="292">
        <v>0</v>
      </c>
      <c r="D409" s="25">
        <v>0</v>
      </c>
      <c r="E409" s="25"/>
    </row>
    <row r="410" spans="1:9" x14ac:dyDescent="0.25">
      <c r="A410" s="26" t="s">
        <v>277</v>
      </c>
      <c r="B410" s="32" t="s">
        <v>296</v>
      </c>
      <c r="C410" s="292">
        <v>0</v>
      </c>
      <c r="D410" s="25">
        <v>0</v>
      </c>
      <c r="E410" s="25"/>
    </row>
    <row r="411" spans="1:9" x14ac:dyDescent="0.25">
      <c r="A411" s="26" t="s">
        <v>278</v>
      </c>
      <c r="B411" s="32" t="s">
        <v>296</v>
      </c>
      <c r="C411" s="292">
        <v>0</v>
      </c>
      <c r="D411" s="25">
        <v>0</v>
      </c>
      <c r="E411" s="25"/>
    </row>
    <row r="412" spans="1:9" x14ac:dyDescent="0.25">
      <c r="A412" s="26" t="s">
        <v>279</v>
      </c>
      <c r="B412" s="32" t="s">
        <v>296</v>
      </c>
      <c r="C412" s="292">
        <v>0</v>
      </c>
      <c r="D412" s="25">
        <v>0</v>
      </c>
      <c r="E412" s="25"/>
    </row>
    <row r="413" spans="1:9" x14ac:dyDescent="0.25">
      <c r="A413" s="26" t="s">
        <v>280</v>
      </c>
      <c r="B413" s="32" t="s">
        <v>296</v>
      </c>
      <c r="C413" s="292">
        <v>0</v>
      </c>
      <c r="D413" s="25">
        <v>0</v>
      </c>
      <c r="E413" s="25"/>
    </row>
    <row r="414" spans="1:9" x14ac:dyDescent="0.25">
      <c r="A414" s="26" t="s">
        <v>281</v>
      </c>
      <c r="B414" s="32" t="s">
        <v>296</v>
      </c>
      <c r="C414" s="294">
        <v>402208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517</v>
      </c>
      <c r="B415" s="35"/>
      <c r="C415" s="35"/>
      <c r="D415" s="25">
        <f>SUM(C401:C414)</f>
        <v>492352</v>
      </c>
      <c r="E415" s="25"/>
      <c r="F415" s="47"/>
      <c r="G415" s="47"/>
      <c r="H415" s="47"/>
      <c r="I415" s="47"/>
    </row>
    <row r="416" spans="1:9" x14ac:dyDescent="0.25">
      <c r="A416" s="25" t="s">
        <v>518</v>
      </c>
      <c r="B416" s="16"/>
      <c r="C416" s="22"/>
      <c r="D416" s="25">
        <f>SUM(C389:C399,D415)</f>
        <v>11254462</v>
      </c>
      <c r="E416" s="25"/>
    </row>
    <row r="417" spans="1:13" x14ac:dyDescent="0.25">
      <c r="A417" s="25" t="s">
        <v>519</v>
      </c>
      <c r="B417" s="16"/>
      <c r="C417" s="22"/>
      <c r="D417" s="25">
        <f>D384-D416</f>
        <v>-648137.8900000006</v>
      </c>
      <c r="E417" s="25"/>
    </row>
    <row r="418" spans="1:13" x14ac:dyDescent="0.25">
      <c r="A418" s="25" t="s">
        <v>520</v>
      </c>
      <c r="B418" s="16"/>
      <c r="C418" s="294">
        <v>791577</v>
      </c>
      <c r="D418" s="25">
        <v>0</v>
      </c>
      <c r="E418" s="25"/>
    </row>
    <row r="419" spans="1:13" x14ac:dyDescent="0.25">
      <c r="A419" s="46" t="s">
        <v>521</v>
      </c>
      <c r="B419" s="35" t="s">
        <v>296</v>
      </c>
      <c r="C419" s="292">
        <v>0</v>
      </c>
      <c r="D419" s="25">
        <v>0</v>
      </c>
      <c r="E419" s="25"/>
    </row>
    <row r="420" spans="1:13" x14ac:dyDescent="0.25">
      <c r="A420" s="48" t="s">
        <v>522</v>
      </c>
      <c r="B420" s="16"/>
      <c r="C420" s="16"/>
      <c r="D420" s="25">
        <f>SUM(C418:C419)</f>
        <v>791577</v>
      </c>
      <c r="E420" s="25"/>
    </row>
    <row r="421" spans="1:13" x14ac:dyDescent="0.25">
      <c r="A421" s="25" t="s">
        <v>523</v>
      </c>
      <c r="B421" s="16"/>
      <c r="C421" s="22"/>
      <c r="D421" s="25">
        <f>D417+D420</f>
        <v>143439.1099999994</v>
      </c>
      <c r="E421" s="25"/>
      <c r="F421" s="50"/>
    </row>
    <row r="422" spans="1:13" x14ac:dyDescent="0.25">
      <c r="A422" s="25" t="s">
        <v>524</v>
      </c>
      <c r="B422" s="35" t="s">
        <v>296</v>
      </c>
      <c r="C422" s="292">
        <v>0</v>
      </c>
      <c r="D422" s="25">
        <v>0</v>
      </c>
      <c r="E422" s="16"/>
    </row>
    <row r="423" spans="1:13" x14ac:dyDescent="0.25">
      <c r="A423" s="16" t="s">
        <v>525</v>
      </c>
      <c r="B423" s="35" t="s">
        <v>296</v>
      </c>
      <c r="C423" s="292">
        <v>0</v>
      </c>
      <c r="D423" s="25">
        <v>0</v>
      </c>
      <c r="E423" s="16"/>
    </row>
    <row r="424" spans="1:13" x14ac:dyDescent="0.25">
      <c r="A424" s="16" t="s">
        <v>526</v>
      </c>
      <c r="B424" s="16"/>
      <c r="C424" s="22"/>
      <c r="D424" s="25">
        <f>D421+C422-C423</f>
        <v>143439.1099999994</v>
      </c>
      <c r="E424" s="16"/>
    </row>
    <row r="426" spans="1:13" ht="30.6" customHeight="1" x14ac:dyDescent="0.25">
      <c r="A426" s="328" t="s">
        <v>1346</v>
      </c>
      <c r="B426" s="328"/>
      <c r="C426" s="328"/>
      <c r="D426" s="328"/>
      <c r="E426" s="328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527</v>
      </c>
      <c r="D612" s="217">
        <f>CE90-(BE90+CD90)</f>
        <v>19450</v>
      </c>
      <c r="E612" s="219">
        <f>SUM(C624:D647)+SUM(C668:D713)</f>
        <v>10256248.781748071</v>
      </c>
      <c r="F612" s="219">
        <f>CE64-(AX64+BD64+BE64+BG64+BJ64+BN64+BP64+BQ64+CB64+CC64+CD64)</f>
        <v>694975</v>
      </c>
      <c r="G612" s="217">
        <f>CE91-(AX91+AY91+BD91+BE91+BG91+BJ91+BN91+BP91+BQ91+CB91+CC91+CD91)</f>
        <v>17127</v>
      </c>
      <c r="H612" s="222">
        <f>CE60-(AX60+AY60+AZ60+BD60+BE60+BG60+BJ60+BN60+BO60+BP60+BQ60+BR60+CB60+CC60+CD60)</f>
        <v>60.81</v>
      </c>
      <c r="I612" s="217">
        <f>CE92-(AX92+AY92+AZ92+BD92+BE92+BF92+BG92+BJ92+BN92+BO92+BP92+BQ92+BR92+CB92+CC92+CD92)</f>
        <v>14510</v>
      </c>
      <c r="J612" s="217">
        <f>CE93-(AX93+AY93+AZ93+BA93+BD93+BE93+BF93+BG93+BJ93+BN93+BO93+BP93+BQ93+BR93+CB93+CC93+CD93)</f>
        <v>5845</v>
      </c>
      <c r="K612" s="217">
        <f>CE89-(AW89+AX89+AY89+AZ89+BA89+BB89+BC89+BD89+BE89+BF89+BG89+BH89+BI89+BJ89+BK89+BL89+BM89+BN89+BO89+BP89+BQ89+BR89+BS89+BT89+BU89+BV89+BW89+BX89+CB89+CC89+CD89)</f>
        <v>7724980.5300000003</v>
      </c>
      <c r="L612" s="223">
        <f>CE94-(AW94+AX94+AY94+AZ94+BA94+BB94+BC94+BD94+BE94+BF94+BG94+BH94+BI94+BJ94+BK94+BL94+BM94+BN94+BO94+BP94+BQ94+BR94+BS94+BT94+BU94+BV94+BW94+BX94+BY94+BZ94+CA94+CB94+CC94+CD94)</f>
        <v>29.029999999999998</v>
      </c>
    </row>
    <row r="613" spans="1:14" s="202" customFormat="1" ht="12.6" customHeight="1" x14ac:dyDescent="0.2">
      <c r="A613" s="212"/>
      <c r="C613" s="210" t="s">
        <v>528</v>
      </c>
      <c r="D613" s="218" t="s">
        <v>529</v>
      </c>
      <c r="E613" s="220" t="s">
        <v>530</v>
      </c>
      <c r="F613" s="221" t="s">
        <v>531</v>
      </c>
      <c r="G613" s="218" t="s">
        <v>532</v>
      </c>
      <c r="H613" s="221" t="s">
        <v>533</v>
      </c>
      <c r="I613" s="218" t="s">
        <v>534</v>
      </c>
      <c r="J613" s="218" t="s">
        <v>535</v>
      </c>
      <c r="K613" s="210" t="s">
        <v>536</v>
      </c>
      <c r="L613" s="211" t="s">
        <v>537</v>
      </c>
    </row>
    <row r="614" spans="1:14" s="202" customFormat="1" ht="12.6" customHeight="1" x14ac:dyDescent="0.2">
      <c r="A614" s="212">
        <v>8430</v>
      </c>
      <c r="B614" s="211" t="s">
        <v>165</v>
      </c>
      <c r="C614" s="217">
        <f>BE85</f>
        <v>393142</v>
      </c>
      <c r="D614" s="217"/>
      <c r="E614" s="219"/>
      <c r="F614" s="219"/>
      <c r="G614" s="217"/>
      <c r="H614" s="219"/>
      <c r="I614" s="217"/>
      <c r="J614" s="217"/>
      <c r="N614" s="213" t="s">
        <v>538</v>
      </c>
    </row>
    <row r="615" spans="1:14" s="202" customFormat="1" ht="12.6" customHeight="1" x14ac:dyDescent="0.2">
      <c r="A615" s="212"/>
      <c r="B615" s="211" t="s">
        <v>539</v>
      </c>
      <c r="C615" s="217">
        <f>CD69-CD84</f>
        <v>201829</v>
      </c>
      <c r="D615" s="217">
        <f>SUM(C614:C615)</f>
        <v>594971</v>
      </c>
      <c r="E615" s="219"/>
      <c r="F615" s="219"/>
      <c r="G615" s="217"/>
      <c r="H615" s="219"/>
      <c r="I615" s="217"/>
      <c r="J615" s="217"/>
      <c r="N615" s="213" t="s">
        <v>540</v>
      </c>
    </row>
    <row r="616" spans="1:14" s="202" customFormat="1" ht="12.6" customHeight="1" x14ac:dyDescent="0.2">
      <c r="A616" s="212">
        <v>8310</v>
      </c>
      <c r="B616" s="216" t="s">
        <v>541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542</v>
      </c>
    </row>
    <row r="617" spans="1:14" s="202" customFormat="1" ht="12.6" customHeight="1" x14ac:dyDescent="0.2">
      <c r="A617" s="212">
        <v>8510</v>
      </c>
      <c r="B617" s="216" t="s">
        <v>170</v>
      </c>
      <c r="C617" s="217">
        <f>BJ85</f>
        <v>273488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543</v>
      </c>
    </row>
    <row r="618" spans="1:14" s="202" customFormat="1" ht="12.6" customHeight="1" x14ac:dyDescent="0.2">
      <c r="A618" s="212">
        <v>8470</v>
      </c>
      <c r="B618" s="216" t="s">
        <v>544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545</v>
      </c>
    </row>
    <row r="619" spans="1:14" s="202" customFormat="1" ht="12.6" customHeight="1" x14ac:dyDescent="0.2">
      <c r="A619" s="212">
        <v>8610</v>
      </c>
      <c r="B619" s="216" t="s">
        <v>546</v>
      </c>
      <c r="C619" s="217">
        <f>BN85</f>
        <v>614758</v>
      </c>
      <c r="D619" s="217">
        <f>(D615/D612)*BN90</f>
        <v>109970.21825192803</v>
      </c>
      <c r="E619" s="219"/>
      <c r="F619" s="219"/>
      <c r="G619" s="217"/>
      <c r="H619" s="219"/>
      <c r="I619" s="217"/>
      <c r="J619" s="217"/>
      <c r="N619" s="213" t="s">
        <v>547</v>
      </c>
    </row>
    <row r="620" spans="1:14" s="202" customFormat="1" ht="12.6" customHeight="1" x14ac:dyDescent="0.2">
      <c r="A620" s="212">
        <v>8790</v>
      </c>
      <c r="B620" s="216" t="s">
        <v>548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549</v>
      </c>
    </row>
    <row r="621" spans="1:14" s="202" customFormat="1" ht="12.6" customHeight="1" x14ac:dyDescent="0.2">
      <c r="A621" s="212">
        <v>8630</v>
      </c>
      <c r="B621" s="216" t="s">
        <v>550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551</v>
      </c>
    </row>
    <row r="622" spans="1:14" s="202" customFormat="1" ht="12.6" customHeight="1" x14ac:dyDescent="0.2">
      <c r="A622" s="212">
        <v>8770</v>
      </c>
      <c r="B622" s="211" t="s">
        <v>552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553</v>
      </c>
    </row>
    <row r="623" spans="1:14" s="202" customFormat="1" ht="12.6" customHeight="1" x14ac:dyDescent="0.2">
      <c r="A623" s="212">
        <v>8640</v>
      </c>
      <c r="B623" s="216" t="s">
        <v>554</v>
      </c>
      <c r="C623" s="217">
        <f>BQ85</f>
        <v>0</v>
      </c>
      <c r="D623" s="217">
        <f>(D615/D612)*BQ90</f>
        <v>0</v>
      </c>
      <c r="E623" s="219">
        <f>SUM(C616:D623)</f>
        <v>998216.21825192799</v>
      </c>
      <c r="F623" s="219"/>
      <c r="G623" s="217"/>
      <c r="H623" s="219"/>
      <c r="I623" s="217"/>
      <c r="J623" s="217"/>
      <c r="N623" s="213" t="s">
        <v>555</v>
      </c>
    </row>
    <row r="624" spans="1:14" s="202" customFormat="1" ht="12.6" customHeight="1" x14ac:dyDescent="0.2">
      <c r="A624" s="212">
        <v>8420</v>
      </c>
      <c r="B624" s="216" t="s">
        <v>164</v>
      </c>
      <c r="C624" s="217">
        <f>BD85</f>
        <v>0</v>
      </c>
      <c r="D624" s="217">
        <f>(D615/D612)*BD90</f>
        <v>0</v>
      </c>
      <c r="E624" s="219">
        <f>(E623/E612)*SUM(C624:D624)</f>
        <v>0</v>
      </c>
      <c r="F624" s="219">
        <f>SUM(C624:E624)</f>
        <v>0</v>
      </c>
      <c r="G624" s="217"/>
      <c r="H624" s="219"/>
      <c r="I624" s="217"/>
      <c r="J624" s="217"/>
      <c r="N624" s="213" t="s">
        <v>556</v>
      </c>
    </row>
    <row r="625" spans="1:14" s="202" customFormat="1" ht="12.6" customHeight="1" x14ac:dyDescent="0.2">
      <c r="A625" s="212">
        <v>8320</v>
      </c>
      <c r="B625" s="216" t="s">
        <v>160</v>
      </c>
      <c r="C625" s="217">
        <f>AY85</f>
        <v>454282</v>
      </c>
      <c r="D625" s="217">
        <f>(D615/D612)*AY90</f>
        <v>34749.977172236504</v>
      </c>
      <c r="E625" s="219">
        <f>(E623/E612)*SUM(C625:D625)</f>
        <v>47596.31530446664</v>
      </c>
      <c r="F625" s="219">
        <f>(F624/F612)*AY64</f>
        <v>0</v>
      </c>
      <c r="G625" s="217">
        <f>SUM(C625:F625)</f>
        <v>536628.29247670318</v>
      </c>
      <c r="H625" s="219"/>
      <c r="I625" s="217"/>
      <c r="J625" s="217"/>
      <c r="N625" s="213" t="s">
        <v>557</v>
      </c>
    </row>
    <row r="626" spans="1:14" s="202" customFormat="1" ht="12.6" customHeight="1" x14ac:dyDescent="0.2">
      <c r="A626" s="212">
        <v>8650</v>
      </c>
      <c r="B626" s="216" t="s">
        <v>177</v>
      </c>
      <c r="C626" s="217">
        <f>BR85</f>
        <v>144288</v>
      </c>
      <c r="D626" s="217">
        <f>(D615/D612)*BR90</f>
        <v>0</v>
      </c>
      <c r="E626" s="219">
        <f>(E623/E612)*SUM(C626:D626)</f>
        <v>14043.206708816366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558</v>
      </c>
    </row>
    <row r="627" spans="1:14" s="202" customFormat="1" ht="12.6" customHeight="1" x14ac:dyDescent="0.2">
      <c r="A627" s="212">
        <v>8620</v>
      </c>
      <c r="B627" s="211" t="s">
        <v>559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560</v>
      </c>
    </row>
    <row r="628" spans="1:14" s="202" customFormat="1" ht="12.6" customHeight="1" x14ac:dyDescent="0.2">
      <c r="A628" s="212">
        <v>8330</v>
      </c>
      <c r="B628" s="216" t="s">
        <v>161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158331.20670881637</v>
      </c>
      <c r="I628" s="217"/>
      <c r="J628" s="217"/>
      <c r="N628" s="213" t="s">
        <v>561</v>
      </c>
    </row>
    <row r="629" spans="1:14" s="202" customFormat="1" ht="12.6" customHeight="1" x14ac:dyDescent="0.2">
      <c r="A629" s="212">
        <v>8460</v>
      </c>
      <c r="B629" s="216" t="s">
        <v>166</v>
      </c>
      <c r="C629" s="217">
        <f>BF85</f>
        <v>124800</v>
      </c>
      <c r="D629" s="217">
        <f>(D615/D612)*BF90</f>
        <v>6393.2616452442162</v>
      </c>
      <c r="E629" s="219">
        <f>(E623/E612)*SUM(C629:D629)</f>
        <v>12768.727074240367</v>
      </c>
      <c r="F629" s="219">
        <f>(F624/F612)*BF64</f>
        <v>0</v>
      </c>
      <c r="G629" s="217">
        <f>(G625/G612)*BF91</f>
        <v>0</v>
      </c>
      <c r="H629" s="219">
        <f>(H628/H612)*BF60</f>
        <v>7264.332621568783</v>
      </c>
      <c r="I629" s="217">
        <f>SUM(C629:H629)</f>
        <v>151226.32134105335</v>
      </c>
      <c r="J629" s="217"/>
      <c r="N629" s="213" t="s">
        <v>562</v>
      </c>
    </row>
    <row r="630" spans="1:14" s="202" customFormat="1" ht="12.6" customHeight="1" x14ac:dyDescent="0.2">
      <c r="A630" s="212">
        <v>8350</v>
      </c>
      <c r="B630" s="216" t="s">
        <v>563</v>
      </c>
      <c r="C630" s="217">
        <f>BA85</f>
        <v>79243</v>
      </c>
      <c r="D630" s="217">
        <f>(D615/D612)*BA90</f>
        <v>22728.198097686378</v>
      </c>
      <c r="E630" s="219">
        <f>(E623/E612)*SUM(C630:D630)</f>
        <v>9924.6133651549117</v>
      </c>
      <c r="F630" s="219">
        <f>(F624/F612)*BA64</f>
        <v>0</v>
      </c>
      <c r="G630" s="217">
        <f>(G625/G612)*BA91</f>
        <v>0</v>
      </c>
      <c r="H630" s="219">
        <f>(H628/H612)*BA60</f>
        <v>3358.7774486823405</v>
      </c>
      <c r="I630" s="217">
        <f>(I629/I612)*BA92</f>
        <v>7743.7048074708919</v>
      </c>
      <c r="J630" s="217">
        <f>SUM(C630:I630)</f>
        <v>122998.29371899452</v>
      </c>
      <c r="N630" s="213" t="s">
        <v>564</v>
      </c>
    </row>
    <row r="631" spans="1:14" s="202" customFormat="1" ht="12.6" customHeight="1" x14ac:dyDescent="0.2">
      <c r="A631" s="212">
        <v>8200</v>
      </c>
      <c r="B631" s="216" t="s">
        <v>565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566</v>
      </c>
    </row>
    <row r="632" spans="1:14" s="202" customFormat="1" ht="12.6" customHeight="1" x14ac:dyDescent="0.2">
      <c r="A632" s="212">
        <v>8360</v>
      </c>
      <c r="B632" s="216" t="s">
        <v>567</v>
      </c>
      <c r="C632" s="217">
        <f>BB85</f>
        <v>145723</v>
      </c>
      <c r="D632" s="217">
        <f>(D615/D612)*BB90</f>
        <v>0</v>
      </c>
      <c r="E632" s="219">
        <f>(E623/E612)*SUM(C632:D632)</f>
        <v>14182.871834309486</v>
      </c>
      <c r="F632" s="219">
        <f>(F624/F612)*BB64</f>
        <v>0</v>
      </c>
      <c r="G632" s="217">
        <f>(G625/G612)*BB91</f>
        <v>0</v>
      </c>
      <c r="H632" s="219">
        <f>(H628/H612)*BB60</f>
        <v>4842.8884143791893</v>
      </c>
      <c r="I632" s="217">
        <f>(I629/I612)*BB92</f>
        <v>0</v>
      </c>
      <c r="J632" s="217">
        <f>(J630/J612)*BB93</f>
        <v>0</v>
      </c>
      <c r="N632" s="213" t="s">
        <v>568</v>
      </c>
    </row>
    <row r="633" spans="1:14" s="202" customFormat="1" ht="12.6" customHeight="1" x14ac:dyDescent="0.2">
      <c r="A633" s="212">
        <v>8370</v>
      </c>
      <c r="B633" s="216" t="s">
        <v>569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570</v>
      </c>
    </row>
    <row r="634" spans="1:14" s="202" customFormat="1" ht="12.6" customHeight="1" x14ac:dyDescent="0.2">
      <c r="A634" s="212">
        <v>8490</v>
      </c>
      <c r="B634" s="216" t="s">
        <v>571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572</v>
      </c>
    </row>
    <row r="635" spans="1:14" s="202" customFormat="1" ht="12.6" customHeight="1" x14ac:dyDescent="0.2">
      <c r="A635" s="212">
        <v>8530</v>
      </c>
      <c r="B635" s="216" t="s">
        <v>573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>
        <f>(G625/G612)*BK91</f>
        <v>0</v>
      </c>
      <c r="H635" s="219">
        <f>(H628/H612)*BK60</f>
        <v>0</v>
      </c>
      <c r="I635" s="217">
        <f>(I629/I612)*BK92</f>
        <v>0</v>
      </c>
      <c r="J635" s="217">
        <f>(J630/J612)*BK93</f>
        <v>0</v>
      </c>
      <c r="N635" s="213" t="s">
        <v>574</v>
      </c>
    </row>
    <row r="636" spans="1:14" s="202" customFormat="1" ht="12.6" customHeight="1" x14ac:dyDescent="0.2">
      <c r="A636" s="212">
        <v>8480</v>
      </c>
      <c r="B636" s="216" t="s">
        <v>575</v>
      </c>
      <c r="C636" s="217">
        <f>BH85</f>
        <v>267452</v>
      </c>
      <c r="D636" s="217">
        <f>(D615/D612)*BH90</f>
        <v>0</v>
      </c>
      <c r="E636" s="219">
        <f>(E623/E612)*SUM(C636:D636)</f>
        <v>26030.464908283117</v>
      </c>
      <c r="F636" s="219">
        <f>(F624/F612)*BH64</f>
        <v>0</v>
      </c>
      <c r="G636" s="217">
        <f>(G625/G612)*BH91</f>
        <v>0</v>
      </c>
      <c r="H636" s="219">
        <f>(H628/H612)*BH60</f>
        <v>2577.6664141050519</v>
      </c>
      <c r="I636" s="217">
        <f>(I629/I612)*BH92</f>
        <v>0</v>
      </c>
      <c r="J636" s="217">
        <f>(J630/J612)*BH93</f>
        <v>0</v>
      </c>
      <c r="N636" s="213" t="s">
        <v>576</v>
      </c>
    </row>
    <row r="637" spans="1:14" s="202" customFormat="1" ht="12.6" customHeight="1" x14ac:dyDescent="0.2">
      <c r="A637" s="212">
        <v>8560</v>
      </c>
      <c r="B637" s="216" t="s">
        <v>172</v>
      </c>
      <c r="C637" s="217">
        <f>BL85</f>
        <v>0</v>
      </c>
      <c r="D637" s="217">
        <f>(D615/D612)*BL90</f>
        <v>0</v>
      </c>
      <c r="E637" s="219">
        <f>(E623/E612)*SUM(C637:D637)</f>
        <v>0</v>
      </c>
      <c r="F637" s="219">
        <f>(F624/F612)*BL64</f>
        <v>0</v>
      </c>
      <c r="G637" s="217">
        <f>(G625/G612)*BL91</f>
        <v>0</v>
      </c>
      <c r="H637" s="219">
        <f>(H628/H612)*BL60</f>
        <v>0</v>
      </c>
      <c r="I637" s="217">
        <f>(I629/I612)*BL92</f>
        <v>0</v>
      </c>
      <c r="J637" s="217">
        <f>(J630/J612)*BL93</f>
        <v>0</v>
      </c>
      <c r="N637" s="213" t="s">
        <v>577</v>
      </c>
    </row>
    <row r="638" spans="1:14" s="202" customFormat="1" ht="12.6" customHeight="1" x14ac:dyDescent="0.2">
      <c r="A638" s="212">
        <v>8590</v>
      </c>
      <c r="B638" s="216" t="s">
        <v>578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579</v>
      </c>
    </row>
    <row r="639" spans="1:14" s="202" customFormat="1" ht="12.6" customHeight="1" x14ac:dyDescent="0.2">
      <c r="A639" s="212">
        <v>8660</v>
      </c>
      <c r="B639" s="216" t="s">
        <v>580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581</v>
      </c>
    </row>
    <row r="640" spans="1:14" s="202" customFormat="1" ht="12.6" customHeight="1" x14ac:dyDescent="0.2">
      <c r="A640" s="212">
        <v>8670</v>
      </c>
      <c r="B640" s="216" t="s">
        <v>582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583</v>
      </c>
    </row>
    <row r="641" spans="1:14" s="202" customFormat="1" ht="12.6" customHeight="1" x14ac:dyDescent="0.2">
      <c r="A641" s="212">
        <v>8680</v>
      </c>
      <c r="B641" s="216" t="s">
        <v>584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585</v>
      </c>
    </row>
    <row r="642" spans="1:14" s="202" customFormat="1" ht="12.6" customHeight="1" x14ac:dyDescent="0.2">
      <c r="A642" s="212">
        <v>8690</v>
      </c>
      <c r="B642" s="216" t="s">
        <v>586</v>
      </c>
      <c r="C642" s="217">
        <f>BV85</f>
        <v>379891</v>
      </c>
      <c r="D642" s="217">
        <f>(D615/D612)*BV90</f>
        <v>10889.95763496144</v>
      </c>
      <c r="E642" s="219">
        <f>(E623/E612)*SUM(C642:D642)</f>
        <v>38033.778040703139</v>
      </c>
      <c r="F642" s="219">
        <f>(F624/F612)*BV64</f>
        <v>0</v>
      </c>
      <c r="G642" s="217">
        <f>(G625/G612)*BV91</f>
        <v>0</v>
      </c>
      <c r="H642" s="219">
        <f>(H628/H612)*BV60</f>
        <v>9425.4064838992817</v>
      </c>
      <c r="I642" s="217">
        <f>(I629/I612)*BV92</f>
        <v>3710.3080907935901</v>
      </c>
      <c r="J642" s="217">
        <f>(J630/J612)*BV93</f>
        <v>0</v>
      </c>
      <c r="N642" s="213" t="s">
        <v>587</v>
      </c>
    </row>
    <row r="643" spans="1:14" s="202" customFormat="1" ht="12.6" customHeight="1" x14ac:dyDescent="0.2">
      <c r="A643" s="212">
        <v>8700</v>
      </c>
      <c r="B643" s="216" t="s">
        <v>588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589</v>
      </c>
    </row>
    <row r="644" spans="1:14" s="202" customFormat="1" ht="12.6" customHeight="1" x14ac:dyDescent="0.2">
      <c r="A644" s="212">
        <v>8710</v>
      </c>
      <c r="B644" s="216" t="s">
        <v>590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902759.34182143433</v>
      </c>
      <c r="L644" s="219"/>
      <c r="N644" s="213" t="s">
        <v>591</v>
      </c>
    </row>
    <row r="645" spans="1:14" s="202" customFormat="1" ht="12.6" customHeight="1" x14ac:dyDescent="0.2">
      <c r="A645" s="212">
        <v>8720</v>
      </c>
      <c r="B645" s="216" t="s">
        <v>592</v>
      </c>
      <c r="C645" s="217">
        <f>BY85</f>
        <v>221815</v>
      </c>
      <c r="D645" s="217">
        <f>(D615/D612)*BY90</f>
        <v>6026.1844215938308</v>
      </c>
      <c r="E645" s="219">
        <f>(E623/E612)*SUM(C645:D645)</f>
        <v>22175.238755918668</v>
      </c>
      <c r="F645" s="219">
        <f>(F624/F612)*BY64</f>
        <v>0</v>
      </c>
      <c r="G645" s="217">
        <f>(G625/G612)*BY91</f>
        <v>0</v>
      </c>
      <c r="H645" s="219">
        <f>(H628/H612)*BY60</f>
        <v>2603.7034485909617</v>
      </c>
      <c r="I645" s="217">
        <f>(I629/I612)*BY92</f>
        <v>2053.1761064222956</v>
      </c>
      <c r="J645" s="217">
        <f>(J630/J612)*BY93</f>
        <v>0</v>
      </c>
      <c r="K645" s="219">
        <v>0</v>
      </c>
      <c r="L645" s="219"/>
      <c r="N645" s="213" t="s">
        <v>593</v>
      </c>
    </row>
    <row r="646" spans="1:14" s="202" customFormat="1" ht="12.6" customHeight="1" x14ac:dyDescent="0.2">
      <c r="A646" s="212">
        <v>8730</v>
      </c>
      <c r="B646" s="216" t="s">
        <v>594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595</v>
      </c>
    </row>
    <row r="647" spans="1:14" s="202" customFormat="1" ht="12.6" customHeight="1" x14ac:dyDescent="0.2">
      <c r="A647" s="212">
        <v>8740</v>
      </c>
      <c r="B647" s="216" t="s">
        <v>596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254673.30273252574</v>
      </c>
      <c r="N647" s="213" t="s">
        <v>597</v>
      </c>
    </row>
    <row r="648" spans="1:14" s="202" customFormat="1" ht="12.6" customHeight="1" x14ac:dyDescent="0.2">
      <c r="A648" s="212"/>
      <c r="B648" s="212"/>
      <c r="C648" s="202">
        <f>SUM(C614:C647)</f>
        <v>3300711</v>
      </c>
      <c r="L648" s="215"/>
    </row>
    <row r="666" spans="1:14" s="202" customFormat="1" ht="12.6" customHeight="1" x14ac:dyDescent="0.2">
      <c r="C666" s="210" t="s">
        <v>598</v>
      </c>
      <c r="M666" s="210" t="s">
        <v>599</v>
      </c>
    </row>
    <row r="667" spans="1:14" s="202" customFormat="1" ht="12.6" customHeight="1" x14ac:dyDescent="0.2">
      <c r="C667" s="210" t="s">
        <v>528</v>
      </c>
      <c r="D667" s="210" t="s">
        <v>529</v>
      </c>
      <c r="E667" s="211" t="s">
        <v>530</v>
      </c>
      <c r="F667" s="210" t="s">
        <v>531</v>
      </c>
      <c r="G667" s="210" t="s">
        <v>532</v>
      </c>
      <c r="H667" s="210" t="s">
        <v>533</v>
      </c>
      <c r="I667" s="210" t="s">
        <v>534</v>
      </c>
      <c r="J667" s="210" t="s">
        <v>535</v>
      </c>
      <c r="K667" s="210" t="s">
        <v>536</v>
      </c>
      <c r="L667" s="211" t="s">
        <v>537</v>
      </c>
      <c r="M667" s="210" t="s">
        <v>600</v>
      </c>
    </row>
    <row r="668" spans="1:14" s="202" customFormat="1" ht="12.6" customHeight="1" x14ac:dyDescent="0.2">
      <c r="A668" s="212">
        <v>6010</v>
      </c>
      <c r="B668" s="211" t="s">
        <v>327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19">ROUND(SUM(D668:L668),0)</f>
        <v>0</v>
      </c>
      <c r="N668" s="211" t="s">
        <v>601</v>
      </c>
    </row>
    <row r="669" spans="1:14" s="202" customFormat="1" ht="12.6" customHeight="1" x14ac:dyDescent="0.2">
      <c r="A669" s="212">
        <v>6030</v>
      </c>
      <c r="B669" s="211" t="s">
        <v>328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19"/>
        <v>0</v>
      </c>
      <c r="N669" s="211" t="s">
        <v>602</v>
      </c>
    </row>
    <row r="670" spans="1:14" s="202" customFormat="1" ht="12.6" customHeight="1" x14ac:dyDescent="0.2">
      <c r="A670" s="212">
        <v>6070</v>
      </c>
      <c r="B670" s="211" t="s">
        <v>603</v>
      </c>
      <c r="C670" s="217">
        <f>E85</f>
        <v>64022</v>
      </c>
      <c r="D670" s="217">
        <f>(D615/D612)*E90</f>
        <v>4527.2857583547557</v>
      </c>
      <c r="E670" s="219">
        <f>(E623/E612)*SUM(C670:D670)</f>
        <v>6671.7383957522297</v>
      </c>
      <c r="F670" s="219">
        <f>(F624/F612)*E64</f>
        <v>0</v>
      </c>
      <c r="G670" s="217">
        <f>(G625/G612)*E91</f>
        <v>7989.7363567209268</v>
      </c>
      <c r="H670" s="219">
        <f>(H628/H612)*E60</f>
        <v>1119.5924828941136</v>
      </c>
      <c r="I670" s="217">
        <f>(I629/I612)*E92</f>
        <v>1542.4876332512679</v>
      </c>
      <c r="J670" s="217">
        <f>(J630/J612)*E93</f>
        <v>1830.7701545855471</v>
      </c>
      <c r="K670" s="217">
        <f>(K644/K612)*E89</f>
        <v>19867.790690073158</v>
      </c>
      <c r="L670" s="217">
        <f>(L647/L612)*E94</f>
        <v>3509.1051013782403</v>
      </c>
      <c r="M670" s="202">
        <f t="shared" si="19"/>
        <v>47059</v>
      </c>
      <c r="N670" s="211" t="s">
        <v>604</v>
      </c>
    </row>
    <row r="671" spans="1:14" s="202" customFormat="1" ht="12.6" customHeight="1" x14ac:dyDescent="0.2">
      <c r="A671" s="212">
        <v>6100</v>
      </c>
      <c r="B671" s="211" t="s">
        <v>605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19"/>
        <v>0</v>
      </c>
      <c r="N671" s="211" t="s">
        <v>606</v>
      </c>
    </row>
    <row r="672" spans="1:14" s="202" customFormat="1" ht="12.6" customHeight="1" x14ac:dyDescent="0.2">
      <c r="A672" s="212">
        <v>6120</v>
      </c>
      <c r="B672" s="211" t="s">
        <v>607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19"/>
        <v>0</v>
      </c>
      <c r="N672" s="211" t="s">
        <v>608</v>
      </c>
    </row>
    <row r="673" spans="1:14" s="202" customFormat="1" ht="12.6" customHeight="1" x14ac:dyDescent="0.2">
      <c r="A673" s="212">
        <v>6140</v>
      </c>
      <c r="B673" s="211" t="s">
        <v>609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19"/>
        <v>0</v>
      </c>
      <c r="N673" s="211" t="s">
        <v>610</v>
      </c>
    </row>
    <row r="674" spans="1:14" s="202" customFormat="1" ht="12.6" customHeight="1" x14ac:dyDescent="0.2">
      <c r="A674" s="212">
        <v>6150</v>
      </c>
      <c r="B674" s="211" t="s">
        <v>611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19"/>
        <v>0</v>
      </c>
      <c r="N674" s="211" t="s">
        <v>612</v>
      </c>
    </row>
    <row r="675" spans="1:14" s="202" customFormat="1" ht="12.6" customHeight="1" x14ac:dyDescent="0.2">
      <c r="A675" s="212">
        <v>6170</v>
      </c>
      <c r="B675" s="211" t="s">
        <v>123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19"/>
        <v>0</v>
      </c>
      <c r="N675" s="211" t="s">
        <v>613</v>
      </c>
    </row>
    <row r="676" spans="1:14" s="202" customFormat="1" ht="12.6" customHeight="1" x14ac:dyDescent="0.2">
      <c r="A676" s="212">
        <v>6200</v>
      </c>
      <c r="B676" s="211" t="s">
        <v>333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19"/>
        <v>0</v>
      </c>
      <c r="N676" s="211" t="s">
        <v>614</v>
      </c>
    </row>
    <row r="677" spans="1:14" s="202" customFormat="1" ht="12.6" customHeight="1" x14ac:dyDescent="0.2">
      <c r="A677" s="212">
        <v>6210</v>
      </c>
      <c r="B677" s="211" t="s">
        <v>334</v>
      </c>
      <c r="C677" s="217">
        <f>L85</f>
        <v>4220427</v>
      </c>
      <c r="D677" s="217">
        <f>(D615/D612)*L90</f>
        <v>298800.86005141388</v>
      </c>
      <c r="E677" s="219">
        <f>(E623/E612)*SUM(C677:D677)</f>
        <v>439845.66286138725</v>
      </c>
      <c r="F677" s="219">
        <f>(F624/F612)*L64</f>
        <v>0</v>
      </c>
      <c r="G677" s="217">
        <f>(G625/G612)*L91</f>
        <v>526539.29205762816</v>
      </c>
      <c r="H677" s="219">
        <f>(H628/H612)*L60</f>
        <v>74257.622353814222</v>
      </c>
      <c r="I677" s="217">
        <f>(I629/I612)*L92</f>
        <v>101804.18379458367</v>
      </c>
      <c r="J677" s="217">
        <f>(J630/J612)*L93</f>
        <v>120683.52685687486</v>
      </c>
      <c r="K677" s="217">
        <f>(K644/K612)*L89</f>
        <v>165662.42456733799</v>
      </c>
      <c r="L677" s="217">
        <f>(L647/L612)*L94</f>
        <v>233092.3063590496</v>
      </c>
      <c r="M677" s="202">
        <f t="shared" si="19"/>
        <v>1960686</v>
      </c>
      <c r="N677" s="211" t="s">
        <v>615</v>
      </c>
    </row>
    <row r="678" spans="1:14" s="202" customFormat="1" ht="12.6" customHeight="1" x14ac:dyDescent="0.2">
      <c r="A678" s="212">
        <v>6330</v>
      </c>
      <c r="B678" s="211" t="s">
        <v>616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19"/>
        <v>0</v>
      </c>
      <c r="N678" s="211" t="s">
        <v>617</v>
      </c>
    </row>
    <row r="679" spans="1:14" s="202" customFormat="1" ht="12.6" customHeight="1" x14ac:dyDescent="0.2">
      <c r="A679" s="212">
        <v>6400</v>
      </c>
      <c r="B679" s="211" t="s">
        <v>618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19"/>
        <v>0</v>
      </c>
      <c r="N679" s="211" t="s">
        <v>619</v>
      </c>
    </row>
    <row r="680" spans="1:14" s="202" customFormat="1" ht="12.6" customHeight="1" x14ac:dyDescent="0.2">
      <c r="A680" s="212">
        <v>7010</v>
      </c>
      <c r="B680" s="211" t="s">
        <v>620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19"/>
        <v>0</v>
      </c>
      <c r="N680" s="211" t="s">
        <v>621</v>
      </c>
    </row>
    <row r="681" spans="1:14" s="202" customFormat="1" ht="12.6" customHeight="1" x14ac:dyDescent="0.2">
      <c r="A681" s="212">
        <v>7020</v>
      </c>
      <c r="B681" s="211" t="s">
        <v>622</v>
      </c>
      <c r="C681" s="217">
        <f>P85</f>
        <v>0</v>
      </c>
      <c r="D681" s="217">
        <f>(D615/D612)*P90</f>
        <v>0</v>
      </c>
      <c r="E681" s="219">
        <f>(E623/E612)*SUM(C681:D681)</f>
        <v>0</v>
      </c>
      <c r="F681" s="219">
        <f>(F624/F612)*P64</f>
        <v>0</v>
      </c>
      <c r="G681" s="217">
        <f>(G625/G612)*P91</f>
        <v>0</v>
      </c>
      <c r="H681" s="219">
        <f>(H628/H612)*P60</f>
        <v>0</v>
      </c>
      <c r="I681" s="217">
        <f>(I629/I612)*P92</f>
        <v>0</v>
      </c>
      <c r="J681" s="217">
        <f>(J630/J612)*P93</f>
        <v>0</v>
      </c>
      <c r="K681" s="217">
        <f>(K644/K612)*P89</f>
        <v>0</v>
      </c>
      <c r="L681" s="217">
        <f>(L647/L612)*P94</f>
        <v>0</v>
      </c>
      <c r="M681" s="202">
        <f t="shared" si="19"/>
        <v>0</v>
      </c>
      <c r="N681" s="211" t="s">
        <v>623</v>
      </c>
    </row>
    <row r="682" spans="1:14" s="202" customFormat="1" ht="12.6" customHeight="1" x14ac:dyDescent="0.2">
      <c r="A682" s="212">
        <v>7030</v>
      </c>
      <c r="B682" s="211" t="s">
        <v>624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0</v>
      </c>
      <c r="L682" s="217">
        <f>(L647/L612)*Q94</f>
        <v>0</v>
      </c>
      <c r="M682" s="202">
        <f t="shared" si="19"/>
        <v>0</v>
      </c>
      <c r="N682" s="211" t="s">
        <v>625</v>
      </c>
    </row>
    <row r="683" spans="1:14" s="202" customFormat="1" ht="12.6" customHeight="1" x14ac:dyDescent="0.2">
      <c r="A683" s="212">
        <v>7040</v>
      </c>
      <c r="B683" s="211" t="s">
        <v>131</v>
      </c>
      <c r="C683" s="217">
        <f>R85</f>
        <v>0</v>
      </c>
      <c r="D683" s="217">
        <f>(D615/D612)*R90</f>
        <v>0</v>
      </c>
      <c r="E683" s="219">
        <f>(E623/E612)*SUM(C683:D683)</f>
        <v>0</v>
      </c>
      <c r="F683" s="219">
        <f>(F624/F612)*R64</f>
        <v>0</v>
      </c>
      <c r="G683" s="217">
        <f>(G625/G612)*R91</f>
        <v>0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>
        <f>(K644/K612)*R89</f>
        <v>0</v>
      </c>
      <c r="L683" s="217">
        <f>(L647/L612)*R94</f>
        <v>0</v>
      </c>
      <c r="M683" s="202">
        <f t="shared" si="19"/>
        <v>0</v>
      </c>
      <c r="N683" s="211" t="s">
        <v>626</v>
      </c>
    </row>
    <row r="684" spans="1:14" s="202" customFormat="1" ht="12.6" customHeight="1" x14ac:dyDescent="0.2">
      <c r="A684" s="212">
        <v>7050</v>
      </c>
      <c r="B684" s="211" t="s">
        <v>627</v>
      </c>
      <c r="C684" s="217">
        <f>S85</f>
        <v>74941</v>
      </c>
      <c r="D684" s="217">
        <f>(D615/D612)*S90</f>
        <v>8779.2635989717219</v>
      </c>
      <c r="E684" s="219">
        <f>(E623/E612)*SUM(C684:D684)</f>
        <v>8148.2934647160837</v>
      </c>
      <c r="F684" s="219">
        <f>(F624/F612)*S64</f>
        <v>0</v>
      </c>
      <c r="G684" s="217">
        <f>(G625/G612)*S91</f>
        <v>0</v>
      </c>
      <c r="H684" s="219">
        <f>(H628/H612)*S60</f>
        <v>2603.7034485909617</v>
      </c>
      <c r="I684" s="217">
        <f>(I629/I612)*S92</f>
        <v>2991.1753428588772</v>
      </c>
      <c r="J684" s="217">
        <f>(J630/J612)*S93</f>
        <v>0</v>
      </c>
      <c r="K684" s="217">
        <f>(K644/K612)*S89</f>
        <v>3646.2220344483603</v>
      </c>
      <c r="L684" s="217">
        <f>(L647/L612)*S94</f>
        <v>0</v>
      </c>
      <c r="M684" s="202">
        <f t="shared" si="19"/>
        <v>26169</v>
      </c>
      <c r="N684" s="211" t="s">
        <v>628</v>
      </c>
    </row>
    <row r="685" spans="1:14" s="202" customFormat="1" ht="12.6" customHeight="1" x14ac:dyDescent="0.2">
      <c r="A685" s="212">
        <v>7060</v>
      </c>
      <c r="B685" s="211" t="s">
        <v>629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19"/>
        <v>0</v>
      </c>
      <c r="N685" s="211" t="s">
        <v>630</v>
      </c>
    </row>
    <row r="686" spans="1:14" s="202" customFormat="1" ht="12.6" customHeight="1" x14ac:dyDescent="0.2">
      <c r="A686" s="212">
        <v>7070</v>
      </c>
      <c r="B686" s="211" t="s">
        <v>134</v>
      </c>
      <c r="C686" s="217">
        <f>U85</f>
        <v>719454</v>
      </c>
      <c r="D686" s="217">
        <f>(D615/D612)*U90</f>
        <v>18017.373727506427</v>
      </c>
      <c r="E686" s="219">
        <f>(E623/E612)*SUM(C686:D686)</f>
        <v>71776.328891454163</v>
      </c>
      <c r="F686" s="219">
        <f>(F624/F612)*U64</f>
        <v>0</v>
      </c>
      <c r="G686" s="217">
        <f>(G625/G612)*U91</f>
        <v>0</v>
      </c>
      <c r="H686" s="219">
        <f>(H628/H612)*U60</f>
        <v>14007.924553419374</v>
      </c>
      <c r="I686" s="217">
        <f>(I629/I612)*U92</f>
        <v>6138.6838917905188</v>
      </c>
      <c r="J686" s="217">
        <f>(J630/J612)*U93</f>
        <v>0</v>
      </c>
      <c r="K686" s="217">
        <f>(K644/K612)*U89</f>
        <v>126287.56803142212</v>
      </c>
      <c r="L686" s="217">
        <f>(L647/L612)*U94</f>
        <v>0</v>
      </c>
      <c r="M686" s="202">
        <f t="shared" si="19"/>
        <v>236228</v>
      </c>
      <c r="N686" s="211" t="s">
        <v>631</v>
      </c>
    </row>
    <row r="687" spans="1:14" s="202" customFormat="1" ht="12.6" customHeight="1" x14ac:dyDescent="0.2">
      <c r="A687" s="212">
        <v>7110</v>
      </c>
      <c r="B687" s="211" t="s">
        <v>632</v>
      </c>
      <c r="C687" s="217">
        <f>V85</f>
        <v>7447</v>
      </c>
      <c r="D687" s="217">
        <f>(D615/D612)*V90</f>
        <v>428.2567609254499</v>
      </c>
      <c r="E687" s="219">
        <f>(E623/E612)*SUM(C687:D687)</f>
        <v>766.47994690258179</v>
      </c>
      <c r="F687" s="219">
        <f>(F624/F612)*V64</f>
        <v>0</v>
      </c>
      <c r="G687" s="217">
        <f>(G625/G612)*V91</f>
        <v>0</v>
      </c>
      <c r="H687" s="219">
        <f>(H628/H612)*V60</f>
        <v>78.111103457728845</v>
      </c>
      <c r="I687" s="217">
        <f>(I629/I612)*V92</f>
        <v>145.91099233457939</v>
      </c>
      <c r="J687" s="217">
        <f>(J630/J612)*V93</f>
        <v>0</v>
      </c>
      <c r="K687" s="217">
        <f>(K644/K612)*V89</f>
        <v>8286.8257647116334</v>
      </c>
      <c r="L687" s="217">
        <f>(L647/L612)*V94</f>
        <v>0</v>
      </c>
      <c r="M687" s="202">
        <f t="shared" si="19"/>
        <v>9706</v>
      </c>
      <c r="N687" s="211" t="s">
        <v>633</v>
      </c>
    </row>
    <row r="688" spans="1:14" s="202" customFormat="1" ht="12.6" customHeight="1" x14ac:dyDescent="0.2">
      <c r="A688" s="212">
        <v>7120</v>
      </c>
      <c r="B688" s="211" t="s">
        <v>634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>
        <f>(F624/F612)*W64</f>
        <v>0</v>
      </c>
      <c r="G688" s="217">
        <f>(G625/G612)*W91</f>
        <v>0</v>
      </c>
      <c r="H688" s="219">
        <f>(H628/H612)*W60</f>
        <v>0</v>
      </c>
      <c r="I688" s="217">
        <f>(I629/I612)*W92</f>
        <v>0</v>
      </c>
      <c r="J688" s="217">
        <f>(J630/J612)*W93</f>
        <v>0</v>
      </c>
      <c r="K688" s="217">
        <f>(K644/K612)*W89</f>
        <v>0</v>
      </c>
      <c r="L688" s="217">
        <f>(L647/L612)*W94</f>
        <v>0</v>
      </c>
      <c r="M688" s="202">
        <f t="shared" si="19"/>
        <v>0</v>
      </c>
      <c r="N688" s="211" t="s">
        <v>635</v>
      </c>
    </row>
    <row r="689" spans="1:14" s="202" customFormat="1" ht="12.6" customHeight="1" x14ac:dyDescent="0.2">
      <c r="A689" s="212">
        <v>7130</v>
      </c>
      <c r="B689" s="211" t="s">
        <v>636</v>
      </c>
      <c r="C689" s="217">
        <f>X85</f>
        <v>0</v>
      </c>
      <c r="D689" s="217">
        <f>(D615/D612)*X90</f>
        <v>0</v>
      </c>
      <c r="E689" s="219">
        <f>(E623/E612)*SUM(C689:D689)</f>
        <v>0</v>
      </c>
      <c r="F689" s="219">
        <f>(F624/F612)*X64</f>
        <v>0</v>
      </c>
      <c r="G689" s="217">
        <f>(G625/G612)*X91</f>
        <v>0</v>
      </c>
      <c r="H689" s="219">
        <f>(H628/H612)*X60</f>
        <v>0</v>
      </c>
      <c r="I689" s="217">
        <f>(I629/I612)*X92</f>
        <v>0</v>
      </c>
      <c r="J689" s="217">
        <f>(J630/J612)*X93</f>
        <v>0</v>
      </c>
      <c r="K689" s="217">
        <f>(K644/K612)*X89</f>
        <v>0</v>
      </c>
      <c r="L689" s="217">
        <f>(L647/L612)*X94</f>
        <v>0</v>
      </c>
      <c r="M689" s="202">
        <f t="shared" si="19"/>
        <v>0</v>
      </c>
      <c r="N689" s="211" t="s">
        <v>637</v>
      </c>
    </row>
    <row r="690" spans="1:14" s="202" customFormat="1" ht="12.6" customHeight="1" x14ac:dyDescent="0.2">
      <c r="A690" s="212">
        <v>7140</v>
      </c>
      <c r="B690" s="211" t="s">
        <v>638</v>
      </c>
      <c r="C690" s="217">
        <f>Y85</f>
        <v>456063</v>
      </c>
      <c r="D690" s="217">
        <f>(D615/D612)*Y90</f>
        <v>4404.9266838046278</v>
      </c>
      <c r="E690" s="219">
        <f>(E623/E612)*SUM(C690:D690)</f>
        <v>44816.244436133056</v>
      </c>
      <c r="F690" s="219">
        <f>(F624/F612)*Y64</f>
        <v>0</v>
      </c>
      <c r="G690" s="217">
        <f>(G625/G612)*Y91</f>
        <v>0</v>
      </c>
      <c r="H690" s="219">
        <f>(H628/H612)*Y60</f>
        <v>13825.665312018005</v>
      </c>
      <c r="I690" s="217">
        <f>(I629/I612)*Y92</f>
        <v>1500.7987782985308</v>
      </c>
      <c r="J690" s="217">
        <f>(J630/J612)*Y93</f>
        <v>0</v>
      </c>
      <c r="K690" s="217">
        <f>(K644/K612)*Y89</f>
        <v>84430.903531978765</v>
      </c>
      <c r="L690" s="217">
        <f>(L647/L612)*Y94</f>
        <v>0</v>
      </c>
      <c r="M690" s="202">
        <f t="shared" si="19"/>
        <v>148979</v>
      </c>
      <c r="N690" s="211" t="s">
        <v>639</v>
      </c>
    </row>
    <row r="691" spans="1:14" s="202" customFormat="1" ht="12.6" customHeight="1" x14ac:dyDescent="0.2">
      <c r="A691" s="212">
        <v>7150</v>
      </c>
      <c r="B691" s="211" t="s">
        <v>640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19"/>
        <v>0</v>
      </c>
      <c r="N691" s="211" t="s">
        <v>641</v>
      </c>
    </row>
    <row r="692" spans="1:14" s="202" customFormat="1" ht="12.6" customHeight="1" x14ac:dyDescent="0.2">
      <c r="A692" s="212">
        <v>7160</v>
      </c>
      <c r="B692" s="211" t="s">
        <v>642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19"/>
        <v>0</v>
      </c>
      <c r="N692" s="211" t="s">
        <v>643</v>
      </c>
    </row>
    <row r="693" spans="1:14" s="202" customFormat="1" ht="12.6" customHeight="1" x14ac:dyDescent="0.2">
      <c r="A693" s="212">
        <v>7170</v>
      </c>
      <c r="B693" s="211" t="s">
        <v>140</v>
      </c>
      <c r="C693" s="217">
        <f>AB85</f>
        <v>386129</v>
      </c>
      <c r="D693" s="217">
        <f>(D615/D612)*AB90</f>
        <v>1743.6168123393318</v>
      </c>
      <c r="E693" s="219">
        <f>(E623/E612)*SUM(C693:D693)</f>
        <v>37750.716168948238</v>
      </c>
      <c r="F693" s="219">
        <f>(F624/F612)*AB64</f>
        <v>0</v>
      </c>
      <c r="G693" s="217">
        <f>(G625/G612)*AB91</f>
        <v>0</v>
      </c>
      <c r="H693" s="219">
        <f>(H628/H612)*AB60</f>
        <v>0</v>
      </c>
      <c r="I693" s="217">
        <f>(I629/I612)*AB92</f>
        <v>594.06618307650183</v>
      </c>
      <c r="J693" s="217">
        <f>(J630/J612)*AB93</f>
        <v>0</v>
      </c>
      <c r="K693" s="217">
        <f>(K644/K612)*AB89</f>
        <v>99454.288404772946</v>
      </c>
      <c r="L693" s="217">
        <f>(L647/L612)*AB94</f>
        <v>0</v>
      </c>
      <c r="M693" s="202">
        <f t="shared" si="19"/>
        <v>139543</v>
      </c>
      <c r="N693" s="211" t="s">
        <v>644</v>
      </c>
    </row>
    <row r="694" spans="1:14" s="202" customFormat="1" ht="12.6" customHeight="1" x14ac:dyDescent="0.2">
      <c r="A694" s="212">
        <v>7180</v>
      </c>
      <c r="B694" s="211" t="s">
        <v>645</v>
      </c>
      <c r="C694" s="217">
        <f>AC85</f>
        <v>0</v>
      </c>
      <c r="D694" s="217">
        <f>(D615/D612)*AC90</f>
        <v>0</v>
      </c>
      <c r="E694" s="219">
        <f>(E623/E612)*SUM(C694:D694)</f>
        <v>0</v>
      </c>
      <c r="F694" s="219">
        <f>(F624/F612)*AC64</f>
        <v>0</v>
      </c>
      <c r="G694" s="217">
        <f>(G625/G612)*AC91</f>
        <v>0</v>
      </c>
      <c r="H694" s="219">
        <f>(H628/H612)*AC60</f>
        <v>0</v>
      </c>
      <c r="I694" s="217">
        <f>(I629/I612)*AC92</f>
        <v>0</v>
      </c>
      <c r="J694" s="217">
        <f>(J630/J612)*AC93</f>
        <v>0</v>
      </c>
      <c r="K694" s="217">
        <f>(K644/K612)*AC89</f>
        <v>0</v>
      </c>
      <c r="L694" s="217">
        <f>(L647/L612)*AC94</f>
        <v>0</v>
      </c>
      <c r="M694" s="202">
        <f t="shared" si="19"/>
        <v>0</v>
      </c>
      <c r="N694" s="211" t="s">
        <v>646</v>
      </c>
    </row>
    <row r="695" spans="1:14" s="202" customFormat="1" ht="12.6" customHeight="1" x14ac:dyDescent="0.2">
      <c r="A695" s="212">
        <v>7190</v>
      </c>
      <c r="B695" s="211" t="s">
        <v>142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19"/>
        <v>0</v>
      </c>
      <c r="N695" s="211" t="s">
        <v>647</v>
      </c>
    </row>
    <row r="696" spans="1:14" s="202" customFormat="1" ht="12.6" customHeight="1" x14ac:dyDescent="0.2">
      <c r="A696" s="212">
        <v>7200</v>
      </c>
      <c r="B696" s="211" t="s">
        <v>648</v>
      </c>
      <c r="C696" s="217">
        <f>AE85</f>
        <v>228680</v>
      </c>
      <c r="D696" s="217">
        <f>(D615/D612)*AE90</f>
        <v>15325.4740874036</v>
      </c>
      <c r="E696" s="219">
        <f>(E623/E612)*SUM(C696:D696)</f>
        <v>23748.470494373363</v>
      </c>
      <c r="F696" s="219">
        <f>(F624/F612)*AE64</f>
        <v>0</v>
      </c>
      <c r="G696" s="217">
        <f>(G625/G612)*AE91</f>
        <v>0</v>
      </c>
      <c r="H696" s="219">
        <f>(H628/H612)*AE60</f>
        <v>2864.073793450058</v>
      </c>
      <c r="I696" s="217">
        <f>(I629/I612)*AE92</f>
        <v>5221.529082830305</v>
      </c>
      <c r="J696" s="217">
        <f>(J630/J612)*AE93</f>
        <v>0</v>
      </c>
      <c r="K696" s="217">
        <f>(K644/K612)*AE89</f>
        <v>58680.750866134738</v>
      </c>
      <c r="L696" s="217">
        <f>(L647/L612)*AE94</f>
        <v>0</v>
      </c>
      <c r="M696" s="202">
        <f t="shared" si="19"/>
        <v>105840</v>
      </c>
      <c r="N696" s="211" t="s">
        <v>649</v>
      </c>
    </row>
    <row r="697" spans="1:14" s="202" customFormat="1" ht="12.6" customHeight="1" x14ac:dyDescent="0.2">
      <c r="A697" s="212">
        <v>7220</v>
      </c>
      <c r="B697" s="211" t="s">
        <v>650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19"/>
        <v>0</v>
      </c>
      <c r="N697" s="211" t="s">
        <v>651</v>
      </c>
    </row>
    <row r="698" spans="1:14" s="202" customFormat="1" ht="12.6" customHeight="1" x14ac:dyDescent="0.2">
      <c r="A698" s="212">
        <v>7230</v>
      </c>
      <c r="B698" s="211" t="s">
        <v>652</v>
      </c>
      <c r="C698" s="217">
        <f>AG85</f>
        <v>944084</v>
      </c>
      <c r="D698" s="217">
        <f>(D615/D612)*AG90</f>
        <v>19302.144010282776</v>
      </c>
      <c r="E698" s="219">
        <f>(E623/E612)*SUM(C698:D698)</f>
        <v>93764.074356467157</v>
      </c>
      <c r="F698" s="219">
        <f>(F624/F612)*AG64</f>
        <v>0</v>
      </c>
      <c r="G698" s="217">
        <f>(G625/G612)*AG91</f>
        <v>0</v>
      </c>
      <c r="H698" s="219">
        <f>(H628/H612)*AG60</f>
        <v>6248.8882766183078</v>
      </c>
      <c r="I698" s="217">
        <f>(I629/I612)*AG92</f>
        <v>6576.4168687942565</v>
      </c>
      <c r="J698" s="217">
        <f>(J630/J612)*AG93</f>
        <v>0</v>
      </c>
      <c r="K698" s="217">
        <f>(K644/K612)*AG89</f>
        <v>199285.41463394076</v>
      </c>
      <c r="L698" s="217">
        <f>(L647/L612)*AG94</f>
        <v>0</v>
      </c>
      <c r="M698" s="202">
        <f t="shared" si="19"/>
        <v>325177</v>
      </c>
      <c r="N698" s="211" t="s">
        <v>653</v>
      </c>
    </row>
    <row r="699" spans="1:14" s="202" customFormat="1" ht="12.6" customHeight="1" x14ac:dyDescent="0.2">
      <c r="A699" s="212">
        <v>7240</v>
      </c>
      <c r="B699" s="211" t="s">
        <v>144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19"/>
        <v>0</v>
      </c>
      <c r="N699" s="211" t="s">
        <v>654</v>
      </c>
    </row>
    <row r="700" spans="1:14" s="202" customFormat="1" ht="12.6" customHeight="1" x14ac:dyDescent="0.2">
      <c r="A700" s="212">
        <v>7250</v>
      </c>
      <c r="B700" s="211" t="s">
        <v>655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19"/>
        <v>0</v>
      </c>
      <c r="N700" s="211" t="s">
        <v>656</v>
      </c>
    </row>
    <row r="701" spans="1:14" s="202" customFormat="1" ht="12.6" customHeight="1" x14ac:dyDescent="0.2">
      <c r="A701" s="212">
        <v>7260</v>
      </c>
      <c r="B701" s="211" t="s">
        <v>146</v>
      </c>
      <c r="C701" s="217">
        <f>AJ85</f>
        <v>835585</v>
      </c>
      <c r="D701" s="217">
        <f>(D615/D612)*AJ90</f>
        <v>31691.000308483293</v>
      </c>
      <c r="E701" s="219">
        <f>(E623/E612)*SUM(C701:D701)</f>
        <v>84409.903428750244</v>
      </c>
      <c r="F701" s="219">
        <f>(F624/F612)*AJ64</f>
        <v>0</v>
      </c>
      <c r="G701" s="217">
        <f>(G625/G612)*AJ91</f>
        <v>0</v>
      </c>
      <c r="H701" s="219">
        <f>(H628/H612)*AJ60</f>
        <v>12966.443173982991</v>
      </c>
      <c r="I701" s="217">
        <f>(I629/I612)*AJ92</f>
        <v>10797.413432758874</v>
      </c>
      <c r="J701" s="217">
        <f>(J630/J612)*AJ93</f>
        <v>0</v>
      </c>
      <c r="K701" s="217">
        <f>(K644/K612)*AJ89</f>
        <v>105449.45175930575</v>
      </c>
      <c r="L701" s="217">
        <f>(L647/L612)*AJ94</f>
        <v>17106.887369218919</v>
      </c>
      <c r="M701" s="202">
        <f t="shared" si="19"/>
        <v>262421</v>
      </c>
      <c r="N701" s="211" t="s">
        <v>657</v>
      </c>
    </row>
    <row r="702" spans="1:14" s="202" customFormat="1" ht="12.6" customHeight="1" x14ac:dyDescent="0.2">
      <c r="A702" s="212">
        <v>7310</v>
      </c>
      <c r="B702" s="211" t="s">
        <v>658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19"/>
        <v>0</v>
      </c>
      <c r="N702" s="211" t="s">
        <v>659</v>
      </c>
    </row>
    <row r="703" spans="1:14" s="202" customFormat="1" ht="12.6" customHeight="1" x14ac:dyDescent="0.2">
      <c r="A703" s="212">
        <v>7320</v>
      </c>
      <c r="B703" s="211" t="s">
        <v>660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19"/>
        <v>0</v>
      </c>
      <c r="N703" s="211" t="s">
        <v>661</v>
      </c>
    </row>
    <row r="704" spans="1:14" s="202" customFormat="1" ht="12.6" customHeight="1" x14ac:dyDescent="0.2">
      <c r="A704" s="212">
        <v>7330</v>
      </c>
      <c r="B704" s="211" t="s">
        <v>662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19"/>
        <v>0</v>
      </c>
      <c r="N704" s="211" t="s">
        <v>663</v>
      </c>
    </row>
    <row r="705" spans="1:14" s="202" customFormat="1" ht="12.6" customHeight="1" x14ac:dyDescent="0.2">
      <c r="A705" s="212">
        <v>7340</v>
      </c>
      <c r="B705" s="211" t="s">
        <v>664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19"/>
        <v>0</v>
      </c>
      <c r="N705" s="211" t="s">
        <v>665</v>
      </c>
    </row>
    <row r="706" spans="1:14" s="202" customFormat="1" ht="12.6" customHeight="1" x14ac:dyDescent="0.2">
      <c r="A706" s="212">
        <v>7350</v>
      </c>
      <c r="B706" s="211" t="s">
        <v>666</v>
      </c>
      <c r="C706" s="217">
        <f>AO85</f>
        <v>16922</v>
      </c>
      <c r="D706" s="217">
        <f>(D615/D612)*AO90</f>
        <v>1193.0009768637533</v>
      </c>
      <c r="E706" s="219">
        <f>(E623/E612)*SUM(C706:D706)</f>
        <v>1763.0898151510041</v>
      </c>
      <c r="F706" s="219">
        <f>(F624/F612)*AO64</f>
        <v>0</v>
      </c>
      <c r="G706" s="217">
        <f>(G625/G612)*AO91</f>
        <v>2099.2640623541261</v>
      </c>
      <c r="H706" s="219">
        <f>(H628/H612)*AO60</f>
        <v>286.40737934500578</v>
      </c>
      <c r="I706" s="217">
        <f>(I629/I612)*AO92</f>
        <v>406.46633578918545</v>
      </c>
      <c r="J706" s="217">
        <f>(J630/J612)*AO93</f>
        <v>483.99670753411016</v>
      </c>
      <c r="K706" s="217">
        <f>(K644/K612)*AO89</f>
        <v>31707.701537308061</v>
      </c>
      <c r="L706" s="217">
        <f>(L647/L612)*AO94</f>
        <v>965.0039028790161</v>
      </c>
      <c r="M706" s="202">
        <f t="shared" si="19"/>
        <v>38905</v>
      </c>
      <c r="N706" s="211" t="s">
        <v>667</v>
      </c>
    </row>
    <row r="707" spans="1:14" s="202" customFormat="1" ht="12.6" customHeight="1" x14ac:dyDescent="0.2">
      <c r="A707" s="212">
        <v>7380</v>
      </c>
      <c r="B707" s="211" t="s">
        <v>668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19"/>
        <v>0</v>
      </c>
      <c r="N707" s="211" t="s">
        <v>669</v>
      </c>
    </row>
    <row r="708" spans="1:14" s="202" customFormat="1" ht="12.6" customHeight="1" x14ac:dyDescent="0.2">
      <c r="A708" s="212">
        <v>7390</v>
      </c>
      <c r="B708" s="211" t="s">
        <v>670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19"/>
        <v>0</v>
      </c>
      <c r="N708" s="211" t="s">
        <v>671</v>
      </c>
    </row>
    <row r="709" spans="1:14" s="202" customFormat="1" ht="12.6" customHeight="1" x14ac:dyDescent="0.2">
      <c r="A709" s="212">
        <v>7400</v>
      </c>
      <c r="B709" s="211" t="s">
        <v>672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19"/>
        <v>0</v>
      </c>
      <c r="N709" s="211" t="s">
        <v>673</v>
      </c>
    </row>
    <row r="710" spans="1:14" s="202" customFormat="1" ht="12.6" customHeight="1" x14ac:dyDescent="0.2">
      <c r="A710" s="212">
        <v>7410</v>
      </c>
      <c r="B710" s="211" t="s">
        <v>154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19"/>
        <v>0</v>
      </c>
      <c r="N710" s="211" t="s">
        <v>674</v>
      </c>
    </row>
    <row r="711" spans="1:14" s="202" customFormat="1" ht="12.6" customHeight="1" x14ac:dyDescent="0.2">
      <c r="A711" s="212">
        <v>7420</v>
      </c>
      <c r="B711" s="211" t="s">
        <v>675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19"/>
        <v>0</v>
      </c>
      <c r="N711" s="211" t="s">
        <v>676</v>
      </c>
    </row>
    <row r="712" spans="1:14" s="202" customFormat="1" ht="12.6" customHeight="1" x14ac:dyDescent="0.2">
      <c r="A712" s="212">
        <v>7430</v>
      </c>
      <c r="B712" s="211" t="s">
        <v>677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19"/>
        <v>0</v>
      </c>
      <c r="N712" s="211" t="s">
        <v>678</v>
      </c>
    </row>
    <row r="713" spans="1:14" s="202" customFormat="1" ht="12.6" customHeight="1" x14ac:dyDescent="0.2">
      <c r="A713" s="212">
        <v>7490</v>
      </c>
      <c r="B713" s="211" t="s">
        <v>679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>
        <f>(G625/G612)*AV91</f>
        <v>0</v>
      </c>
      <c r="H713" s="219">
        <f>(H628/H612)*AV60</f>
        <v>0</v>
      </c>
      <c r="I713" s="217">
        <f>(I629/I612)*AV92</f>
        <v>0</v>
      </c>
      <c r="J713" s="217">
        <f>(J630/J612)*AV93</f>
        <v>0</v>
      </c>
      <c r="K713" s="217">
        <f>(K644/K612)*AV89</f>
        <v>0</v>
      </c>
      <c r="L713" s="217">
        <f>(L647/L612)*AV94</f>
        <v>0</v>
      </c>
      <c r="M713" s="202">
        <f t="shared" si="19"/>
        <v>0</v>
      </c>
      <c r="N713" s="213" t="s">
        <v>680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11254465</v>
      </c>
      <c r="D715" s="202">
        <f>SUM(D616:D647)+SUM(D668:D713)</f>
        <v>594971</v>
      </c>
      <c r="E715" s="202">
        <f>SUM(E624:E647)+SUM(E668:E713)</f>
        <v>998216.21825192799</v>
      </c>
      <c r="F715" s="202">
        <f>SUM(F625:F648)+SUM(F668:F713)</f>
        <v>0</v>
      </c>
      <c r="G715" s="202">
        <f>SUM(G626:G647)+SUM(G668:G713)</f>
        <v>536628.29247670318</v>
      </c>
      <c r="H715" s="202">
        <f>SUM(H629:H647)+SUM(H668:H713)</f>
        <v>158331.2067088164</v>
      </c>
      <c r="I715" s="202">
        <f>SUM(I630:I647)+SUM(I668:I713)</f>
        <v>151226.32134105335</v>
      </c>
      <c r="J715" s="202">
        <f>SUM(J631:J647)+SUM(J668:J713)</f>
        <v>122998.29371899452</v>
      </c>
      <c r="K715" s="202">
        <f>SUM(K668:K713)</f>
        <v>902759.34182143433</v>
      </c>
      <c r="L715" s="202">
        <f>SUM(L668:L713)</f>
        <v>254673.30273252577</v>
      </c>
      <c r="M715" s="202">
        <f>SUM(M668:M713)</f>
        <v>3300713</v>
      </c>
      <c r="N715" s="211" t="s">
        <v>681</v>
      </c>
    </row>
    <row r="716" spans="1:14" s="202" customFormat="1" ht="12.6" customHeight="1" x14ac:dyDescent="0.2">
      <c r="C716" s="214">
        <f>CE85</f>
        <v>11254465</v>
      </c>
      <c r="D716" s="202">
        <f>D615</f>
        <v>594971</v>
      </c>
      <c r="E716" s="202">
        <f>E623</f>
        <v>998216.21825192799</v>
      </c>
      <c r="F716" s="202">
        <f>F624</f>
        <v>0</v>
      </c>
      <c r="G716" s="202">
        <f>G625</f>
        <v>536628.29247670318</v>
      </c>
      <c r="H716" s="202">
        <f>H628</f>
        <v>158331.20670881637</v>
      </c>
      <c r="I716" s="202">
        <f>I629</f>
        <v>151226.32134105335</v>
      </c>
      <c r="J716" s="202">
        <f>J630</f>
        <v>122998.29371899452</v>
      </c>
      <c r="K716" s="202">
        <f>K644</f>
        <v>902759.34182143433</v>
      </c>
      <c r="L716" s="202">
        <f>L647</f>
        <v>254673.30273252574</v>
      </c>
      <c r="M716" s="202">
        <f>C648</f>
        <v>3300711</v>
      </c>
      <c r="N716" s="211" t="s">
        <v>682</v>
      </c>
    </row>
  </sheetData>
  <sheetProtection algorithmName="SHA-512" hashValue="/dXyXtPZmg/rX3kXArPTYPynqFwfyS9iVg1SEbDTQ6m51P2CvMtgoUMinqYjXj+XtyHTOQ0MbJi51tMybO5jmg==" saltValue="HRiK5HWkypyypb30gn225A==" spinCount="100000" sheet="1" objects="1" scenarios="1"/>
  <mergeCells count="2">
    <mergeCell ref="B236:C236"/>
    <mergeCell ref="A426:E426"/>
  </mergeCells>
  <hyperlinks>
    <hyperlink ref="C30" r:id="rId1" xr:uid="{846BE90E-15B5-4092-929E-D789A7F51DAB}"/>
    <hyperlink ref="F42" r:id="rId2" xr:uid="{8E2CBE7A-1321-4F6F-AF19-B882108EE1AC}"/>
    <hyperlink ref="A43" r:id="rId3" xr:uid="{6696D319-7C5F-46BB-8FDF-1ACB2C5EAA89}"/>
    <hyperlink ref="C110" r:id="rId4" xr:uid="{00A42006-38B3-4CAF-B58A-FD7D54D31066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B2" sqref="B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6" width="9" style="11" customWidth="1"/>
    <col min="17" max="16384" width="9" style="11"/>
  </cols>
  <sheetData>
    <row r="1" spans="1:14" x14ac:dyDescent="0.25">
      <c r="A1" s="14" t="s">
        <v>1039</v>
      </c>
      <c r="B1" s="11" t="s">
        <v>1040</v>
      </c>
      <c r="C1" s="11" t="s">
        <v>1041</v>
      </c>
      <c r="D1" s="11" t="s">
        <v>1042</v>
      </c>
      <c r="E1" s="11" t="s">
        <v>1043</v>
      </c>
      <c r="F1" s="11" t="s">
        <v>1044</v>
      </c>
      <c r="G1" s="11" t="s">
        <v>1045</v>
      </c>
      <c r="H1" s="11" t="s">
        <v>1046</v>
      </c>
      <c r="I1" s="11" t="s">
        <v>1047</v>
      </c>
      <c r="J1" s="11" t="s">
        <v>1048</v>
      </c>
      <c r="K1" s="11" t="s">
        <v>1049</v>
      </c>
      <c r="L1" s="11" t="s">
        <v>1050</v>
      </c>
      <c r="M1" s="11" t="s">
        <v>1051</v>
      </c>
      <c r="N1" s="11" t="s">
        <v>1052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082</v>
      </c>
      <c r="C2" s="11" t="str">
        <f>SUBSTITUTE(LEFT(data!C98,49),",","")</f>
        <v xml:space="preserve">Garfield County Public Hospital District </v>
      </c>
      <c r="D2" s="11" t="str">
        <f>LEFT(data!C99, 49)</f>
        <v>66 N. Sixth Street</v>
      </c>
      <c r="E2" s="11" t="str">
        <f>LEFT(data!C100, 100)</f>
        <v>Pomeroy, 99347</v>
      </c>
      <c r="F2" s="11" t="str">
        <f>LEFT(data!C101, 2)</f>
        <v>WA</v>
      </c>
      <c r="G2" s="11" t="str">
        <f>LEFT(data!C102, 100)</f>
        <v>99347</v>
      </c>
      <c r="H2" s="11" t="str">
        <f>LEFT(data!C103, 100)</f>
        <v>Garfield County</v>
      </c>
      <c r="I2" s="11" t="str">
        <f>LEFT(data!C104, 49)</f>
        <v>Mat Slaybaugh</v>
      </c>
      <c r="J2" s="11" t="str">
        <f>LEFT(data!C105, 49)</f>
        <v>Stephanie Miller</v>
      </c>
      <c r="K2" s="11" t="str">
        <f>LEFT(data!C107, 49)</f>
        <v>509-843-1591</v>
      </c>
      <c r="L2" s="11" t="str">
        <f>LEFT(data!C108, 49)</f>
        <v/>
      </c>
      <c r="M2" s="11" t="str">
        <f>LEFT(data!C109, 49)</f>
        <v>Jeannette Ring</v>
      </c>
      <c r="N2" s="11" t="str">
        <f>LEFT(data!C110, 49)</f>
        <v>jring@dza.cpa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8" width="8.6640625" style="9" customWidth="1"/>
    <col min="89" max="16384" width="8.6640625" style="9"/>
  </cols>
  <sheetData>
    <row r="1" spans="1:84" s="10" customFormat="1" ht="12.6" customHeight="1" x14ac:dyDescent="0.25">
      <c r="A1" s="12" t="s">
        <v>1053</v>
      </c>
      <c r="B1" s="12" t="s">
        <v>1054</v>
      </c>
      <c r="C1" s="12" t="s">
        <v>1055</v>
      </c>
      <c r="D1" s="12" t="s">
        <v>1056</v>
      </c>
      <c r="E1" s="12" t="s">
        <v>1057</v>
      </c>
      <c r="F1" s="12" t="s">
        <v>1058</v>
      </c>
      <c r="G1" s="12" t="s">
        <v>1059</v>
      </c>
      <c r="H1" s="12" t="s">
        <v>1060</v>
      </c>
      <c r="I1" s="12" t="s">
        <v>1061</v>
      </c>
      <c r="J1" s="12" t="s">
        <v>1062</v>
      </c>
      <c r="K1" s="12" t="s">
        <v>1063</v>
      </c>
      <c r="L1" s="12" t="s">
        <v>1064</v>
      </c>
      <c r="M1" s="12" t="s">
        <v>1065</v>
      </c>
      <c r="N1" s="12" t="s">
        <v>1066</v>
      </c>
      <c r="O1" s="12" t="s">
        <v>1067</v>
      </c>
      <c r="P1" s="12" t="s">
        <v>1068</v>
      </c>
      <c r="Q1" s="12" t="s">
        <v>1069</v>
      </c>
      <c r="R1" s="12" t="s">
        <v>1070</v>
      </c>
      <c r="S1" s="12" t="s">
        <v>1071</v>
      </c>
      <c r="T1" s="12" t="s">
        <v>1072</v>
      </c>
      <c r="U1" s="12" t="s">
        <v>1073</v>
      </c>
      <c r="V1" s="12" t="s">
        <v>1074</v>
      </c>
      <c r="W1" s="12" t="s">
        <v>1075</v>
      </c>
      <c r="X1" s="12" t="s">
        <v>1076</v>
      </c>
      <c r="Y1" s="12" t="s">
        <v>1077</v>
      </c>
      <c r="Z1" s="12" t="s">
        <v>1078</v>
      </c>
      <c r="AA1" s="12" t="s">
        <v>1079</v>
      </c>
      <c r="AB1" s="12" t="s">
        <v>1080</v>
      </c>
      <c r="AC1" s="12" t="s">
        <v>1081</v>
      </c>
      <c r="AD1" s="12" t="s">
        <v>1082</v>
      </c>
      <c r="AE1" s="12" t="s">
        <v>1083</v>
      </c>
      <c r="AF1" s="12" t="s">
        <v>1084</v>
      </c>
      <c r="AG1" s="12" t="s">
        <v>1085</v>
      </c>
      <c r="AH1" s="12" t="s">
        <v>1086</v>
      </c>
      <c r="AI1" s="12" t="s">
        <v>1087</v>
      </c>
      <c r="AJ1" s="12" t="s">
        <v>1088</v>
      </c>
      <c r="AK1" s="12" t="s">
        <v>1089</v>
      </c>
      <c r="AL1" s="12" t="s">
        <v>1090</v>
      </c>
      <c r="AM1" s="12" t="s">
        <v>1091</v>
      </c>
      <c r="AN1" s="12" t="s">
        <v>1092</v>
      </c>
      <c r="AO1" s="12" t="s">
        <v>1093</v>
      </c>
      <c r="AP1" s="12" t="s">
        <v>1094</v>
      </c>
      <c r="AQ1" s="12" t="s">
        <v>1095</v>
      </c>
      <c r="AR1" s="12" t="s">
        <v>1096</v>
      </c>
      <c r="AS1" s="12" t="s">
        <v>1097</v>
      </c>
      <c r="AT1" s="12" t="s">
        <v>1098</v>
      </c>
      <c r="AU1" s="12" t="s">
        <v>1099</v>
      </c>
      <c r="AV1" s="12" t="s">
        <v>1100</v>
      </c>
      <c r="AW1" s="12" t="s">
        <v>1101</v>
      </c>
      <c r="AX1" s="12" t="s">
        <v>1102</v>
      </c>
      <c r="AY1" s="12" t="s">
        <v>1103</v>
      </c>
      <c r="AZ1" s="12" t="s">
        <v>1104</v>
      </c>
      <c r="BA1" s="12" t="s">
        <v>1105</v>
      </c>
      <c r="BB1" s="12" t="s">
        <v>1106</v>
      </c>
      <c r="BC1" s="12" t="s">
        <v>1107</v>
      </c>
      <c r="BD1" s="12" t="s">
        <v>1108</v>
      </c>
      <c r="BE1" s="12" t="s">
        <v>1109</v>
      </c>
      <c r="BF1" s="12" t="s">
        <v>1110</v>
      </c>
      <c r="BG1" s="12" t="s">
        <v>1111</v>
      </c>
      <c r="BH1" s="12" t="s">
        <v>1112</v>
      </c>
      <c r="BI1" s="12" t="s">
        <v>1113</v>
      </c>
      <c r="BJ1" s="12" t="s">
        <v>1114</v>
      </c>
      <c r="BK1" s="12" t="s">
        <v>1115</v>
      </c>
      <c r="BL1" s="12" t="s">
        <v>1116</v>
      </c>
      <c r="BM1" s="12" t="s">
        <v>1117</v>
      </c>
      <c r="BN1" s="12" t="s">
        <v>1118</v>
      </c>
      <c r="BO1" s="12" t="s">
        <v>1119</v>
      </c>
      <c r="BP1" s="12" t="s">
        <v>1120</v>
      </c>
      <c r="BQ1" s="12" t="s">
        <v>1121</v>
      </c>
      <c r="BR1" s="12" t="s">
        <v>1122</v>
      </c>
      <c r="BS1" s="12" t="s">
        <v>1123</v>
      </c>
      <c r="BT1" s="12" t="s">
        <v>1124</v>
      </c>
      <c r="BU1" s="12" t="s">
        <v>1125</v>
      </c>
      <c r="BV1" s="12" t="s">
        <v>1126</v>
      </c>
      <c r="BW1" s="12" t="s">
        <v>1127</v>
      </c>
      <c r="BX1" s="12" t="s">
        <v>1128</v>
      </c>
      <c r="BY1" s="12" t="s">
        <v>1129</v>
      </c>
      <c r="BZ1" s="12" t="s">
        <v>1130</v>
      </c>
      <c r="CA1" s="12" t="s">
        <v>1131</v>
      </c>
      <c r="CB1" s="12" t="s">
        <v>1132</v>
      </c>
      <c r="CC1" s="12" t="s">
        <v>1133</v>
      </c>
      <c r="CD1" s="12" t="s">
        <v>1134</v>
      </c>
      <c r="CE1" s="12" t="s">
        <v>1135</v>
      </c>
      <c r="CF1" s="12" t="s">
        <v>1136</v>
      </c>
    </row>
    <row r="2" spans="1:84" s="169" customFormat="1" ht="12.6" customHeight="1" x14ac:dyDescent="0.25">
      <c r="A2" s="12" t="str">
        <f>RIGHT(data!C97,3)</f>
        <v>082</v>
      </c>
      <c r="B2" s="200" t="str">
        <f>RIGHT(data!C96,4)</f>
        <v>2024</v>
      </c>
      <c r="C2" s="12" t="s">
        <v>1137</v>
      </c>
      <c r="D2" s="199">
        <f>ROUND(N(data!C181),0)</f>
        <v>455417</v>
      </c>
      <c r="E2" s="199">
        <f>ROUND(N(data!C182),0)</f>
        <v>21678</v>
      </c>
      <c r="F2" s="199">
        <f>ROUND(N(data!C183),0)</f>
        <v>67582</v>
      </c>
      <c r="G2" s="199">
        <f>ROUND(N(data!C184),0)</f>
        <v>916157</v>
      </c>
      <c r="H2" s="199">
        <f>ROUND(N(data!C185),0)</f>
        <v>11456</v>
      </c>
      <c r="I2" s="199">
        <f>ROUND(N(data!C186),0)</f>
        <v>96706</v>
      </c>
      <c r="J2" s="199">
        <f>ROUND(N(data!C187)+N(data!C188),0)</f>
        <v>286035</v>
      </c>
      <c r="K2" s="199">
        <f>ROUND(N(data!C191),0)</f>
        <v>0</v>
      </c>
      <c r="L2" s="199">
        <f>ROUND(N(data!C192),0)</f>
        <v>66023</v>
      </c>
      <c r="M2" s="199">
        <f>ROUND(N(data!C195),0)</f>
        <v>33112</v>
      </c>
      <c r="N2" s="199">
        <f>ROUND(N(data!C196),0)</f>
        <v>132493</v>
      </c>
      <c r="O2" s="199">
        <f>ROUND(N(data!C199),0)</f>
        <v>20408</v>
      </c>
      <c r="P2" s="199" t="e">
        <f>ROUND(N(data!#REF!),0)</f>
        <v>#REF!</v>
      </c>
      <c r="Q2" s="199">
        <f>ROUND(N(data!C201),0)</f>
        <v>131</v>
      </c>
      <c r="R2" s="199">
        <f>ROUND(N(data!C204),0)</f>
        <v>0</v>
      </c>
      <c r="S2" s="199">
        <f>ROUND(N(data!C205),0)</f>
        <v>1784</v>
      </c>
      <c r="T2" s="199">
        <f>ROUND(N(data!B211),0)</f>
        <v>83983</v>
      </c>
      <c r="U2" s="199">
        <f>ROUND(N(data!C211),0)</f>
        <v>0</v>
      </c>
      <c r="V2" s="199">
        <f>ROUND(N(data!D211),0)</f>
        <v>0</v>
      </c>
      <c r="W2" s="199">
        <f>ROUND(N(data!B212),0)</f>
        <v>234472</v>
      </c>
      <c r="X2" s="199">
        <f>ROUND(N(data!C212),0)</f>
        <v>0</v>
      </c>
      <c r="Y2" s="199">
        <f>ROUND(N(data!D212),0)</f>
        <v>0</v>
      </c>
      <c r="Z2" s="199">
        <f>ROUND(N(data!B213),0)</f>
        <v>1511534</v>
      </c>
      <c r="AA2" s="199">
        <f>ROUND(N(data!C213),0)</f>
        <v>16297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283418</v>
      </c>
      <c r="AG2" s="199">
        <f>ROUND(N(data!C215),0)</f>
        <v>0</v>
      </c>
      <c r="AH2" s="199">
        <f>ROUND(N(data!D215),0)</f>
        <v>0</v>
      </c>
      <c r="AI2" s="199">
        <f>ROUND(N(data!B216),0)</f>
        <v>3134474</v>
      </c>
      <c r="AJ2" s="199">
        <f>ROUND(N(data!C216),0)</f>
        <v>23033</v>
      </c>
      <c r="AK2" s="199">
        <f>ROUND(N(data!D216),0)</f>
        <v>0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172145</v>
      </c>
      <c r="AP2" s="199">
        <f>ROUND(N(data!C218),0)</f>
        <v>0</v>
      </c>
      <c r="AQ2" s="199">
        <f>ROUND(N(data!D218),0)</f>
        <v>0</v>
      </c>
      <c r="AR2" s="199">
        <f>ROUND(N(data!B219),0)</f>
        <v>1029813</v>
      </c>
      <c r="AS2" s="199">
        <f>ROUND(N(data!C219),0)</f>
        <v>935731</v>
      </c>
      <c r="AT2" s="199">
        <f>ROUND(N(data!D219),0)</f>
        <v>16297</v>
      </c>
      <c r="AU2" s="199">
        <v>0</v>
      </c>
      <c r="AV2" s="199">
        <v>0</v>
      </c>
      <c r="AW2" s="199">
        <v>0</v>
      </c>
      <c r="AX2" s="199">
        <f>ROUND(N(data!B225),0)</f>
        <v>234472</v>
      </c>
      <c r="AY2" s="199">
        <f>ROUND(N(data!C225),0)</f>
        <v>0</v>
      </c>
      <c r="AZ2" s="199">
        <f>ROUND(N(data!D225),0)</f>
        <v>0</v>
      </c>
      <c r="BA2" s="199">
        <f>ROUND(N(data!B226),0)</f>
        <v>1360071</v>
      </c>
      <c r="BB2" s="199">
        <f>ROUND(N(data!C226),0)</f>
        <v>24236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147265</v>
      </c>
      <c r="BH2" s="199">
        <f>ROUND(N(data!C228),0)</f>
        <v>26568</v>
      </c>
      <c r="BI2" s="199">
        <f>ROUND(N(data!D228),0)</f>
        <v>0</v>
      </c>
      <c r="BJ2" s="199">
        <f>ROUND(N(data!B229),0)</f>
        <v>2489566</v>
      </c>
      <c r="BK2" s="199">
        <f>ROUND(N(data!C229),0)</f>
        <v>160243</v>
      </c>
      <c r="BL2" s="199">
        <f>ROUND(N(data!D229),0)</f>
        <v>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66096</v>
      </c>
      <c r="BQ2" s="199">
        <f>ROUND(N(data!C231),0)</f>
        <v>70039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-3513452</v>
      </c>
      <c r="BW2" s="199">
        <f>ROUND(N(data!C240),0)</f>
        <v>-141955</v>
      </c>
      <c r="BX2" s="199">
        <f>ROUND(N(data!C241),0)</f>
        <v>0</v>
      </c>
      <c r="BY2" s="199">
        <f>ROUND(N(data!C242),0)</f>
        <v>0</v>
      </c>
      <c r="BZ2" s="199">
        <f>ROUND(N(data!C243),0)</f>
        <v>0</v>
      </c>
      <c r="CA2" s="199">
        <f>ROUND(N(data!C244),0)</f>
        <v>628769</v>
      </c>
      <c r="CB2" s="199">
        <f>ROUND(N(data!C247),0)</f>
        <v>48</v>
      </c>
      <c r="CC2" s="199">
        <f>ROUND(N(data!C249),0)</f>
        <v>17768</v>
      </c>
      <c r="CD2" s="199">
        <f>ROUND(N(data!C250),0)</f>
        <v>45075</v>
      </c>
      <c r="CE2" s="199">
        <f>ROUND(N(data!C254)+N(data!C255),0)</f>
        <v>0</v>
      </c>
      <c r="CF2" s="199">
        <f>ROUND(N(data!D237),0)</f>
        <v>118614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" customHeight="1" x14ac:dyDescent="0.25">
      <c r="A1" s="10" t="s">
        <v>1138</v>
      </c>
      <c r="B1" s="12" t="s">
        <v>1139</v>
      </c>
      <c r="C1" s="12" t="s">
        <v>1140</v>
      </c>
      <c r="D1" s="10" t="s">
        <v>1141</v>
      </c>
      <c r="E1" s="10" t="s">
        <v>1142</v>
      </c>
      <c r="F1" s="10" t="s">
        <v>1143</v>
      </c>
      <c r="G1" s="10" t="s">
        <v>1144</v>
      </c>
      <c r="H1" s="10" t="s">
        <v>1145</v>
      </c>
      <c r="I1" s="10" t="s">
        <v>1146</v>
      </c>
      <c r="J1" s="10" t="s">
        <v>1147</v>
      </c>
      <c r="K1" s="10" t="s">
        <v>1148</v>
      </c>
      <c r="L1" s="10" t="s">
        <v>1149</v>
      </c>
      <c r="M1" s="10" t="s">
        <v>1150</v>
      </c>
      <c r="N1" s="10" t="s">
        <v>1151</v>
      </c>
      <c r="O1" s="10" t="s">
        <v>1152</v>
      </c>
      <c r="P1" s="10" t="s">
        <v>1153</v>
      </c>
      <c r="Q1" s="10" t="s">
        <v>1154</v>
      </c>
      <c r="R1" s="10" t="s">
        <v>1155</v>
      </c>
      <c r="S1" s="10" t="s">
        <v>1156</v>
      </c>
      <c r="T1" s="10" t="s">
        <v>1157</v>
      </c>
      <c r="U1" s="10" t="s">
        <v>1158</v>
      </c>
      <c r="V1" s="10" t="s">
        <v>1159</v>
      </c>
      <c r="W1" s="10" t="s">
        <v>1160</v>
      </c>
      <c r="X1" s="10" t="s">
        <v>1161</v>
      </c>
      <c r="Y1" s="10" t="s">
        <v>1162</v>
      </c>
      <c r="Z1" s="10" t="s">
        <v>1163</v>
      </c>
      <c r="AA1" s="10" t="s">
        <v>1164</v>
      </c>
      <c r="AB1" s="10" t="s">
        <v>1165</v>
      </c>
      <c r="AC1" s="10" t="s">
        <v>1166</v>
      </c>
      <c r="AD1" s="10" t="s">
        <v>1167</v>
      </c>
      <c r="AE1" s="10" t="s">
        <v>1168</v>
      </c>
      <c r="AF1" s="10" t="s">
        <v>1169</v>
      </c>
      <c r="AG1" s="10" t="s">
        <v>1170</v>
      </c>
      <c r="AH1" s="10" t="s">
        <v>1171</v>
      </c>
      <c r="AI1" s="10" t="s">
        <v>1172</v>
      </c>
      <c r="AJ1" s="10" t="s">
        <v>1173</v>
      </c>
      <c r="AK1" s="10" t="s">
        <v>1174</v>
      </c>
      <c r="AL1" s="10" t="s">
        <v>1175</v>
      </c>
      <c r="AM1" s="10" t="s">
        <v>1176</v>
      </c>
      <c r="AN1" s="10" t="s">
        <v>1177</v>
      </c>
      <c r="AO1" s="10" t="s">
        <v>1178</v>
      </c>
      <c r="AP1" s="10" t="s">
        <v>1179</v>
      </c>
      <c r="AQ1" s="10" t="s">
        <v>1180</v>
      </c>
      <c r="AR1" s="10" t="s">
        <v>1181</v>
      </c>
      <c r="AS1" s="10" t="s">
        <v>1182</v>
      </c>
      <c r="AT1" s="10" t="s">
        <v>1183</v>
      </c>
      <c r="AU1" s="10" t="s">
        <v>1184</v>
      </c>
      <c r="AV1" s="10" t="s">
        <v>1185</v>
      </c>
      <c r="AW1" s="10" t="s">
        <v>1186</v>
      </c>
      <c r="AX1" s="10" t="s">
        <v>1187</v>
      </c>
      <c r="AY1" s="10" t="s">
        <v>1188</v>
      </c>
      <c r="AZ1" s="10" t="s">
        <v>1189</v>
      </c>
      <c r="BA1" s="10" t="s">
        <v>1190</v>
      </c>
      <c r="BB1" s="10" t="s">
        <v>1191</v>
      </c>
      <c r="BC1" s="10" t="s">
        <v>1192</v>
      </c>
      <c r="BD1" s="10" t="s">
        <v>1193</v>
      </c>
      <c r="BE1" s="10" t="s">
        <v>1194</v>
      </c>
      <c r="BF1" s="10" t="s">
        <v>1195</v>
      </c>
      <c r="BG1" s="10" t="s">
        <v>1196</v>
      </c>
      <c r="BH1" s="10" t="s">
        <v>1197</v>
      </c>
      <c r="BI1" s="10" t="s">
        <v>1198</v>
      </c>
      <c r="BJ1" s="10" t="s">
        <v>1199</v>
      </c>
      <c r="BK1" s="10" t="s">
        <v>1200</v>
      </c>
      <c r="BL1" s="10" t="s">
        <v>1201</v>
      </c>
      <c r="BM1" s="10" t="s">
        <v>1202</v>
      </c>
      <c r="BN1" s="10" t="s">
        <v>1203</v>
      </c>
      <c r="BO1" s="10" t="s">
        <v>1204</v>
      </c>
      <c r="BP1" s="10" t="s">
        <v>1205</v>
      </c>
      <c r="BQ1" s="10" t="s">
        <v>1206</v>
      </c>
      <c r="BR1" s="10" t="s">
        <v>1207</v>
      </c>
      <c r="BS1" s="10" t="s">
        <v>1208</v>
      </c>
    </row>
    <row r="2" spans="1:87" s="169" customFormat="1" ht="12.6" customHeight="1" x14ac:dyDescent="0.25">
      <c r="A2" s="12" t="str">
        <f>RIGHT(data!C97,3)</f>
        <v>082</v>
      </c>
      <c r="B2" s="12" t="str">
        <f>RIGHT(data!C96,4)</f>
        <v>2024</v>
      </c>
      <c r="C2" s="12" t="s">
        <v>1137</v>
      </c>
      <c r="D2" s="198">
        <f>ROUND(N(data!C127),0)</f>
        <v>62</v>
      </c>
      <c r="E2" s="198">
        <f>ROUND(N(data!C128),0)</f>
        <v>375</v>
      </c>
      <c r="F2" s="198">
        <f>ROUND(N(data!C129),0)</f>
        <v>0</v>
      </c>
      <c r="G2" s="198">
        <f>ROUND(N(data!C130),0)</f>
        <v>0</v>
      </c>
      <c r="H2" s="198">
        <f>ROUND(N(data!D127),0)</f>
        <v>138</v>
      </c>
      <c r="I2" s="198">
        <f>ROUND(N(data!D128),0)</f>
        <v>6055</v>
      </c>
      <c r="J2" s="198">
        <f>ROUND(N(data!D129),0)</f>
        <v>0</v>
      </c>
      <c r="K2" s="198">
        <f>ROUND(N(data!D130),0)</f>
        <v>0</v>
      </c>
      <c r="L2" s="198">
        <f>ROUND(N(data!C132),0)</f>
        <v>0</v>
      </c>
      <c r="M2" s="198">
        <f>ROUND(N(data!C133),0)</f>
        <v>0</v>
      </c>
      <c r="N2" s="198">
        <f>ROUND(N(data!C134),0)</f>
        <v>25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25</v>
      </c>
      <c r="X2" s="198">
        <f>ROUND(N(data!C145),0)</f>
        <v>0</v>
      </c>
      <c r="Y2" s="198">
        <f>ROUND(N(data!B154),0)</f>
        <v>45</v>
      </c>
      <c r="Z2" s="198">
        <f>ROUND(N(data!B155),0)</f>
        <v>98</v>
      </c>
      <c r="AA2" s="198">
        <f>ROUND(N(data!B156),0)</f>
        <v>0</v>
      </c>
      <c r="AB2" s="198">
        <f>ROUND(N(data!B157),0)</f>
        <v>339847</v>
      </c>
      <c r="AC2" s="198">
        <f>ROUND(N(data!B158),0)</f>
        <v>2933101</v>
      </c>
      <c r="AD2" s="198">
        <f>ROUND(N(data!C154),0)</f>
        <v>0</v>
      </c>
      <c r="AE2" s="198">
        <f>ROUND(N(data!C155),0)</f>
        <v>2</v>
      </c>
      <c r="AF2" s="198">
        <f>ROUND(N(data!C156),0)</f>
        <v>0</v>
      </c>
      <c r="AG2" s="198">
        <f>ROUND(N(data!C157),0)</f>
        <v>12500</v>
      </c>
      <c r="AH2" s="198">
        <f>ROUND(N(data!C158),0)</f>
        <v>800077</v>
      </c>
      <c r="AI2" s="198">
        <f>ROUND(N(data!D154),0)</f>
        <v>17</v>
      </c>
      <c r="AJ2" s="198">
        <f>ROUND(N(data!D155),0)</f>
        <v>38</v>
      </c>
      <c r="AK2" s="198">
        <f>ROUND(N(data!D156),0)</f>
        <v>0</v>
      </c>
      <c r="AL2" s="198">
        <f>ROUND(N(data!D157),0)</f>
        <v>137536</v>
      </c>
      <c r="AM2" s="198">
        <f>ROUND(N(data!D158),0)</f>
        <v>2966435</v>
      </c>
      <c r="AN2" s="198">
        <f>ROUND(N(data!B160),0)</f>
        <v>54</v>
      </c>
      <c r="AO2" s="198">
        <f>ROUND(N(data!B161),0)</f>
        <v>667</v>
      </c>
      <c r="AP2" s="198">
        <f>ROUND(N(data!B162),0)</f>
        <v>0</v>
      </c>
      <c r="AQ2" s="198">
        <f>ROUND(N(data!B163),0)</f>
        <v>709003</v>
      </c>
      <c r="AR2" s="198">
        <f>ROUND(N(data!B164),0)</f>
        <v>0</v>
      </c>
      <c r="AS2" s="198">
        <f>ROUND(N(data!C160),0)</f>
        <v>166</v>
      </c>
      <c r="AT2" s="198">
        <f>ROUND(N(data!C161),0)</f>
        <v>3353</v>
      </c>
      <c r="AU2" s="198">
        <f>ROUND(N(data!C162),0)</f>
        <v>0</v>
      </c>
      <c r="AV2" s="198">
        <f>ROUND(N(data!C163),0)</f>
        <v>900208</v>
      </c>
      <c r="AW2" s="198">
        <f>ROUND(N(data!C164),0)</f>
        <v>0</v>
      </c>
      <c r="AX2" s="198">
        <f>ROUND(N(data!D160),0)</f>
        <v>118</v>
      </c>
      <c r="AY2" s="198">
        <f>ROUND(N(data!D161),0)</f>
        <v>2035</v>
      </c>
      <c r="AZ2" s="198">
        <f>ROUND(N(data!D162),0)</f>
        <v>0</v>
      </c>
      <c r="BA2" s="198">
        <f>ROUND(N(data!D163),0)</f>
        <v>540364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981302</v>
      </c>
      <c r="BS2" s="198">
        <f>ROUND(N(data!C173),0)</f>
        <v>482094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I21" sqref="I21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25">
      <c r="A1" s="10" t="s">
        <v>1209</v>
      </c>
      <c r="B1" s="12" t="s">
        <v>1210</v>
      </c>
      <c r="C1" s="12" t="s">
        <v>1211</v>
      </c>
      <c r="D1" s="10" t="s">
        <v>1212</v>
      </c>
      <c r="E1" s="10" t="s">
        <v>1213</v>
      </c>
      <c r="F1" s="10" t="s">
        <v>1214</v>
      </c>
      <c r="G1" s="10" t="s">
        <v>1215</v>
      </c>
      <c r="H1" s="10" t="s">
        <v>1216</v>
      </c>
      <c r="I1" s="10" t="s">
        <v>1217</v>
      </c>
      <c r="J1" s="10" t="s">
        <v>1218</v>
      </c>
      <c r="K1" s="10" t="s">
        <v>1219</v>
      </c>
      <c r="L1" s="10" t="s">
        <v>1220</v>
      </c>
      <c r="M1" s="10" t="s">
        <v>1221</v>
      </c>
      <c r="N1" s="10" t="s">
        <v>1222</v>
      </c>
      <c r="O1" s="10" t="s">
        <v>1223</v>
      </c>
      <c r="P1" s="10" t="s">
        <v>1224</v>
      </c>
      <c r="Q1" s="10" t="s">
        <v>1225</v>
      </c>
      <c r="R1" s="10" t="s">
        <v>1226</v>
      </c>
      <c r="S1" s="10" t="s">
        <v>1227</v>
      </c>
      <c r="T1" s="10" t="s">
        <v>1228</v>
      </c>
      <c r="U1" s="10" t="s">
        <v>1229</v>
      </c>
      <c r="V1" s="10" t="s">
        <v>1230</v>
      </c>
      <c r="W1" s="10" t="s">
        <v>1231</v>
      </c>
      <c r="X1" s="10" t="s">
        <v>1232</v>
      </c>
      <c r="Y1" s="10" t="s">
        <v>1233</v>
      </c>
      <c r="Z1" s="10" t="s">
        <v>1234</v>
      </c>
      <c r="AA1" s="10" t="s">
        <v>1235</v>
      </c>
      <c r="AB1" s="10" t="s">
        <v>1236</v>
      </c>
      <c r="AC1" s="10" t="s">
        <v>1237</v>
      </c>
      <c r="AD1" s="10" t="s">
        <v>1238</v>
      </c>
      <c r="AE1" s="10" t="s">
        <v>1239</v>
      </c>
      <c r="AF1" s="10" t="s">
        <v>1240</v>
      </c>
      <c r="AG1" s="10" t="s">
        <v>1241</v>
      </c>
      <c r="AH1" s="10" t="s">
        <v>1242</v>
      </c>
      <c r="AI1" s="10" t="s">
        <v>1243</v>
      </c>
      <c r="AJ1" s="10" t="s">
        <v>1244</v>
      </c>
      <c r="AK1" s="10" t="s">
        <v>1245</v>
      </c>
      <c r="AL1" s="10" t="s">
        <v>1246</v>
      </c>
      <c r="AM1" s="10" t="s">
        <v>1247</v>
      </c>
      <c r="AN1" s="10" t="s">
        <v>1248</v>
      </c>
      <c r="AO1" s="10" t="s">
        <v>1249</v>
      </c>
      <c r="AP1" s="10" t="s">
        <v>1250</v>
      </c>
      <c r="AQ1" s="10" t="s">
        <v>1251</v>
      </c>
      <c r="AR1" s="10" t="s">
        <v>1252</v>
      </c>
      <c r="AS1" s="10" t="s">
        <v>1253</v>
      </c>
      <c r="AT1" s="10" t="s">
        <v>1254</v>
      </c>
      <c r="AU1" s="10" t="s">
        <v>1255</v>
      </c>
      <c r="AV1" s="10" t="s">
        <v>1256</v>
      </c>
      <c r="AW1" s="10" t="s">
        <v>1257</v>
      </c>
      <c r="AX1" s="10" t="s">
        <v>1258</v>
      </c>
      <c r="AY1" s="10" t="s">
        <v>1259</v>
      </c>
      <c r="AZ1" s="10" t="s">
        <v>1260</v>
      </c>
      <c r="BA1" s="10" t="s">
        <v>1261</v>
      </c>
      <c r="BB1" s="10" t="s">
        <v>1262</v>
      </c>
      <c r="BC1" s="10" t="s">
        <v>1263</v>
      </c>
      <c r="BD1" s="10" t="s">
        <v>1264</v>
      </c>
      <c r="BE1" s="10" t="s">
        <v>1265</v>
      </c>
      <c r="BF1" s="10" t="s">
        <v>1266</v>
      </c>
      <c r="BG1" s="10" t="s">
        <v>1267</v>
      </c>
      <c r="BH1" s="10" t="s">
        <v>1268</v>
      </c>
      <c r="BI1" s="10" t="s">
        <v>1269</v>
      </c>
      <c r="BJ1" s="10" t="s">
        <v>1270</v>
      </c>
      <c r="BK1" s="10" t="s">
        <v>1271</v>
      </c>
      <c r="BL1" s="10" t="s">
        <v>1272</v>
      </c>
      <c r="BM1" s="10" t="s">
        <v>1273</v>
      </c>
      <c r="BN1" s="10" t="s">
        <v>1274</v>
      </c>
      <c r="BO1" s="10" t="s">
        <v>1275</v>
      </c>
      <c r="BP1" s="10" t="s">
        <v>1276</v>
      </c>
      <c r="BQ1" s="10" t="s">
        <v>1277</v>
      </c>
      <c r="BR1" s="10" t="s">
        <v>1278</v>
      </c>
      <c r="BS1" s="10" t="s">
        <v>1279</v>
      </c>
      <c r="BT1" s="10" t="s">
        <v>1280</v>
      </c>
      <c r="BU1" s="10" t="s">
        <v>1281</v>
      </c>
      <c r="BV1" s="10" t="s">
        <v>1282</v>
      </c>
      <c r="BW1" s="10" t="s">
        <v>1283</v>
      </c>
      <c r="BX1" s="10" t="s">
        <v>1284</v>
      </c>
      <c r="BY1" s="10" t="s">
        <v>1285</v>
      </c>
      <c r="BZ1" s="10" t="s">
        <v>1286</v>
      </c>
      <c r="CA1" s="10" t="s">
        <v>1287</v>
      </c>
      <c r="CB1" s="10" t="s">
        <v>1288</v>
      </c>
      <c r="CC1" s="10" t="s">
        <v>1289</v>
      </c>
      <c r="CD1" s="10" t="s">
        <v>1290</v>
      </c>
      <c r="CE1" s="10" t="s">
        <v>1291</v>
      </c>
      <c r="CF1" s="10" t="s">
        <v>1292</v>
      </c>
      <c r="CG1" s="10" t="s">
        <v>1293</v>
      </c>
      <c r="CH1" s="10" t="s">
        <v>1294</v>
      </c>
      <c r="CI1" s="10" t="s">
        <v>1295</v>
      </c>
      <c r="CJ1" s="10" t="s">
        <v>1296</v>
      </c>
      <c r="CK1" s="10" t="s">
        <v>1297</v>
      </c>
      <c r="CL1" s="10" t="s">
        <v>1298</v>
      </c>
      <c r="CM1" s="10" t="s">
        <v>1299</v>
      </c>
      <c r="CN1" s="10" t="s">
        <v>1300</v>
      </c>
      <c r="CO1" s="10" t="s">
        <v>1301</v>
      </c>
      <c r="CP1" s="10" t="s">
        <v>1302</v>
      </c>
      <c r="CQ1" s="197" t="s">
        <v>1303</v>
      </c>
      <c r="CR1" s="197" t="s">
        <v>1304</v>
      </c>
      <c r="CS1" s="197" t="s">
        <v>1305</v>
      </c>
      <c r="CT1" s="197" t="s">
        <v>1306</v>
      </c>
      <c r="CU1" s="197" t="s">
        <v>1307</v>
      </c>
      <c r="CV1" s="197" t="s">
        <v>1308</v>
      </c>
      <c r="CW1" s="197" t="s">
        <v>1309</v>
      </c>
      <c r="CX1" s="197" t="s">
        <v>1310</v>
      </c>
      <c r="CY1" s="197" t="s">
        <v>1311</v>
      </c>
      <c r="CZ1" s="197" t="s">
        <v>1312</v>
      </c>
      <c r="DA1" s="197" t="s">
        <v>1313</v>
      </c>
      <c r="DB1" s="197" t="s">
        <v>1314</v>
      </c>
      <c r="DC1" s="197" t="s">
        <v>1315</v>
      </c>
      <c r="DD1" s="197" t="s">
        <v>1316</v>
      </c>
      <c r="DE1" s="10" t="s">
        <v>1317</v>
      </c>
      <c r="DF1" s="10" t="s">
        <v>1318</v>
      </c>
      <c r="DG1" s="10" t="s">
        <v>1319</v>
      </c>
      <c r="DH1" s="10" t="s">
        <v>1320</v>
      </c>
    </row>
    <row r="2" spans="1:112" s="169" customFormat="1" ht="12.6" customHeight="1" x14ac:dyDescent="0.25">
      <c r="A2" s="199" t="str">
        <f>RIGHT(data!C97,3)</f>
        <v>082</v>
      </c>
      <c r="B2" s="200" t="str">
        <f>RIGHT(data!C96,4)</f>
        <v>2024</v>
      </c>
      <c r="C2" s="12" t="s">
        <v>1137</v>
      </c>
      <c r="D2" s="198">
        <f>ROUND(N(data!C266),0)</f>
        <v>5730134</v>
      </c>
      <c r="E2" s="198">
        <f>ROUND(N(data!C267),0)</f>
        <v>0</v>
      </c>
      <c r="F2" s="198">
        <f>ROUND(N(data!C268),0)</f>
        <v>1203294</v>
      </c>
      <c r="G2" s="198">
        <f>ROUND(N(data!C269),0)</f>
        <v>0</v>
      </c>
      <c r="H2" s="198">
        <f>ROUND(N(data!C270),0)</f>
        <v>0</v>
      </c>
      <c r="I2" s="198">
        <f>ROUND(N(data!C271),0)</f>
        <v>135973</v>
      </c>
      <c r="J2" s="198">
        <f>ROUND(N(data!C272),0)</f>
        <v>0</v>
      </c>
      <c r="K2" s="198">
        <f>ROUND(N(data!C273),0)</f>
        <v>109604</v>
      </c>
      <c r="L2" s="198">
        <f>ROUND(N(data!C274),0)</f>
        <v>84565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83983</v>
      </c>
      <c r="R2" s="198">
        <f>ROUND(N(data!C284),0)</f>
        <v>234472</v>
      </c>
      <c r="S2" s="198">
        <f>ROUND(N(data!C285),0)</f>
        <v>1527831</v>
      </c>
      <c r="T2" s="198">
        <f>ROUND(N(data!C286),0)</f>
        <v>0</v>
      </c>
      <c r="U2" s="198">
        <f>ROUND(N(data!C287),0)</f>
        <v>283418</v>
      </c>
      <c r="V2" s="198">
        <f>ROUND(N(data!C288),0)</f>
        <v>3157507</v>
      </c>
      <c r="W2" s="198">
        <f>ROUND(N(data!C289),0)</f>
        <v>172145</v>
      </c>
      <c r="X2" s="198">
        <f>ROUND(N(data!C290),0)</f>
        <v>1949247</v>
      </c>
      <c r="Y2" s="198">
        <f>ROUND(N(data!C291),0)</f>
        <v>0</v>
      </c>
      <c r="Z2" s="198">
        <f>ROUND(N(data!C292),0)</f>
        <v>4578556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0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361358</v>
      </c>
      <c r="AK2" s="198">
        <f>ROUND(N(data!C316),0)</f>
        <v>421887</v>
      </c>
      <c r="AL2" s="198">
        <f>ROUND(N(data!C317),0)</f>
        <v>0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583000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11506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1388912</v>
      </c>
      <c r="BD2" s="198">
        <f>ROUND(N(data!C339),0)</f>
        <v>0</v>
      </c>
      <c r="BE2" s="198">
        <f>ROUND(N(data!C343),0)</f>
        <v>7326954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81.95</v>
      </c>
      <c r="BL2" s="198">
        <f>ROUND(N(data!C358),0)</f>
        <v>2639458</v>
      </c>
      <c r="BM2" s="198">
        <f>ROUND(N(data!C359),0)</f>
        <v>6699613</v>
      </c>
      <c r="BN2" s="198">
        <f>ROUND(N(data!C363),0)</f>
        <v>-3026638</v>
      </c>
      <c r="BO2" s="198">
        <f>ROUND(N(data!C364),0)</f>
        <v>62843</v>
      </c>
      <c r="BP2" s="198">
        <f>ROUND(N(data!C365),0)</f>
        <v>0</v>
      </c>
      <c r="BQ2" s="198">
        <f>ROUND(N(data!D381),0)</f>
        <v>283283</v>
      </c>
      <c r="BR2" s="198">
        <f>ROUND(N(data!C370),0)</f>
        <v>0</v>
      </c>
      <c r="BS2" s="198">
        <f>ROUND(N(data!C371),0)</f>
        <v>215567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0</v>
      </c>
      <c r="CA2" s="198">
        <f>ROUND(N(data!C379),0)</f>
        <v>0</v>
      </c>
      <c r="CB2" s="198">
        <f>ROUND(N(data!C380),0)</f>
        <v>67716</v>
      </c>
      <c r="CC2" s="198">
        <f>ROUND(N(data!C382),0)</f>
        <v>0</v>
      </c>
      <c r="CD2" s="198">
        <f>ROUND(N(data!C389),0)</f>
        <v>6567039</v>
      </c>
      <c r="CE2" s="198">
        <f>ROUND(N(data!C390),0)</f>
        <v>1854948</v>
      </c>
      <c r="CF2" s="198">
        <f>ROUND(N(data!C391),0)</f>
        <v>2094891</v>
      </c>
      <c r="CG2" s="198">
        <f>ROUND(N(data!C392),0)</f>
        <v>936077</v>
      </c>
      <c r="CH2" s="198">
        <f>ROUND(N(data!C393),0)</f>
        <v>193897</v>
      </c>
      <c r="CI2" s="198">
        <f>ROUND(N(data!C394),0)</f>
        <v>311687</v>
      </c>
      <c r="CJ2" s="198">
        <f>ROUND(N(data!C395),0)</f>
        <v>281086</v>
      </c>
      <c r="CK2" s="198">
        <f>ROUND(N(data!C396),0)</f>
        <v>66023</v>
      </c>
      <c r="CL2" s="198">
        <f>ROUND(N(data!C397),0)</f>
        <v>165605</v>
      </c>
      <c r="CM2" s="198">
        <f>ROUND(N(data!C398),0)</f>
        <v>53190</v>
      </c>
      <c r="CN2" s="198">
        <f>ROUND(N(data!C399),0)</f>
        <v>1784</v>
      </c>
      <c r="CO2" s="198">
        <f>ROUND(N(data!C362),0)</f>
        <v>118614</v>
      </c>
      <c r="CP2" s="198">
        <f>ROUND(N(data!D415),0)</f>
        <v>503110</v>
      </c>
      <c r="CQ2" s="52">
        <f>ROUND(N(data!C401),0)</f>
        <v>0</v>
      </c>
      <c r="CR2" s="52">
        <f>ROUND(N(data!C402),0)</f>
        <v>0</v>
      </c>
      <c r="CS2" s="52">
        <f>ROUND(N(data!C403),0)</f>
        <v>0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105053</v>
      </c>
      <c r="CY2" s="52">
        <f>ROUND(N(data!C409),0)</f>
        <v>0</v>
      </c>
      <c r="CZ2" s="52">
        <f>ROUND(N(data!C410),0)</f>
        <v>0</v>
      </c>
      <c r="DA2" s="52">
        <f>ROUND(N(data!C411),0)</f>
        <v>64617</v>
      </c>
      <c r="DB2" s="52">
        <f>ROUND(N(data!C412),0)</f>
        <v>0</v>
      </c>
      <c r="DC2" s="52">
        <f>ROUND(N(data!C413),0)</f>
        <v>0</v>
      </c>
      <c r="DD2" s="52">
        <f>ROUND(N(data!C414),0)</f>
        <v>333440</v>
      </c>
      <c r="DE2" s="52">
        <f>ROUND(N(data!C419),0)</f>
        <v>0</v>
      </c>
      <c r="DF2" s="198">
        <f>ROUND(N(data!D420),0)</f>
        <v>913166</v>
      </c>
      <c r="DG2" s="198">
        <f>ROUND(N(data!C422),0)</f>
        <v>0</v>
      </c>
      <c r="DH2" s="198">
        <f>ROUND(N(data!C423),0)</f>
        <v>0</v>
      </c>
    </row>
  </sheetData>
  <sheetProtection algorithmName="SHA-512" hashValue="8RTFKnT/V09I8z9pBvKxWsbi3ut3shspJs/Xbwnca+BeQ2rwVHl06LzW0lNHBf0aD2Md8nENWobWgGPi9JCPfw==" saltValue="RBwY7OKeJT5qRhmchabOIA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1" width="8.6640625" style="9" customWidth="1"/>
    <col min="42" max="16384" width="8.6640625" style="9"/>
  </cols>
  <sheetData>
    <row r="1" spans="1:89" s="10" customFormat="1" ht="12.6" customHeight="1" x14ac:dyDescent="0.25">
      <c r="A1" s="10" t="s">
        <v>1321</v>
      </c>
      <c r="B1" s="12" t="s">
        <v>1322</v>
      </c>
      <c r="C1" s="10" t="s">
        <v>1323</v>
      </c>
      <c r="D1" s="12" t="s">
        <v>1324</v>
      </c>
      <c r="E1" s="10" t="s">
        <v>1325</v>
      </c>
      <c r="F1" s="10" t="s">
        <v>1326</v>
      </c>
      <c r="G1" s="10" t="s">
        <v>1327</v>
      </c>
      <c r="H1" s="10" t="s">
        <v>1328</v>
      </c>
      <c r="I1" s="10" t="s">
        <v>1329</v>
      </c>
      <c r="J1" s="10" t="s">
        <v>1330</v>
      </c>
      <c r="K1" s="10" t="s">
        <v>1331</v>
      </c>
      <c r="L1" s="10" t="s">
        <v>1332</v>
      </c>
      <c r="M1" s="10" t="s">
        <v>1333</v>
      </c>
      <c r="N1" s="10" t="s">
        <v>1334</v>
      </c>
      <c r="O1" s="10" t="s">
        <v>1335</v>
      </c>
      <c r="P1" s="10" t="s">
        <v>1303</v>
      </c>
      <c r="Q1" s="10" t="s">
        <v>1304</v>
      </c>
      <c r="R1" s="10" t="s">
        <v>1305</v>
      </c>
      <c r="S1" s="10" t="s">
        <v>1306</v>
      </c>
      <c r="T1" s="10" t="s">
        <v>1307</v>
      </c>
      <c r="U1" s="10" t="s">
        <v>1308</v>
      </c>
      <c r="V1" s="10" t="s">
        <v>1309</v>
      </c>
      <c r="W1" s="10" t="s">
        <v>1310</v>
      </c>
      <c r="X1" s="10" t="s">
        <v>1311</v>
      </c>
      <c r="Y1" s="10" t="s">
        <v>1312</v>
      </c>
      <c r="Z1" s="10" t="s">
        <v>1313</v>
      </c>
      <c r="AA1" s="10" t="s">
        <v>1314</v>
      </c>
      <c r="AB1" s="10" t="s">
        <v>1315</v>
      </c>
      <c r="AC1" s="10" t="s">
        <v>1316</v>
      </c>
      <c r="AD1" s="10" t="s">
        <v>1336</v>
      </c>
      <c r="AE1" s="10" t="s">
        <v>1337</v>
      </c>
      <c r="AF1" s="10" t="s">
        <v>1338</v>
      </c>
      <c r="AG1" s="10" t="s">
        <v>1339</v>
      </c>
      <c r="AH1" s="10" t="s">
        <v>1340</v>
      </c>
      <c r="AI1" s="10" t="s">
        <v>1341</v>
      </c>
      <c r="AJ1" s="10" t="s">
        <v>1342</v>
      </c>
      <c r="AK1" s="10" t="s">
        <v>1343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082</v>
      </c>
      <c r="B2" s="200" t="str">
        <f>RIGHT(data!$C$96,4)</f>
        <v>2024</v>
      </c>
      <c r="C2" s="12" t="str">
        <f>data!C$55</f>
        <v>6010</v>
      </c>
      <c r="D2" s="12" t="s">
        <v>1137</v>
      </c>
      <c r="E2" s="198">
        <f>ROUND(N(data!C59), 0)</f>
        <v>0</v>
      </c>
      <c r="F2" s="271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271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082</v>
      </c>
      <c r="B3" s="200" t="str">
        <f>RIGHT(data!$C$96,4)</f>
        <v>2024</v>
      </c>
      <c r="C3" s="12" t="str">
        <f>data!D$55</f>
        <v>6030</v>
      </c>
      <c r="D3" s="12" t="s">
        <v>1137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082</v>
      </c>
      <c r="B4" s="200" t="str">
        <f>RIGHT(data!$C$96,4)</f>
        <v>2024</v>
      </c>
      <c r="C4" s="12" t="str">
        <f>data!E$55</f>
        <v>6070</v>
      </c>
      <c r="D4" s="12" t="s">
        <v>1137</v>
      </c>
      <c r="E4" s="198">
        <f>ROUND(N(data!E59), 0)</f>
        <v>138</v>
      </c>
      <c r="F4" s="271">
        <f>ROUND(N(data!E60), 2)</f>
        <v>0.75</v>
      </c>
      <c r="G4" s="198">
        <f>ROUND(N(data!E61), 0)</f>
        <v>54927</v>
      </c>
      <c r="H4" s="198">
        <f>ROUND(N(data!E62), 0)</f>
        <v>15516</v>
      </c>
      <c r="I4" s="198">
        <f>ROUND(N(data!E63), 0)</f>
        <v>20823</v>
      </c>
      <c r="J4" s="198">
        <f>ROUND(N(data!E64), 0)</f>
        <v>3128</v>
      </c>
      <c r="K4" s="198">
        <f>ROUND(N(data!E65), 0)</f>
        <v>144</v>
      </c>
      <c r="L4" s="198">
        <f>ROUND(N(data!E66), 0)</f>
        <v>1696</v>
      </c>
      <c r="M4" s="198">
        <f>ROUND(N(data!E67), 0)</f>
        <v>2967</v>
      </c>
      <c r="N4" s="198">
        <f>ROUND(N(data!E68), 0)</f>
        <v>545</v>
      </c>
      <c r="O4" s="198">
        <f>ROUND(N(data!E69), 0)</f>
        <v>1068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366</v>
      </c>
      <c r="AA4" s="198">
        <f>ROUND(N(data!E81), 0)</f>
        <v>0</v>
      </c>
      <c r="AB4" s="198">
        <f>ROUND(N(data!E82), 0)</f>
        <v>0</v>
      </c>
      <c r="AC4" s="198">
        <f>ROUND(N(data!E83), 0)</f>
        <v>702</v>
      </c>
      <c r="AD4" s="198">
        <f>ROUND(N(data!E84), 0)</f>
        <v>0</v>
      </c>
      <c r="AE4" s="198">
        <f>ROUND(N(data!E89), 0)</f>
        <v>265206</v>
      </c>
      <c r="AF4" s="198">
        <f>ROUND(N(data!E87), 0)</f>
        <v>254781</v>
      </c>
      <c r="AG4" s="198">
        <f>ROUND(N(data!E90), 0)</f>
        <v>222</v>
      </c>
      <c r="AH4" s="198">
        <f>ROUND(N(data!E91), 0)</f>
        <v>423</v>
      </c>
      <c r="AI4" s="198">
        <f>ROUND(N(data!E92), 0)</f>
        <v>61</v>
      </c>
      <c r="AJ4" s="198">
        <f>ROUND(N(data!E93), 0)</f>
        <v>138</v>
      </c>
      <c r="AK4" s="271">
        <f>ROUND(N(data!E94), 2)</f>
        <v>0.7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082</v>
      </c>
      <c r="B5" s="200" t="str">
        <f>RIGHT(data!$C$96,4)</f>
        <v>2024</v>
      </c>
      <c r="C5" s="12" t="str">
        <f>data!F$55</f>
        <v>6100</v>
      </c>
      <c r="D5" s="12" t="s">
        <v>1137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082</v>
      </c>
      <c r="B6" s="200" t="str">
        <f>RIGHT(data!$C$96,4)</f>
        <v>2024</v>
      </c>
      <c r="C6" s="12" t="str">
        <f>data!G$55</f>
        <v>6120</v>
      </c>
      <c r="D6" s="12" t="s">
        <v>1137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082</v>
      </c>
      <c r="B7" s="200" t="str">
        <f>RIGHT(data!$C$96,4)</f>
        <v>2024</v>
      </c>
      <c r="C7" s="12" t="str">
        <f>data!H$55</f>
        <v>6140</v>
      </c>
      <c r="D7" s="12" t="s">
        <v>1137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082</v>
      </c>
      <c r="B8" s="200" t="str">
        <f>RIGHT(data!$C$96,4)</f>
        <v>2024</v>
      </c>
      <c r="C8" s="12" t="str">
        <f>data!I$55</f>
        <v>6150</v>
      </c>
      <c r="D8" s="12" t="s">
        <v>1137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082</v>
      </c>
      <c r="B9" s="200" t="str">
        <f>RIGHT(data!$C$96,4)</f>
        <v>2024</v>
      </c>
      <c r="C9" s="12" t="str">
        <f>data!J$55</f>
        <v>6170</v>
      </c>
      <c r="D9" s="12" t="s">
        <v>1137</v>
      </c>
      <c r="E9" s="198">
        <f>ROUND(N(data!J59), 0)</f>
        <v>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082</v>
      </c>
      <c r="B10" s="200" t="str">
        <f>RIGHT(data!$C$96,4)</f>
        <v>2024</v>
      </c>
      <c r="C10" s="12" t="str">
        <f>data!K$55</f>
        <v>6200</v>
      </c>
      <c r="D10" s="12" t="s">
        <v>1137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082</v>
      </c>
      <c r="B11" s="200" t="str">
        <f>RIGHT(data!$C$96,4)</f>
        <v>2024</v>
      </c>
      <c r="C11" s="12" t="str">
        <f>data!L$55</f>
        <v>6210</v>
      </c>
      <c r="D11" s="12" t="s">
        <v>1137</v>
      </c>
      <c r="E11" s="198">
        <f>ROUND(N(data!L59), 0)</f>
        <v>6055</v>
      </c>
      <c r="F11" s="271">
        <f>ROUND(N(data!L60), 2)</f>
        <v>32.76</v>
      </c>
      <c r="G11" s="198">
        <f>ROUND(N(data!L61), 0)</f>
        <v>2410011</v>
      </c>
      <c r="H11" s="198">
        <f>ROUND(N(data!L62), 0)</f>
        <v>680770</v>
      </c>
      <c r="I11" s="198">
        <f>ROUND(N(data!L63), 0)</f>
        <v>913629</v>
      </c>
      <c r="J11" s="198">
        <f>ROUND(N(data!L64), 0)</f>
        <v>137230</v>
      </c>
      <c r="K11" s="198">
        <f>ROUND(N(data!L65), 0)</f>
        <v>6340</v>
      </c>
      <c r="L11" s="198">
        <f>ROUND(N(data!L66), 0)</f>
        <v>74397</v>
      </c>
      <c r="M11" s="198">
        <f>ROUND(N(data!L67), 0)</f>
        <v>129963</v>
      </c>
      <c r="N11" s="198">
        <f>ROUND(N(data!L68), 0)</f>
        <v>23902</v>
      </c>
      <c r="O11" s="198">
        <f>ROUND(N(data!L69), 0)</f>
        <v>46853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16053</v>
      </c>
      <c r="AA11" s="198">
        <f>ROUND(N(data!L81), 0)</f>
        <v>0</v>
      </c>
      <c r="AB11" s="198">
        <f>ROUND(N(data!L82), 0)</f>
        <v>0</v>
      </c>
      <c r="AC11" s="198">
        <f>ROUND(N(data!L83), 0)</f>
        <v>30800</v>
      </c>
      <c r="AD11" s="198">
        <f>ROUND(N(data!L84), 0)</f>
        <v>0</v>
      </c>
      <c r="AE11" s="198">
        <f>ROUND(N(data!L89), 0)</f>
        <v>1492453</v>
      </c>
      <c r="AF11" s="198">
        <f>ROUND(N(data!L87), 0)</f>
        <v>1492453</v>
      </c>
      <c r="AG11" s="198">
        <f>ROUND(N(data!L90), 0)</f>
        <v>9723</v>
      </c>
      <c r="AH11" s="198">
        <f>ROUND(N(data!L91), 0)</f>
        <v>18562</v>
      </c>
      <c r="AI11" s="198">
        <f>ROUND(N(data!L92), 0)</f>
        <v>2682</v>
      </c>
      <c r="AJ11" s="198">
        <f>ROUND(N(data!L93), 0)</f>
        <v>6055</v>
      </c>
      <c r="AK11" s="271">
        <f>ROUND(N(data!L94), 2)</f>
        <v>30.84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082</v>
      </c>
      <c r="B12" s="200" t="str">
        <f>RIGHT(data!$C$96,4)</f>
        <v>2024</v>
      </c>
      <c r="C12" s="12" t="str">
        <f>data!M$55</f>
        <v>6330</v>
      </c>
      <c r="D12" s="12" t="s">
        <v>1137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082</v>
      </c>
      <c r="B13" s="200" t="str">
        <f>RIGHT(data!$C$96,4)</f>
        <v>2024</v>
      </c>
      <c r="C13" s="12" t="str">
        <f>data!N$55</f>
        <v>6400</v>
      </c>
      <c r="D13" s="12" t="s">
        <v>1137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 t="e">
        <f>ROUND(N(data!#REF!), 0)</f>
        <v>#REF!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082</v>
      </c>
      <c r="B14" s="200" t="str">
        <f>RIGHT(data!$C$96,4)</f>
        <v>2024</v>
      </c>
      <c r="C14" s="12" t="str">
        <f>data!O$55</f>
        <v>7010</v>
      </c>
      <c r="D14" s="12" t="s">
        <v>1137</v>
      </c>
      <c r="E14" s="198">
        <f>ROUND(N(data!O59), 0)</f>
        <v>0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ROUND(N(data!N70),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082</v>
      </c>
      <c r="B15" s="200" t="str">
        <f>RIGHT(data!$C$96,4)</f>
        <v>2024</v>
      </c>
      <c r="C15" s="12" t="str">
        <f>data!P$55</f>
        <v>7020</v>
      </c>
      <c r="D15" s="12" t="s">
        <v>1137</v>
      </c>
      <c r="E15" s="198">
        <f>ROUND(N(data!P59), 0)</f>
        <v>0</v>
      </c>
      <c r="F15" s="271">
        <f>ROUND(N(data!P60), 2)</f>
        <v>0</v>
      </c>
      <c r="G15" s="198">
        <f>ROUND(N(data!P61), 0)</f>
        <v>0</v>
      </c>
      <c r="H15" s="198">
        <f>ROUND(N(data!P62), 0)</f>
        <v>0</v>
      </c>
      <c r="I15" s="198">
        <f>ROUND(N(data!P63), 0)</f>
        <v>0</v>
      </c>
      <c r="J15" s="198">
        <f>ROUND(N(data!P64), 0)</f>
        <v>0</v>
      </c>
      <c r="K15" s="198">
        <f>ROUND(N(data!P65), 0)</f>
        <v>0</v>
      </c>
      <c r="L15" s="198">
        <f>ROUND(N(data!P66), 0)</f>
        <v>0</v>
      </c>
      <c r="M15" s="198">
        <f>ROUND(N(data!P67), 0)</f>
        <v>0</v>
      </c>
      <c r="N15" s="198">
        <f>ROUND(N(data!P68), 0)</f>
        <v>0</v>
      </c>
      <c r="O15" s="198">
        <f>ROUND(N(data!P69), 0)</f>
        <v>0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0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0</v>
      </c>
      <c r="AD15" s="198">
        <f>ROUND(N(data!P84), 0)</f>
        <v>0</v>
      </c>
      <c r="AE15" s="198">
        <f>ROUND(N(data!P89), 0)</f>
        <v>0</v>
      </c>
      <c r="AF15" s="198">
        <f>ROUND(N(data!P87), 0)</f>
        <v>0</v>
      </c>
      <c r="AG15" s="198">
        <f>ROUND(N(data!P90), 0)</f>
        <v>0</v>
      </c>
      <c r="AH15" s="198">
        <f>ROUND(N(data!P91), 0)</f>
        <v>0</v>
      </c>
      <c r="AI15" s="198">
        <f>ROUND(N(data!P92), 0)</f>
        <v>0</v>
      </c>
      <c r="AJ15" s="198">
        <f>ROUND(N(data!P93), 0)</f>
        <v>0</v>
      </c>
      <c r="AK15" s="271">
        <f>ROUND(N(data!P94), 2)</f>
        <v>0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082</v>
      </c>
      <c r="B16" s="200" t="str">
        <f>RIGHT(data!$C$96,4)</f>
        <v>2024</v>
      </c>
      <c r="C16" s="12" t="str">
        <f>data!Q$55</f>
        <v>7030</v>
      </c>
      <c r="D16" s="12" t="s">
        <v>1137</v>
      </c>
      <c r="E16" s="198">
        <f>ROUND(N(data!Q59), 0)</f>
        <v>0</v>
      </c>
      <c r="F16" s="271">
        <f>ROUND(N(data!Q60), 2)</f>
        <v>0</v>
      </c>
      <c r="G16" s="198">
        <f>ROUND(N(data!Q61), 0)</f>
        <v>0</v>
      </c>
      <c r="H16" s="198">
        <f>ROUND(N(data!Q62), 0)</f>
        <v>0</v>
      </c>
      <c r="I16" s="198">
        <f>ROUND(N(data!Q63), 0)</f>
        <v>0</v>
      </c>
      <c r="J16" s="198">
        <f>ROUND(N(data!Q64), 0)</f>
        <v>0</v>
      </c>
      <c r="K16" s="198">
        <f>ROUND(N(data!Q65), 0)</f>
        <v>0</v>
      </c>
      <c r="L16" s="198">
        <f>ROUND(N(data!Q66), 0)</f>
        <v>0</v>
      </c>
      <c r="M16" s="198">
        <f>ROUND(N(data!Q67), 0)</f>
        <v>0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0</v>
      </c>
      <c r="AF16" s="198">
        <f>ROUND(N(data!Q87), 0)</f>
        <v>0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271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082</v>
      </c>
      <c r="B17" s="200" t="str">
        <f>RIGHT(data!$C$96,4)</f>
        <v>2024</v>
      </c>
      <c r="C17" s="12" t="str">
        <f>data!R$55</f>
        <v>7040</v>
      </c>
      <c r="D17" s="12" t="s">
        <v>1137</v>
      </c>
      <c r="E17" s="198">
        <f>ROUND(N(data!R59), 0)</f>
        <v>0</v>
      </c>
      <c r="F17" s="271">
        <f>ROUND(N(data!R60), 2)</f>
        <v>0</v>
      </c>
      <c r="G17" s="198">
        <f>ROUND(N(data!R61), 0)</f>
        <v>0</v>
      </c>
      <c r="H17" s="198">
        <f>ROUND(N(data!R62), 0)</f>
        <v>0</v>
      </c>
      <c r="I17" s="198">
        <f>ROUND(N(data!R63), 0)</f>
        <v>0</v>
      </c>
      <c r="J17" s="198">
        <f>ROUND(N(data!R64), 0)</f>
        <v>0</v>
      </c>
      <c r="K17" s="198">
        <f>ROUND(N(data!R65), 0)</f>
        <v>0</v>
      </c>
      <c r="L17" s="198">
        <f>ROUND(N(data!R66), 0)</f>
        <v>0</v>
      </c>
      <c r="M17" s="198">
        <f>ROUND(N(data!R67), 0)</f>
        <v>0</v>
      </c>
      <c r="N17" s="198">
        <f>ROUND(N(data!R68), 0)</f>
        <v>0</v>
      </c>
      <c r="O17" s="198">
        <f>ROUND(N(data!R69), 0)</f>
        <v>0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0</v>
      </c>
      <c r="AF17" s="198">
        <f>ROUND(N(data!R87), 0)</f>
        <v>0</v>
      </c>
      <c r="AG17" s="198">
        <f>ROUND(N(data!R90), 0)</f>
        <v>0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082</v>
      </c>
      <c r="B18" s="200" t="str">
        <f>RIGHT(data!$C$96,4)</f>
        <v>2024</v>
      </c>
      <c r="C18" s="12" t="str">
        <f>data!S$55</f>
        <v>7050</v>
      </c>
      <c r="D18" s="12" t="s">
        <v>1137</v>
      </c>
      <c r="E18" s="198">
        <f>ROUND(N(data!S59), 0)</f>
        <v>0</v>
      </c>
      <c r="F18" s="271">
        <f>ROUND(N(data!S60), 2)</f>
        <v>0.84</v>
      </c>
      <c r="G18" s="198">
        <f>ROUND(N(data!S61), 0)</f>
        <v>55623</v>
      </c>
      <c r="H18" s="198">
        <f>ROUND(N(data!S62), 0)</f>
        <v>15712</v>
      </c>
      <c r="I18" s="198">
        <f>ROUND(N(data!S63), 0)</f>
        <v>0</v>
      </c>
      <c r="J18" s="198">
        <f>ROUND(N(data!S64), 0)</f>
        <v>39534</v>
      </c>
      <c r="K18" s="198">
        <f>ROUND(N(data!S65), 0)</f>
        <v>0</v>
      </c>
      <c r="L18" s="198">
        <f>ROUND(N(data!S66), 0)</f>
        <v>592</v>
      </c>
      <c r="M18" s="198">
        <f>ROUND(N(data!S67), 0)</f>
        <v>3836</v>
      </c>
      <c r="N18" s="198">
        <f>ROUND(N(data!S68), 0)</f>
        <v>0</v>
      </c>
      <c r="O18" s="198">
        <f>ROUND(N(data!S69), 0)</f>
        <v>1677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1677</v>
      </c>
      <c r="AD18" s="198">
        <f>ROUND(N(data!S84), 0)</f>
        <v>0</v>
      </c>
      <c r="AE18" s="198">
        <f>ROUND(N(data!S89), 0)</f>
        <v>18021</v>
      </c>
      <c r="AF18" s="198">
        <f>ROUND(N(data!S87), 0)</f>
        <v>4053</v>
      </c>
      <c r="AG18" s="198">
        <f>ROUND(N(data!S90), 0)</f>
        <v>287</v>
      </c>
      <c r="AH18" s="198">
        <f>ROUND(N(data!S91), 0)</f>
        <v>0</v>
      </c>
      <c r="AI18" s="198">
        <f>ROUND(N(data!S92), 0)</f>
        <v>79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082</v>
      </c>
      <c r="B19" s="200" t="str">
        <f>RIGHT(data!$C$96,4)</f>
        <v>2024</v>
      </c>
      <c r="C19" s="12" t="str">
        <f>data!T$55</f>
        <v>7060</v>
      </c>
      <c r="D19" s="12" t="s">
        <v>1137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082</v>
      </c>
      <c r="B20" s="200" t="str">
        <f>RIGHT(data!$C$96,4)</f>
        <v>2024</v>
      </c>
      <c r="C20" s="12" t="str">
        <f>data!U$55</f>
        <v>7070</v>
      </c>
      <c r="D20" s="12" t="s">
        <v>1137</v>
      </c>
      <c r="E20" s="198">
        <f>ROUND(N(data!U59), 0)</f>
        <v>3483</v>
      </c>
      <c r="F20" s="271">
        <f>ROUND(N(data!U60), 2)</f>
        <v>5.84</v>
      </c>
      <c r="G20" s="198">
        <f>ROUND(N(data!U61), 0)</f>
        <v>350991</v>
      </c>
      <c r="H20" s="198">
        <f>ROUND(N(data!U62), 0)</f>
        <v>99147</v>
      </c>
      <c r="I20" s="198">
        <f>ROUND(N(data!U63), 0)</f>
        <v>39798</v>
      </c>
      <c r="J20" s="198">
        <f>ROUND(N(data!U64), 0)</f>
        <v>236480</v>
      </c>
      <c r="K20" s="198">
        <f>ROUND(N(data!U65), 0)</f>
        <v>0</v>
      </c>
      <c r="L20" s="198">
        <f>ROUND(N(data!U66), 0)</f>
        <v>109343</v>
      </c>
      <c r="M20" s="198">
        <f>ROUND(N(data!U67), 0)</f>
        <v>9798</v>
      </c>
      <c r="N20" s="198">
        <f>ROUND(N(data!U68), 0)</f>
        <v>0</v>
      </c>
      <c r="O20" s="198">
        <f>ROUND(N(data!U69), 0)</f>
        <v>4840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0</v>
      </c>
      <c r="X20" s="198">
        <f>ROUND(N(data!U78), 0)</f>
        <v>0</v>
      </c>
      <c r="Y20" s="198">
        <f>ROUND(N(data!U79), 0)</f>
        <v>0</v>
      </c>
      <c r="Z20" s="198">
        <f>ROUND(N(data!U80), 0)</f>
        <v>3401</v>
      </c>
      <c r="AA20" s="198">
        <f>ROUND(N(data!U81), 0)</f>
        <v>0</v>
      </c>
      <c r="AB20" s="198">
        <f>ROUND(N(data!U82), 0)</f>
        <v>0</v>
      </c>
      <c r="AC20" s="198">
        <f>ROUND(N(data!U83), 0)</f>
        <v>1439</v>
      </c>
      <c r="AD20" s="198">
        <f>ROUND(N(data!U84), 0)</f>
        <v>0</v>
      </c>
      <c r="AE20" s="198">
        <f>ROUND(N(data!U89), 0)</f>
        <v>1322983</v>
      </c>
      <c r="AF20" s="198">
        <f>ROUND(N(data!U87), 0)</f>
        <v>131124</v>
      </c>
      <c r="AG20" s="198">
        <f>ROUND(N(data!U90), 0)</f>
        <v>733</v>
      </c>
      <c r="AH20" s="198">
        <f>ROUND(N(data!U91), 0)</f>
        <v>0</v>
      </c>
      <c r="AI20" s="198">
        <f>ROUND(N(data!U92), 0)</f>
        <v>202</v>
      </c>
      <c r="AJ20" s="198">
        <f>ROUND(N(data!U93), 0)</f>
        <v>0</v>
      </c>
      <c r="AK20" s="271">
        <f>ROUND(N(data!U94), 2)</f>
        <v>0.01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082</v>
      </c>
      <c r="B21" s="200" t="str">
        <f>RIGHT(data!$C$96,4)</f>
        <v>2024</v>
      </c>
      <c r="C21" s="12" t="str">
        <f>data!V$55</f>
        <v>7110</v>
      </c>
      <c r="D21" s="12" t="s">
        <v>1137</v>
      </c>
      <c r="E21" s="198">
        <f>ROUND(N(data!V59), 0)</f>
        <v>295</v>
      </c>
      <c r="F21" s="271">
        <f>ROUND(N(data!V60), 2)</f>
        <v>0.03</v>
      </c>
      <c r="G21" s="198">
        <f>ROUND(N(data!V61), 0)</f>
        <v>2363</v>
      </c>
      <c r="H21" s="198">
        <f>ROUND(N(data!V62), 0)</f>
        <v>667</v>
      </c>
      <c r="I21" s="198">
        <f>ROUND(N(data!V63), 0)</f>
        <v>4718</v>
      </c>
      <c r="J21" s="198">
        <f>ROUND(N(data!V64), 0)</f>
        <v>225</v>
      </c>
      <c r="K21" s="198">
        <f>ROUND(N(data!V65), 0)</f>
        <v>0</v>
      </c>
      <c r="L21" s="198">
        <f>ROUND(N(data!V66), 0)</f>
        <v>3578</v>
      </c>
      <c r="M21" s="198">
        <f>ROUND(N(data!V67), 0)</f>
        <v>0</v>
      </c>
      <c r="N21" s="198">
        <f>ROUND(N(data!V68), 0)</f>
        <v>0</v>
      </c>
      <c r="O21" s="198">
        <f>ROUND(N(data!V69), 0)</f>
        <v>791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498</v>
      </c>
      <c r="AA21" s="198">
        <f>ROUND(N(data!V81), 0)</f>
        <v>0</v>
      </c>
      <c r="AB21" s="198">
        <f>ROUND(N(data!V82), 0)</f>
        <v>0</v>
      </c>
      <c r="AC21" s="198">
        <f>ROUND(N(data!V83), 0)</f>
        <v>293</v>
      </c>
      <c r="AD21" s="198">
        <f>ROUND(N(data!V84), 0)</f>
        <v>0</v>
      </c>
      <c r="AE21" s="198">
        <f>ROUND(N(data!V89), 0)</f>
        <v>89472</v>
      </c>
      <c r="AF21" s="198">
        <f>ROUND(N(data!V87), 0)</f>
        <v>3939</v>
      </c>
      <c r="AG21" s="198">
        <f>ROUND(N(data!V90), 0)</f>
        <v>0</v>
      </c>
      <c r="AH21" s="198">
        <f>ROUND(N(data!V91), 0)</f>
        <v>0</v>
      </c>
      <c r="AI21" s="198">
        <f>ROUND(N(data!V92), 0)</f>
        <v>12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082</v>
      </c>
      <c r="B22" s="200" t="str">
        <f>RIGHT(data!$C$96,4)</f>
        <v>2024</v>
      </c>
      <c r="C22" s="12" t="str">
        <f>data!W$55</f>
        <v>7120</v>
      </c>
      <c r="D22" s="12" t="s">
        <v>1137</v>
      </c>
      <c r="E22" s="198">
        <f>ROUND(N(data!W59), 0)</f>
        <v>0</v>
      </c>
      <c r="F22" s="271">
        <f>ROUND(N(data!W60), 2)</f>
        <v>0</v>
      </c>
      <c r="G22" s="198">
        <f>ROUND(N(data!W61), 0)</f>
        <v>0</v>
      </c>
      <c r="H22" s="198">
        <f>ROUND(N(data!W62), 0)</f>
        <v>0</v>
      </c>
      <c r="I22" s="198">
        <f>ROUND(N(data!W63), 0)</f>
        <v>0</v>
      </c>
      <c r="J22" s="198">
        <f>ROUND(N(data!W64), 0)</f>
        <v>0</v>
      </c>
      <c r="K22" s="198">
        <f>ROUND(N(data!W65), 0)</f>
        <v>0</v>
      </c>
      <c r="L22" s="198">
        <f>ROUND(N(data!W66), 0)</f>
        <v>0</v>
      </c>
      <c r="M22" s="198">
        <f>ROUND(N(data!W67), 0)</f>
        <v>0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0</v>
      </c>
      <c r="AF22" s="198">
        <f>ROUND(N(data!W87), 0)</f>
        <v>0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082</v>
      </c>
      <c r="B23" s="200" t="str">
        <f>RIGHT(data!$C$96,4)</f>
        <v>2024</v>
      </c>
      <c r="C23" s="12" t="str">
        <f>data!X$55</f>
        <v>7130</v>
      </c>
      <c r="D23" s="12" t="s">
        <v>1137</v>
      </c>
      <c r="E23" s="198">
        <f>ROUND(N(data!X59), 0)</f>
        <v>0</v>
      </c>
      <c r="F23" s="271">
        <f>ROUND(N(data!X60), 2)</f>
        <v>0</v>
      </c>
      <c r="G23" s="198">
        <f>ROUND(N(data!X61), 0)</f>
        <v>0</v>
      </c>
      <c r="H23" s="198">
        <f>ROUND(N(data!X62), 0)</f>
        <v>0</v>
      </c>
      <c r="I23" s="198">
        <f>ROUND(N(data!X63), 0)</f>
        <v>0</v>
      </c>
      <c r="J23" s="198">
        <f>ROUND(N(data!X64), 0)</f>
        <v>0</v>
      </c>
      <c r="K23" s="198">
        <f>ROUND(N(data!X65), 0)</f>
        <v>0</v>
      </c>
      <c r="L23" s="198">
        <f>ROUND(N(data!X66), 0)</f>
        <v>0</v>
      </c>
      <c r="M23" s="198">
        <f>ROUND(N(data!X67), 0)</f>
        <v>0</v>
      </c>
      <c r="N23" s="198">
        <f>ROUND(N(data!X68), 0)</f>
        <v>0</v>
      </c>
      <c r="O23" s="198">
        <f>ROUND(N(data!X69), 0)</f>
        <v>0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0</v>
      </c>
      <c r="AF23" s="198">
        <f>ROUND(N(data!X87), 0)</f>
        <v>0</v>
      </c>
      <c r="AG23" s="198">
        <f>ROUND(N(data!X90), 0)</f>
        <v>0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082</v>
      </c>
      <c r="B24" s="200" t="str">
        <f>RIGHT(data!$C$96,4)</f>
        <v>2024</v>
      </c>
      <c r="C24" s="12" t="str">
        <f>data!Y$55</f>
        <v>7140</v>
      </c>
      <c r="D24" s="12" t="s">
        <v>1137</v>
      </c>
      <c r="E24" s="198">
        <f>ROUND(N(data!Y59), 0)</f>
        <v>1481</v>
      </c>
      <c r="F24" s="271">
        <f>ROUND(N(data!Y60), 2)</f>
        <v>5.33</v>
      </c>
      <c r="G24" s="198">
        <f>ROUND(N(data!Y61), 0)</f>
        <v>397519</v>
      </c>
      <c r="H24" s="198">
        <f>ROUND(N(data!Y62), 0)</f>
        <v>112290</v>
      </c>
      <c r="I24" s="198">
        <f>ROUND(N(data!Y63), 0)</f>
        <v>37455</v>
      </c>
      <c r="J24" s="198">
        <f>ROUND(N(data!Y64), 0)</f>
        <v>1787</v>
      </c>
      <c r="K24" s="198">
        <f>ROUND(N(data!Y65), 0)</f>
        <v>0</v>
      </c>
      <c r="L24" s="198">
        <f>ROUND(N(data!Y66), 0)</f>
        <v>28405</v>
      </c>
      <c r="M24" s="198">
        <f>ROUND(N(data!Y67), 0)</f>
        <v>5160</v>
      </c>
      <c r="N24" s="198">
        <f>ROUND(N(data!Y68), 0)</f>
        <v>0</v>
      </c>
      <c r="O24" s="198">
        <f>ROUND(N(data!Y69), 0)</f>
        <v>6278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0</v>
      </c>
      <c r="X24" s="198">
        <f>ROUND(N(data!Y78), 0)</f>
        <v>0</v>
      </c>
      <c r="Y24" s="198">
        <f>ROUND(N(data!Y79), 0)</f>
        <v>0</v>
      </c>
      <c r="Z24" s="198">
        <f>ROUND(N(data!Y80), 0)</f>
        <v>3953</v>
      </c>
      <c r="AA24" s="198">
        <f>ROUND(N(data!Y81), 0)</f>
        <v>0</v>
      </c>
      <c r="AB24" s="198">
        <f>ROUND(N(data!Y82), 0)</f>
        <v>0</v>
      </c>
      <c r="AC24" s="198">
        <f>ROUND(N(data!Y83), 0)</f>
        <v>2325</v>
      </c>
      <c r="AD24" s="198">
        <f>ROUND(N(data!Y84), 0)</f>
        <v>0</v>
      </c>
      <c r="AE24" s="198">
        <f>ROUND(N(data!Y89), 0)</f>
        <v>710266</v>
      </c>
      <c r="AF24" s="198">
        <f>ROUND(N(data!Y87), 0)</f>
        <v>84260</v>
      </c>
      <c r="AG24" s="198">
        <f>ROUND(N(data!Y90), 0)</f>
        <v>386</v>
      </c>
      <c r="AH24" s="198">
        <f>ROUND(N(data!Y91), 0)</f>
        <v>0</v>
      </c>
      <c r="AI24" s="198">
        <f>ROUND(N(data!Y92), 0)</f>
        <v>94</v>
      </c>
      <c r="AJ24" s="198">
        <f>ROUND(N(data!Y93), 0)</f>
        <v>0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082</v>
      </c>
      <c r="B25" s="200" t="str">
        <f>RIGHT(data!$C$96,4)</f>
        <v>2024</v>
      </c>
      <c r="C25" s="12" t="str">
        <f>data!Z$55</f>
        <v>7150</v>
      </c>
      <c r="D25" s="12" t="s">
        <v>1137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082</v>
      </c>
      <c r="B26" s="200" t="str">
        <f>RIGHT(data!$C$96,4)</f>
        <v>2024</v>
      </c>
      <c r="C26" s="12" t="str">
        <f>data!AA$55</f>
        <v>7160</v>
      </c>
      <c r="D26" s="12" t="s">
        <v>1137</v>
      </c>
      <c r="E26" s="198">
        <f>ROUND(N(data!AA59), 0)</f>
        <v>0</v>
      </c>
      <c r="F26" s="271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082</v>
      </c>
      <c r="B27" s="200" t="str">
        <f>RIGHT(data!$C$96,4)</f>
        <v>2024</v>
      </c>
      <c r="C27" s="12" t="str">
        <f>data!AB$55</f>
        <v>7170</v>
      </c>
      <c r="D27" s="12" t="s">
        <v>1137</v>
      </c>
      <c r="E27" s="198">
        <f>ROUND(N(data!AB59), 0)</f>
        <v>0</v>
      </c>
      <c r="F27" s="271">
        <f>ROUND(N(data!AB60), 2)</f>
        <v>0</v>
      </c>
      <c r="G27" s="198">
        <f>ROUND(N(data!AB61), 0)</f>
        <v>0</v>
      </c>
      <c r="H27" s="198">
        <f>ROUND(N(data!AB62), 0)</f>
        <v>0</v>
      </c>
      <c r="I27" s="198">
        <f>ROUND(N(data!AB63), 0)</f>
        <v>277351</v>
      </c>
      <c r="J27" s="198">
        <f>ROUND(N(data!AB64), 0)</f>
        <v>227363</v>
      </c>
      <c r="K27" s="198">
        <f>ROUND(N(data!AB65), 0)</f>
        <v>0</v>
      </c>
      <c r="L27" s="198">
        <f>ROUND(N(data!AB66), 0)</f>
        <v>19842</v>
      </c>
      <c r="M27" s="198">
        <f>ROUND(N(data!AB67), 0)</f>
        <v>762</v>
      </c>
      <c r="N27" s="198">
        <f>ROUND(N(data!AB68), 0)</f>
        <v>0</v>
      </c>
      <c r="O27" s="198">
        <f>ROUND(N(data!AB69), 0)</f>
        <v>425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425</v>
      </c>
      <c r="AD27" s="198">
        <f>ROUND(N(data!AB84), 0)</f>
        <v>0</v>
      </c>
      <c r="AE27" s="198">
        <f>ROUND(N(data!AB89), 0)</f>
        <v>1207253</v>
      </c>
      <c r="AF27" s="198">
        <f>ROUND(N(data!AB87), 0)</f>
        <v>527002</v>
      </c>
      <c r="AG27" s="198">
        <f>ROUND(N(data!AB90), 0)</f>
        <v>57</v>
      </c>
      <c r="AH27" s="198">
        <f>ROUND(N(data!AB91), 0)</f>
        <v>0</v>
      </c>
      <c r="AI27" s="198">
        <f>ROUND(N(data!AB92), 0)</f>
        <v>16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082</v>
      </c>
      <c r="B28" s="200" t="str">
        <f>RIGHT(data!$C$96,4)</f>
        <v>2024</v>
      </c>
      <c r="C28" s="12" t="str">
        <f>data!AC$55</f>
        <v>7180</v>
      </c>
      <c r="D28" s="12" t="s">
        <v>1137</v>
      </c>
      <c r="E28" s="198">
        <f>ROUND(N(data!AC59), 0)</f>
        <v>0</v>
      </c>
      <c r="F28" s="271">
        <f>ROUND(N(data!AC60), 2)</f>
        <v>0</v>
      </c>
      <c r="G28" s="198">
        <f>ROUND(N(data!AC61), 0)</f>
        <v>0</v>
      </c>
      <c r="H28" s="198">
        <f>ROUND(N(data!AC62), 0)</f>
        <v>0</v>
      </c>
      <c r="I28" s="198">
        <f>ROUND(N(data!AC63), 0)</f>
        <v>0</v>
      </c>
      <c r="J28" s="198">
        <f>ROUND(N(data!AC64), 0)</f>
        <v>0</v>
      </c>
      <c r="K28" s="198">
        <f>ROUND(N(data!AC65), 0)</f>
        <v>0</v>
      </c>
      <c r="L28" s="198">
        <f>ROUND(N(data!AC66), 0)</f>
        <v>0</v>
      </c>
      <c r="M28" s="198">
        <f>ROUND(N(data!AC67), 0)</f>
        <v>0</v>
      </c>
      <c r="N28" s="198">
        <f>ROUND(N(data!AC68), 0)</f>
        <v>0</v>
      </c>
      <c r="O28" s="198">
        <f>ROUND(N(data!AC69), 0)</f>
        <v>0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0</v>
      </c>
      <c r="AD28" s="198">
        <f>ROUND(N(data!AC84), 0)</f>
        <v>0</v>
      </c>
      <c r="AE28" s="198">
        <f>ROUND(N(data!AC89), 0)</f>
        <v>0</v>
      </c>
      <c r="AF28" s="198">
        <f>ROUND(N(data!AC87), 0)</f>
        <v>0</v>
      </c>
      <c r="AG28" s="198">
        <f>ROUND(N(data!AC90), 0)</f>
        <v>0</v>
      </c>
      <c r="AH28" s="198">
        <f>ROUND(N(data!AC91), 0)</f>
        <v>0</v>
      </c>
      <c r="AI28" s="198">
        <f>ROUND(N(data!AC92), 0)</f>
        <v>0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082</v>
      </c>
      <c r="B29" s="200" t="str">
        <f>RIGHT(data!$C$96,4)</f>
        <v>2024</v>
      </c>
      <c r="C29" s="12" t="str">
        <f>data!AD$55</f>
        <v>7190</v>
      </c>
      <c r="D29" s="12" t="s">
        <v>1137</v>
      </c>
      <c r="E29" s="198">
        <f>ROUND(N(data!AD59), 0)</f>
        <v>9</v>
      </c>
      <c r="F29" s="271">
        <f>ROUND(N(data!AD60), 2)</f>
        <v>0.05</v>
      </c>
      <c r="G29" s="198">
        <f>ROUND(N(data!AD61), 0)</f>
        <v>3315</v>
      </c>
      <c r="H29" s="198">
        <f>ROUND(N(data!AD62), 0)</f>
        <v>936</v>
      </c>
      <c r="I29" s="198">
        <f>ROUND(N(data!AD63), 0)</f>
        <v>134853</v>
      </c>
      <c r="J29" s="198">
        <f>ROUND(N(data!AD64), 0)</f>
        <v>3508</v>
      </c>
      <c r="K29" s="198">
        <f>ROUND(N(data!AD65), 0)</f>
        <v>1036</v>
      </c>
      <c r="L29" s="198">
        <f>ROUND(N(data!AD66), 0)</f>
        <v>0</v>
      </c>
      <c r="M29" s="198">
        <f>ROUND(N(data!AD67), 0)</f>
        <v>0</v>
      </c>
      <c r="N29" s="198">
        <f>ROUND(N(data!AD68), 0)</f>
        <v>20000</v>
      </c>
      <c r="O29" s="198">
        <f>ROUND(N(data!AD69), 0)</f>
        <v>9542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1930</v>
      </c>
      <c r="AA29" s="198">
        <f>ROUND(N(data!AD81), 0)</f>
        <v>0</v>
      </c>
      <c r="AB29" s="198">
        <f>ROUND(N(data!AD82), 0)</f>
        <v>0</v>
      </c>
      <c r="AC29" s="198">
        <f>ROUND(N(data!AD83), 0)</f>
        <v>7612</v>
      </c>
      <c r="AD29" s="198">
        <f>ROUND(N(data!AD84), 0)</f>
        <v>0</v>
      </c>
      <c r="AE29" s="198">
        <f>ROUND(N(data!AD89), 0)</f>
        <v>20300</v>
      </c>
      <c r="AF29" s="198">
        <f>ROUND(N(data!AD87), 0)</f>
        <v>20300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082</v>
      </c>
      <c r="B30" s="200" t="str">
        <f>RIGHT(data!$C$96,4)</f>
        <v>2024</v>
      </c>
      <c r="C30" s="12" t="str">
        <f>data!AE$55</f>
        <v>7200</v>
      </c>
      <c r="D30" s="12" t="s">
        <v>1137</v>
      </c>
      <c r="E30" s="198">
        <f>ROUND(N(data!AE59), 0)</f>
        <v>2106</v>
      </c>
      <c r="F30" s="271">
        <f>ROUND(N(data!AE60), 2)</f>
        <v>1.03</v>
      </c>
      <c r="G30" s="198">
        <f>ROUND(N(data!AE61), 0)</f>
        <v>153083</v>
      </c>
      <c r="H30" s="198">
        <f>ROUND(N(data!AE62), 0)</f>
        <v>43242</v>
      </c>
      <c r="I30" s="198">
        <f>ROUND(N(data!AE63), 0)</f>
        <v>12524</v>
      </c>
      <c r="J30" s="198">
        <f>ROUND(N(data!AE64), 0)</f>
        <v>1246</v>
      </c>
      <c r="K30" s="198">
        <f>ROUND(N(data!AE65), 0)</f>
        <v>0</v>
      </c>
      <c r="L30" s="198">
        <f>ROUND(N(data!AE66), 0)</f>
        <v>3426</v>
      </c>
      <c r="M30" s="198">
        <f>ROUND(N(data!AE67), 0)</f>
        <v>6697</v>
      </c>
      <c r="N30" s="198">
        <f>ROUND(N(data!AE68), 0)</f>
        <v>0</v>
      </c>
      <c r="O30" s="198">
        <f>ROUND(N(data!AE69), 0)</f>
        <v>105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105</v>
      </c>
      <c r="AA30" s="198">
        <f>ROUND(N(data!AE81), 0)</f>
        <v>0</v>
      </c>
      <c r="AB30" s="198">
        <f>ROUND(N(data!AE82), 0)</f>
        <v>0</v>
      </c>
      <c r="AC30" s="198">
        <f>ROUND(N(data!AE83), 0)</f>
        <v>0</v>
      </c>
      <c r="AD30" s="198">
        <f>ROUND(N(data!AE84), 0)</f>
        <v>0</v>
      </c>
      <c r="AE30" s="198">
        <f>ROUND(N(data!AE89), 0)</f>
        <v>649570</v>
      </c>
      <c r="AF30" s="198">
        <f>ROUND(N(data!AE87), 0)</f>
        <v>85225</v>
      </c>
      <c r="AG30" s="198">
        <f>ROUND(N(data!AE90), 0)</f>
        <v>501</v>
      </c>
      <c r="AH30" s="198">
        <f>ROUND(N(data!AE91), 0)</f>
        <v>0</v>
      </c>
      <c r="AI30" s="198">
        <f>ROUND(N(data!AE92), 0)</f>
        <v>138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082</v>
      </c>
      <c r="B31" s="200" t="str">
        <f>RIGHT(data!$C$96,4)</f>
        <v>2024</v>
      </c>
      <c r="C31" s="12" t="str">
        <f>data!AF$55</f>
        <v>7220</v>
      </c>
      <c r="D31" s="12" t="s">
        <v>1137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082</v>
      </c>
      <c r="B32" s="200" t="str">
        <f>RIGHT(data!$C$96,4)</f>
        <v>2024</v>
      </c>
      <c r="C32" s="12" t="str">
        <f>data!AG$55</f>
        <v>7230</v>
      </c>
      <c r="D32" s="12" t="s">
        <v>1137</v>
      </c>
      <c r="E32" s="198">
        <f>ROUND(N(data!AG59), 0)</f>
        <v>965</v>
      </c>
      <c r="F32" s="271">
        <f>ROUND(N(data!AG60), 2)</f>
        <v>2.41</v>
      </c>
      <c r="G32" s="198">
        <f>ROUND(N(data!AG61), 0)</f>
        <v>760004</v>
      </c>
      <c r="H32" s="198">
        <f>ROUND(N(data!AG62), 0)</f>
        <v>214683</v>
      </c>
      <c r="I32" s="198">
        <f>ROUND(N(data!AG63), 0)</f>
        <v>59140</v>
      </c>
      <c r="J32" s="198">
        <f>ROUND(N(data!AG64), 0)</f>
        <v>24066</v>
      </c>
      <c r="K32" s="198">
        <f>ROUND(N(data!AG65), 0)</f>
        <v>1049</v>
      </c>
      <c r="L32" s="198">
        <f>ROUND(N(data!AG66), 0)</f>
        <v>0</v>
      </c>
      <c r="M32" s="198">
        <f>ROUND(N(data!AG67), 0)</f>
        <v>11629</v>
      </c>
      <c r="N32" s="198">
        <f>ROUND(N(data!AG68), 0)</f>
        <v>15491</v>
      </c>
      <c r="O32" s="198">
        <f>ROUND(N(data!AG69), 0)</f>
        <v>8186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5742</v>
      </c>
      <c r="AA32" s="198">
        <f>ROUND(N(data!AG81), 0)</f>
        <v>0</v>
      </c>
      <c r="AB32" s="198">
        <f>ROUND(N(data!AG82), 0)</f>
        <v>0</v>
      </c>
      <c r="AC32" s="198">
        <f>ROUND(N(data!AG83), 0)</f>
        <v>2444</v>
      </c>
      <c r="AD32" s="198">
        <f>ROUND(N(data!AG84), 0)</f>
        <v>0</v>
      </c>
      <c r="AE32" s="198">
        <f>ROUND(N(data!AG89), 0)</f>
        <v>2162998</v>
      </c>
      <c r="AF32" s="198">
        <f>ROUND(N(data!AG87), 0)</f>
        <v>0</v>
      </c>
      <c r="AG32" s="198">
        <f>ROUND(N(data!AG90), 0)</f>
        <v>870</v>
      </c>
      <c r="AH32" s="198">
        <f>ROUND(N(data!AG91), 0)</f>
        <v>0</v>
      </c>
      <c r="AI32" s="198">
        <f>ROUND(N(data!AG92), 0)</f>
        <v>240</v>
      </c>
      <c r="AJ32" s="198">
        <f>ROUND(N(data!AG93), 0)</f>
        <v>0</v>
      </c>
      <c r="AK32" s="271">
        <f>ROUND(N(data!AG94), 2)</f>
        <v>0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082</v>
      </c>
      <c r="B33" s="200" t="str">
        <f>RIGHT(data!$C$96,4)</f>
        <v>2024</v>
      </c>
      <c r="C33" s="12" t="str">
        <f>data!AH$55</f>
        <v>7240</v>
      </c>
      <c r="D33" s="12" t="s">
        <v>1137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082</v>
      </c>
      <c r="B34" s="200" t="str">
        <f>RIGHT(data!$C$96,4)</f>
        <v>2024</v>
      </c>
      <c r="C34" s="12" t="str">
        <f>data!AI$55</f>
        <v>7250</v>
      </c>
      <c r="D34" s="12" t="s">
        <v>1137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082</v>
      </c>
      <c r="B35" s="200" t="str">
        <f>RIGHT(data!$C$96,4)</f>
        <v>2024</v>
      </c>
      <c r="C35" s="12" t="str">
        <f>data!AJ$55</f>
        <v>7260</v>
      </c>
      <c r="D35" s="12" t="s">
        <v>1137</v>
      </c>
      <c r="E35" s="198">
        <f>ROUND(N(data!AJ59), 0)</f>
        <v>3632</v>
      </c>
      <c r="F35" s="271">
        <f>ROUND(N(data!AJ60), 2)</f>
        <v>5.05</v>
      </c>
      <c r="G35" s="198">
        <f>ROUND(N(data!AJ61), 0)</f>
        <v>531871</v>
      </c>
      <c r="H35" s="198">
        <f>ROUND(N(data!AJ62), 0)</f>
        <v>150241</v>
      </c>
      <c r="I35" s="198">
        <f>ROUND(N(data!AJ63), 0)</f>
        <v>184134</v>
      </c>
      <c r="J35" s="198">
        <f>ROUND(N(data!AJ64), 0)</f>
        <v>30121</v>
      </c>
      <c r="K35" s="198">
        <f>ROUND(N(data!AJ65), 0)</f>
        <v>0</v>
      </c>
      <c r="L35" s="198">
        <f>ROUND(N(data!AJ66), 0)</f>
        <v>21793</v>
      </c>
      <c r="M35" s="198">
        <f>ROUND(N(data!AJ67), 0)</f>
        <v>13848</v>
      </c>
      <c r="N35" s="198">
        <f>ROUND(N(data!AJ68), 0)</f>
        <v>2768</v>
      </c>
      <c r="O35" s="198">
        <f>ROUND(N(data!AJ69), 0)</f>
        <v>8034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0</v>
      </c>
      <c r="Y35" s="198">
        <f>ROUND(N(data!AJ79), 0)</f>
        <v>0</v>
      </c>
      <c r="Z35" s="198">
        <f>ROUND(N(data!AJ80), 0)</f>
        <v>4059</v>
      </c>
      <c r="AA35" s="198">
        <f>ROUND(N(data!AJ81), 0)</f>
        <v>0</v>
      </c>
      <c r="AB35" s="198">
        <f>ROUND(N(data!AJ82), 0)</f>
        <v>0</v>
      </c>
      <c r="AC35" s="198">
        <f>ROUND(N(data!AJ83), 0)</f>
        <v>3975</v>
      </c>
      <c r="AD35" s="198">
        <f>ROUND(N(data!AJ84), 0)</f>
        <v>0</v>
      </c>
      <c r="AE35" s="198">
        <f>ROUND(N(data!AJ89), 0)</f>
        <v>1049846</v>
      </c>
      <c r="AF35" s="198">
        <f>ROUND(N(data!AJ87), 0)</f>
        <v>59</v>
      </c>
      <c r="AG35" s="198">
        <f>ROUND(N(data!AJ90), 0)</f>
        <v>1036</v>
      </c>
      <c r="AH35" s="198">
        <f>ROUND(N(data!AJ91), 0)</f>
        <v>0</v>
      </c>
      <c r="AI35" s="198">
        <f>ROUND(N(data!AJ92), 0)</f>
        <v>286</v>
      </c>
      <c r="AJ35" s="198">
        <f>ROUND(N(data!AJ93), 0)</f>
        <v>0</v>
      </c>
      <c r="AK35" s="271">
        <f>ROUND(N(data!AJ94), 2)</f>
        <v>2.6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082</v>
      </c>
      <c r="B36" s="200" t="str">
        <f>RIGHT(data!$C$96,4)</f>
        <v>2024</v>
      </c>
      <c r="C36" s="12" t="str">
        <f>data!AK$55</f>
        <v>7310</v>
      </c>
      <c r="D36" s="12" t="s">
        <v>1137</v>
      </c>
      <c r="E36" s="198">
        <f>ROUND(N(data!AK59), 0)</f>
        <v>0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082</v>
      </c>
      <c r="B37" s="200" t="str">
        <f>RIGHT(data!$C$96,4)</f>
        <v>2024</v>
      </c>
      <c r="C37" s="12" t="str">
        <f>data!AL$55</f>
        <v>7320</v>
      </c>
      <c r="D37" s="12" t="s">
        <v>1137</v>
      </c>
      <c r="E37" s="198">
        <f>ROUND(N(data!AL59), 0)</f>
        <v>0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082</v>
      </c>
      <c r="B38" s="200" t="str">
        <f>RIGHT(data!$C$96,4)</f>
        <v>2024</v>
      </c>
      <c r="C38" s="12" t="str">
        <f>data!AM$55</f>
        <v>7330</v>
      </c>
      <c r="D38" s="12" t="s">
        <v>1137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082</v>
      </c>
      <c r="B39" s="200" t="str">
        <f>RIGHT(data!$C$96,4)</f>
        <v>2024</v>
      </c>
      <c r="C39" s="12" t="str">
        <f>data!AN$55</f>
        <v>7340</v>
      </c>
      <c r="D39" s="12" t="s">
        <v>1137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082</v>
      </c>
      <c r="B40" s="200" t="str">
        <f>RIGHT(data!$C$96,4)</f>
        <v>2024</v>
      </c>
      <c r="C40" s="12" t="str">
        <f>data!AO$55</f>
        <v>7350</v>
      </c>
      <c r="D40" s="12" t="s">
        <v>1137</v>
      </c>
      <c r="E40" s="198">
        <f>ROUND(N(data!AO59), 0)</f>
        <v>408</v>
      </c>
      <c r="F40" s="271">
        <f>ROUND(N(data!AO60), 2)</f>
        <v>0.09</v>
      </c>
      <c r="G40" s="198">
        <f>ROUND(N(data!AO61), 0)</f>
        <v>6766</v>
      </c>
      <c r="H40" s="198">
        <f>ROUND(N(data!AO62), 0)</f>
        <v>1911</v>
      </c>
      <c r="I40" s="198">
        <f>ROUND(N(data!AO63), 0)</f>
        <v>2565</v>
      </c>
      <c r="J40" s="198">
        <f>ROUND(N(data!AO64), 0)</f>
        <v>385</v>
      </c>
      <c r="K40" s="198">
        <f>ROUND(N(data!AO65), 0)</f>
        <v>18</v>
      </c>
      <c r="L40" s="198">
        <f>ROUND(N(data!AO66), 0)</f>
        <v>209</v>
      </c>
      <c r="M40" s="198">
        <f>ROUND(N(data!AO67), 0)</f>
        <v>361</v>
      </c>
      <c r="N40" s="198">
        <f>ROUND(N(data!AO68), 0)</f>
        <v>67</v>
      </c>
      <c r="O40" s="198">
        <f>ROUND(N(data!AO69), 0)</f>
        <v>131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45</v>
      </c>
      <c r="AA40" s="198">
        <f>ROUND(N(data!AO81), 0)</f>
        <v>0</v>
      </c>
      <c r="AB40" s="198">
        <f>ROUND(N(data!AO82), 0)</f>
        <v>0</v>
      </c>
      <c r="AC40" s="198">
        <f>ROUND(N(data!AO83), 0)</f>
        <v>86</v>
      </c>
      <c r="AD40" s="198">
        <f>ROUND(N(data!AO84), 0)</f>
        <v>0</v>
      </c>
      <c r="AE40" s="198">
        <f>ROUND(N(data!AO89), 0)</f>
        <v>350703</v>
      </c>
      <c r="AF40" s="198">
        <f>ROUND(N(data!AO87), 0)</f>
        <v>36262</v>
      </c>
      <c r="AG40" s="198">
        <f>ROUND(N(data!AO90), 0)</f>
        <v>27</v>
      </c>
      <c r="AH40" s="198">
        <f>ROUND(N(data!AO91), 0)</f>
        <v>52</v>
      </c>
      <c r="AI40" s="198">
        <f>ROUND(N(data!AO92), 0)</f>
        <v>8</v>
      </c>
      <c r="AJ40" s="198">
        <f>ROUND(N(data!AO93), 0)</f>
        <v>17</v>
      </c>
      <c r="AK40" s="271">
        <f>ROUND(N(data!AO94), 2)</f>
        <v>0.09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082</v>
      </c>
      <c r="B41" s="200" t="str">
        <f>RIGHT(data!$C$96,4)</f>
        <v>2024</v>
      </c>
      <c r="C41" s="12" t="str">
        <f>data!AP$55</f>
        <v>7380</v>
      </c>
      <c r="D41" s="12" t="s">
        <v>1137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082</v>
      </c>
      <c r="B42" s="200" t="str">
        <f>RIGHT(data!$C$96,4)</f>
        <v>2024</v>
      </c>
      <c r="C42" s="12" t="str">
        <f>data!AQ$55</f>
        <v>7390</v>
      </c>
      <c r="D42" s="12" t="s">
        <v>1137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082</v>
      </c>
      <c r="B43" s="200" t="str">
        <f>RIGHT(data!$C$96,4)</f>
        <v>2024</v>
      </c>
      <c r="C43" s="12" t="str">
        <f>data!AR$55</f>
        <v>7400</v>
      </c>
      <c r="D43" s="12" t="s">
        <v>1137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082</v>
      </c>
      <c r="B44" s="200" t="str">
        <f>RIGHT(data!$C$96,4)</f>
        <v>2024</v>
      </c>
      <c r="C44" s="12" t="str">
        <f>data!AS$55</f>
        <v>7410</v>
      </c>
      <c r="D44" s="12" t="s">
        <v>1137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082</v>
      </c>
      <c r="B45" s="200" t="str">
        <f>RIGHT(data!$C$96,4)</f>
        <v>2024</v>
      </c>
      <c r="C45" s="12" t="str">
        <f>data!AT$55</f>
        <v>7420</v>
      </c>
      <c r="D45" s="12" t="s">
        <v>1137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082</v>
      </c>
      <c r="B46" s="200" t="str">
        <f>RIGHT(data!$C$96,4)</f>
        <v>2024</v>
      </c>
      <c r="C46" s="12" t="str">
        <f>data!AU$55</f>
        <v>7430</v>
      </c>
      <c r="D46" s="12" t="s">
        <v>1137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082</v>
      </c>
      <c r="B47" s="200" t="str">
        <f>RIGHT(data!$C$96,4)</f>
        <v>2024</v>
      </c>
      <c r="C47" s="12" t="str">
        <f>data!AV$55</f>
        <v>7490</v>
      </c>
      <c r="D47" s="12" t="s">
        <v>1137</v>
      </c>
      <c r="E47" s="198">
        <f>ROUND(N(data!AV59), 0)</f>
        <v>0</v>
      </c>
      <c r="F47" s="271">
        <f>ROUND(N(data!AV60), 2)</f>
        <v>0</v>
      </c>
      <c r="G47" s="198">
        <f>ROUND(N(data!AV61), 0)</f>
        <v>0</v>
      </c>
      <c r="H47" s="198">
        <f>ROUND(N(data!AV62), 0)</f>
        <v>0</v>
      </c>
      <c r="I47" s="198">
        <f>ROUND(N(data!AV63), 0)</f>
        <v>0</v>
      </c>
      <c r="J47" s="198">
        <f>ROUND(N(data!AV64), 0)</f>
        <v>0</v>
      </c>
      <c r="K47" s="198">
        <f>ROUND(N(data!AV65), 0)</f>
        <v>0</v>
      </c>
      <c r="L47" s="198">
        <f>ROUND(N(data!AV66), 0)</f>
        <v>0</v>
      </c>
      <c r="M47" s="198">
        <f>ROUND(N(data!AV67), 0)</f>
        <v>0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082</v>
      </c>
      <c r="B48" s="200" t="str">
        <f>RIGHT(data!$C$96,4)</f>
        <v>2024</v>
      </c>
      <c r="C48" s="12" t="str">
        <f>data!AW$55</f>
        <v>8200</v>
      </c>
      <c r="D48" s="12" t="s">
        <v>1137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082</v>
      </c>
      <c r="B49" s="200" t="str">
        <f>RIGHT(data!$C$96,4)</f>
        <v>2024</v>
      </c>
      <c r="C49" s="12" t="str">
        <f>data!AX$55</f>
        <v>8310</v>
      </c>
      <c r="D49" s="12" t="s">
        <v>1137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082</v>
      </c>
      <c r="B50" s="200" t="str">
        <f>RIGHT(data!$C$96,4)</f>
        <v>2024</v>
      </c>
      <c r="C50" s="12" t="str">
        <f>data!AY$55</f>
        <v>8320</v>
      </c>
      <c r="D50" s="12" t="s">
        <v>1137</v>
      </c>
      <c r="E50" s="198">
        <f>ROUND(N(data!AY59), 0)</f>
        <v>19037</v>
      </c>
      <c r="F50" s="271">
        <f>ROUND(N(data!AY60), 2)</f>
        <v>6.96</v>
      </c>
      <c r="G50" s="198">
        <f>ROUND(N(data!AY61), 0)</f>
        <v>330373</v>
      </c>
      <c r="H50" s="198">
        <f>ROUND(N(data!AY62), 0)</f>
        <v>93322</v>
      </c>
      <c r="I50" s="198">
        <f>ROUND(N(data!AY63), 0)</f>
        <v>40878</v>
      </c>
      <c r="J50" s="198">
        <f>ROUND(N(data!AY64), 0)</f>
        <v>99448</v>
      </c>
      <c r="K50" s="198">
        <f>ROUND(N(data!AY65), 0)</f>
        <v>22</v>
      </c>
      <c r="L50" s="198">
        <f>ROUND(N(data!AY66), 0)</f>
        <v>19680</v>
      </c>
      <c r="M50" s="198">
        <f>ROUND(N(data!AY67), 0)</f>
        <v>15184</v>
      </c>
      <c r="N50" s="198">
        <f>ROUND(N(data!AY68), 0)</f>
        <v>5</v>
      </c>
      <c r="O50" s="198">
        <f>ROUND(N(data!AY69), 0)</f>
        <v>2726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0</v>
      </c>
      <c r="X50" s="198">
        <f>ROUND(N(data!AY78), 0)</f>
        <v>0</v>
      </c>
      <c r="Y50" s="198">
        <f>ROUND(N(data!AY79), 0)</f>
        <v>0</v>
      </c>
      <c r="Z50" s="198">
        <f>ROUND(N(data!AY80), 0)</f>
        <v>1537</v>
      </c>
      <c r="AA50" s="198">
        <f>ROUND(N(data!AY81), 0)</f>
        <v>0</v>
      </c>
      <c r="AB50" s="198">
        <f>ROUND(N(data!AY82), 0)</f>
        <v>0</v>
      </c>
      <c r="AC50" s="198">
        <f>ROUND(N(data!AY83), 0)</f>
        <v>1189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1136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082</v>
      </c>
      <c r="B51" s="200" t="str">
        <f>RIGHT(data!$C$96,4)</f>
        <v>2024</v>
      </c>
      <c r="C51" s="12" t="str">
        <f>data!AZ$55</f>
        <v>8330</v>
      </c>
      <c r="D51" s="12" t="s">
        <v>1137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082</v>
      </c>
      <c r="B52" s="200" t="str">
        <f>RIGHT(data!$C$96,4)</f>
        <v>2024</v>
      </c>
      <c r="C52" s="12" t="str">
        <f>data!BA$55</f>
        <v>8350</v>
      </c>
      <c r="D52" s="12" t="s">
        <v>1137</v>
      </c>
      <c r="E52" s="198">
        <f>ROUND(N(data!BA59), 0)</f>
        <v>0</v>
      </c>
      <c r="F52" s="271">
        <f>ROUND(N(data!BA60), 2)</f>
        <v>1.19</v>
      </c>
      <c r="G52" s="198">
        <f>ROUND(N(data!BA61), 0)</f>
        <v>52255</v>
      </c>
      <c r="H52" s="198">
        <f>ROUND(N(data!BA62), 0)</f>
        <v>14761</v>
      </c>
      <c r="I52" s="198">
        <f>ROUND(N(data!BA63), 0)</f>
        <v>616</v>
      </c>
      <c r="J52" s="198">
        <f>ROUND(N(data!BA64), 0)</f>
        <v>24102</v>
      </c>
      <c r="K52" s="198">
        <f>ROUND(N(data!BA65), 0)</f>
        <v>0</v>
      </c>
      <c r="L52" s="198">
        <f>ROUND(N(data!BA66), 0)</f>
        <v>39</v>
      </c>
      <c r="M52" s="198">
        <f>ROUND(N(data!BA67), 0)</f>
        <v>9931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743</v>
      </c>
      <c r="AH52" s="198">
        <f>ROUND(N(data!BA91), 0)</f>
        <v>0</v>
      </c>
      <c r="AI52" s="198">
        <f>ROUND(N(data!BA92), 0)</f>
        <v>205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082</v>
      </c>
      <c r="B53" s="200" t="str">
        <f>RIGHT(data!$C$96,4)</f>
        <v>2024</v>
      </c>
      <c r="C53" s="12" t="str">
        <f>data!BB$55</f>
        <v>8360</v>
      </c>
      <c r="D53" s="12" t="s">
        <v>1137</v>
      </c>
      <c r="E53" s="198">
        <f>ROUND(N(data!BB59), 0)</f>
        <v>0</v>
      </c>
      <c r="F53" s="271">
        <f>ROUND(N(data!BB60), 2)</f>
        <v>1.82</v>
      </c>
      <c r="G53" s="198">
        <f>ROUND(N(data!BB61), 0)</f>
        <v>127871</v>
      </c>
      <c r="H53" s="198">
        <f>ROUND(N(data!BB62), 0)</f>
        <v>36120</v>
      </c>
      <c r="I53" s="198">
        <f>ROUND(N(data!BB63), 0)</f>
        <v>0</v>
      </c>
      <c r="J53" s="198">
        <f>ROUND(N(data!BB64), 0)</f>
        <v>4547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1198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929</v>
      </c>
      <c r="AA53" s="198">
        <f>ROUND(N(data!BB81), 0)</f>
        <v>0</v>
      </c>
      <c r="AB53" s="198">
        <f>ROUND(N(data!BB82), 0)</f>
        <v>0</v>
      </c>
      <c r="AC53" s="198">
        <f>ROUND(N(data!BB83), 0)</f>
        <v>269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082</v>
      </c>
      <c r="B54" s="200" t="str">
        <f>RIGHT(data!$C$96,4)</f>
        <v>2024</v>
      </c>
      <c r="C54" s="12" t="str">
        <f>data!BC$55</f>
        <v>8370</v>
      </c>
      <c r="D54" s="12" t="s">
        <v>1137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082</v>
      </c>
      <c r="B55" s="200" t="str">
        <f>RIGHT(data!$C$96,4)</f>
        <v>2024</v>
      </c>
      <c r="C55" s="12" t="str">
        <f>data!BD$55</f>
        <v>8420</v>
      </c>
      <c r="D55" s="12" t="s">
        <v>1137</v>
      </c>
      <c r="E55" s="198">
        <f>ROUND(N(data!BD59), 0)</f>
        <v>0</v>
      </c>
      <c r="F55" s="271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0</v>
      </c>
      <c r="K55" s="198">
        <f>ROUND(N(data!BD65), 0)</f>
        <v>0</v>
      </c>
      <c r="L55" s="198">
        <f>ROUND(N(data!BD66), 0)</f>
        <v>0</v>
      </c>
      <c r="M55" s="198">
        <f>ROUND(N(data!BD67), 0)</f>
        <v>0</v>
      </c>
      <c r="N55" s="198">
        <f>ROUND(N(data!BD68), 0)</f>
        <v>0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082</v>
      </c>
      <c r="B56" s="200" t="str">
        <f>RIGHT(data!$C$96,4)</f>
        <v>2024</v>
      </c>
      <c r="C56" s="12" t="str">
        <f>data!BE$55</f>
        <v>8430</v>
      </c>
      <c r="D56" s="12" t="s">
        <v>1137</v>
      </c>
      <c r="E56" s="198">
        <f>ROUND(N(data!BE59), 0)</f>
        <v>21029</v>
      </c>
      <c r="F56" s="271">
        <f>ROUND(N(data!BE60), 2)</f>
        <v>2.87</v>
      </c>
      <c r="G56" s="198">
        <f>ROUND(N(data!BE61), 0)</f>
        <v>166190</v>
      </c>
      <c r="H56" s="198">
        <f>ROUND(N(data!BE62), 0)</f>
        <v>46945</v>
      </c>
      <c r="I56" s="198">
        <f>ROUND(N(data!BE63), 0)</f>
        <v>4854</v>
      </c>
      <c r="J56" s="198">
        <f>ROUND(N(data!BE64), 0)</f>
        <v>43497</v>
      </c>
      <c r="K56" s="198">
        <f>ROUND(N(data!BE65), 0)</f>
        <v>144489</v>
      </c>
      <c r="L56" s="198">
        <f>ROUND(N(data!BE66), 0)</f>
        <v>37148</v>
      </c>
      <c r="M56" s="198">
        <f>ROUND(N(data!BE67), 0)</f>
        <v>20103</v>
      </c>
      <c r="N56" s="198">
        <f>ROUND(N(data!BE68), 0)</f>
        <v>5934</v>
      </c>
      <c r="O56" s="198">
        <f>ROUND(N(data!BE69), 0)</f>
        <v>5430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0</v>
      </c>
      <c r="X56" s="198">
        <f>ROUND(N(data!BE78), 0)</f>
        <v>0</v>
      </c>
      <c r="Y56" s="198">
        <f>ROUND(N(data!BE79), 0)</f>
        <v>0</v>
      </c>
      <c r="Z56" s="198">
        <f>ROUND(N(data!BE80), 0)</f>
        <v>2641</v>
      </c>
      <c r="AA56" s="198">
        <f>ROUND(N(data!BE81), 0)</f>
        <v>0</v>
      </c>
      <c r="AB56" s="198">
        <f>ROUND(N(data!BE82), 0)</f>
        <v>0</v>
      </c>
      <c r="AC56" s="198">
        <f>ROUND(N(data!BE83), 0)</f>
        <v>2789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1504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082</v>
      </c>
      <c r="B57" s="200" t="str">
        <f>RIGHT(data!$C$96,4)</f>
        <v>2024</v>
      </c>
      <c r="C57" s="12" t="str">
        <f>data!BF$55</f>
        <v>8460</v>
      </c>
      <c r="D57" s="12" t="s">
        <v>1137</v>
      </c>
      <c r="E57" s="198">
        <f>ROUND(N(data!BF59), 0)</f>
        <v>0</v>
      </c>
      <c r="F57" s="271">
        <f>ROUND(N(data!BF60), 2)</f>
        <v>3.21</v>
      </c>
      <c r="G57" s="198">
        <f>ROUND(N(data!BF61), 0)</f>
        <v>141055</v>
      </c>
      <c r="H57" s="198">
        <f>ROUND(N(data!BF62), 0)</f>
        <v>39845</v>
      </c>
      <c r="I57" s="198">
        <f>ROUND(N(data!BF63), 0)</f>
        <v>0</v>
      </c>
      <c r="J57" s="198">
        <f>ROUND(N(data!BF64), 0)</f>
        <v>16213</v>
      </c>
      <c r="K57" s="198">
        <f>ROUND(N(data!BF65), 0)</f>
        <v>0</v>
      </c>
      <c r="L57" s="198">
        <f>ROUND(N(data!BF66), 0)</f>
        <v>166</v>
      </c>
      <c r="M57" s="198">
        <f>ROUND(N(data!BF67), 0)</f>
        <v>2379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178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082</v>
      </c>
      <c r="B58" s="200" t="str">
        <f>RIGHT(data!$C$96,4)</f>
        <v>2024</v>
      </c>
      <c r="C58" s="12" t="str">
        <f>data!BG$55</f>
        <v>8470</v>
      </c>
      <c r="D58" s="12" t="s">
        <v>1137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082</v>
      </c>
      <c r="B59" s="200" t="str">
        <f>RIGHT(data!$C$96,4)</f>
        <v>2024</v>
      </c>
      <c r="C59" s="12" t="str">
        <f>data!BH$55</f>
        <v>8480</v>
      </c>
      <c r="D59" s="12" t="s">
        <v>1137</v>
      </c>
      <c r="E59" s="198">
        <f>ROUND(N(data!BH59), 0)</f>
        <v>0</v>
      </c>
      <c r="F59" s="271">
        <f>ROUND(N(data!BH60), 2)</f>
        <v>1.01</v>
      </c>
      <c r="G59" s="198">
        <f>ROUND(N(data!BH61), 0)</f>
        <v>72056</v>
      </c>
      <c r="H59" s="198">
        <f>ROUND(N(data!BH62), 0)</f>
        <v>20354</v>
      </c>
      <c r="I59" s="198">
        <f>ROUND(N(data!BH63), 0)</f>
        <v>0</v>
      </c>
      <c r="J59" s="198">
        <f>ROUND(N(data!BH64), 0)</f>
        <v>15587</v>
      </c>
      <c r="K59" s="198">
        <f>ROUND(N(data!BH65), 0)</f>
        <v>40650</v>
      </c>
      <c r="L59" s="198">
        <f>ROUND(N(data!BH66), 0)</f>
        <v>83485</v>
      </c>
      <c r="M59" s="198">
        <f>ROUND(N(data!BH67), 0)</f>
        <v>0</v>
      </c>
      <c r="N59" s="198">
        <f>ROUND(N(data!BH68), 0)</f>
        <v>0</v>
      </c>
      <c r="O59" s="198">
        <f>ROUND(N(data!BH69), 0)</f>
        <v>65727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65727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082</v>
      </c>
      <c r="B60" s="200" t="str">
        <f>RIGHT(data!$C$96,4)</f>
        <v>2024</v>
      </c>
      <c r="C60" s="12" t="str">
        <f>data!BI$55</f>
        <v>8490</v>
      </c>
      <c r="D60" s="12" t="s">
        <v>1137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082</v>
      </c>
      <c r="B61" s="200" t="str">
        <f>RIGHT(data!$C$96,4)</f>
        <v>2024</v>
      </c>
      <c r="C61" s="12" t="str">
        <f>data!BJ$55</f>
        <v>8510</v>
      </c>
      <c r="D61" s="12" t="s">
        <v>1137</v>
      </c>
      <c r="E61" s="198">
        <f>ROUND(N(data!BJ59), 0)</f>
        <v>0</v>
      </c>
      <c r="F61" s="271">
        <f>ROUND(N(data!BJ60), 2)</f>
        <v>2.89</v>
      </c>
      <c r="G61" s="198">
        <f>ROUND(N(data!BJ61), 0)</f>
        <v>248898</v>
      </c>
      <c r="H61" s="198">
        <f>ROUND(N(data!BJ62), 0)</f>
        <v>70308</v>
      </c>
      <c r="I61" s="198">
        <f>ROUND(N(data!BJ63), 0)</f>
        <v>15649</v>
      </c>
      <c r="J61" s="198">
        <f>ROUND(N(data!BJ64), 0)</f>
        <v>2872</v>
      </c>
      <c r="K61" s="198">
        <f>ROUND(N(data!BJ65), 0)</f>
        <v>49</v>
      </c>
      <c r="L61" s="198">
        <f>ROUND(N(data!BJ66), 0)</f>
        <v>0</v>
      </c>
      <c r="M61" s="198">
        <f>ROUND(N(data!BJ67), 0)</f>
        <v>0</v>
      </c>
      <c r="N61" s="198">
        <f>ROUND(N(data!BJ68), 0)</f>
        <v>6600</v>
      </c>
      <c r="O61" s="198">
        <f>ROUND(N(data!BJ69), 0)</f>
        <v>42077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2830</v>
      </c>
      <c r="AA61" s="198">
        <f>ROUND(N(data!BJ81), 0)</f>
        <v>0</v>
      </c>
      <c r="AB61" s="198">
        <f>ROUND(N(data!BJ82), 0)</f>
        <v>0</v>
      </c>
      <c r="AC61" s="198">
        <f>ROUND(N(data!BJ83), 0)</f>
        <v>39247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082</v>
      </c>
      <c r="B62" s="200" t="str">
        <f>RIGHT(data!$C$96,4)</f>
        <v>2024</v>
      </c>
      <c r="C62" s="12" t="str">
        <f>data!BK$55</f>
        <v>8530</v>
      </c>
      <c r="D62" s="12" t="s">
        <v>1137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0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082</v>
      </c>
      <c r="B63" s="200" t="str">
        <f>RIGHT(data!$C$96,4)</f>
        <v>2024</v>
      </c>
      <c r="C63" s="12" t="str">
        <f>data!BL$55</f>
        <v>8560</v>
      </c>
      <c r="D63" s="12" t="s">
        <v>1137</v>
      </c>
      <c r="E63" s="198">
        <f>ROUND(N(data!BL59), 0)</f>
        <v>0</v>
      </c>
      <c r="F63" s="271">
        <f>ROUND(N(data!BL60), 2)</f>
        <v>0</v>
      </c>
      <c r="G63" s="198">
        <f>ROUND(N(data!BL61), 0)</f>
        <v>0</v>
      </c>
      <c r="H63" s="198">
        <f>ROUND(N(data!BL62), 0)</f>
        <v>0</v>
      </c>
      <c r="I63" s="198">
        <f>ROUND(N(data!BL63), 0)</f>
        <v>0</v>
      </c>
      <c r="J63" s="198">
        <f>ROUND(N(data!BL64), 0)</f>
        <v>0</v>
      </c>
      <c r="K63" s="198">
        <f>ROUND(N(data!BL65), 0)</f>
        <v>0</v>
      </c>
      <c r="L63" s="198">
        <f>ROUND(N(data!BL66), 0)</f>
        <v>0</v>
      </c>
      <c r="M63" s="198">
        <f>ROUND(N(data!BL67), 0)</f>
        <v>0</v>
      </c>
      <c r="N63" s="198">
        <f>ROUND(N(data!BL68), 0)</f>
        <v>0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0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082</v>
      </c>
      <c r="B64" s="200" t="str">
        <f>RIGHT(data!$C$96,4)</f>
        <v>2024</v>
      </c>
      <c r="C64" s="12" t="str">
        <f>data!BM$55</f>
        <v>8590</v>
      </c>
      <c r="D64" s="12" t="s">
        <v>1137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082</v>
      </c>
      <c r="B65" s="200" t="str">
        <f>RIGHT(data!$C$96,4)</f>
        <v>2024</v>
      </c>
      <c r="C65" s="12" t="str">
        <f>data!BN$55</f>
        <v>8610</v>
      </c>
      <c r="D65" s="12" t="s">
        <v>1137</v>
      </c>
      <c r="E65" s="198">
        <f>ROUND(N(data!BN59), 0)</f>
        <v>0</v>
      </c>
      <c r="F65" s="271">
        <f>ROUND(N(data!BN60), 2)</f>
        <v>1.45</v>
      </c>
      <c r="G65" s="198">
        <f>ROUND(N(data!BN61), 0)</f>
        <v>183276</v>
      </c>
      <c r="H65" s="198">
        <f>ROUND(N(data!BN62), 0)</f>
        <v>51771</v>
      </c>
      <c r="I65" s="198">
        <f>ROUND(N(data!BN63), 0)</f>
        <v>269751</v>
      </c>
      <c r="J65" s="198">
        <f>ROUND(N(data!BN64), 0)</f>
        <v>13973</v>
      </c>
      <c r="K65" s="198">
        <f>ROUND(N(data!BN65), 0)</f>
        <v>0</v>
      </c>
      <c r="L65" s="198">
        <f>ROUND(N(data!BN66), 0)</f>
        <v>12869</v>
      </c>
      <c r="M65" s="198">
        <f>ROUND(N(data!BN67), 0)</f>
        <v>43067</v>
      </c>
      <c r="N65" s="198">
        <f>ROUND(N(data!BN68), 0)</f>
        <v>-12804</v>
      </c>
      <c r="O65" s="198">
        <f>ROUND(N(data!BN69), 0)</f>
        <v>161658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13055</v>
      </c>
      <c r="AA65" s="198">
        <f>ROUND(N(data!BN81), 0)</f>
        <v>0</v>
      </c>
      <c r="AB65" s="198">
        <f>ROUND(N(data!BN82), 0)</f>
        <v>0</v>
      </c>
      <c r="AC65" s="198">
        <f>ROUND(N(data!BN83), 0)</f>
        <v>148603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3222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082</v>
      </c>
      <c r="B66" s="200" t="str">
        <f>RIGHT(data!$C$96,4)</f>
        <v>2024</v>
      </c>
      <c r="C66" s="12" t="str">
        <f>data!BO$55</f>
        <v>8620</v>
      </c>
      <c r="D66" s="12" t="s">
        <v>1137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082</v>
      </c>
      <c r="B67" s="200" t="str">
        <f>RIGHT(data!$C$96,4)</f>
        <v>2024</v>
      </c>
      <c r="C67" s="12" t="str">
        <f>data!BP$55</f>
        <v>8630</v>
      </c>
      <c r="D67" s="12" t="s">
        <v>1137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082</v>
      </c>
      <c r="B68" s="200" t="str">
        <f>RIGHT(data!$C$96,4)</f>
        <v>2024</v>
      </c>
      <c r="C68" s="12" t="str">
        <f>data!BQ$55</f>
        <v>8640</v>
      </c>
      <c r="D68" s="12" t="s">
        <v>1137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082</v>
      </c>
      <c r="B69" s="200" t="str">
        <f>RIGHT(data!$C$96,4)</f>
        <v>2024</v>
      </c>
      <c r="C69" s="12" t="str">
        <f>data!BR$55</f>
        <v>8650</v>
      </c>
      <c r="D69" s="12" t="s">
        <v>1137</v>
      </c>
      <c r="E69" s="198">
        <f>ROUND(N(data!BR59), 0)</f>
        <v>0</v>
      </c>
      <c r="F69" s="271">
        <f>ROUND(N(data!BR60), 2)</f>
        <v>1</v>
      </c>
      <c r="G69" s="198">
        <f>ROUND(N(data!BR61), 0)</f>
        <v>75850</v>
      </c>
      <c r="H69" s="198">
        <f>ROUND(N(data!BR62), 0)</f>
        <v>21426</v>
      </c>
      <c r="I69" s="198">
        <f>ROUND(N(data!BR63), 0)</f>
        <v>32786</v>
      </c>
      <c r="J69" s="198">
        <f>ROUND(N(data!BR64), 0)</f>
        <v>696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17142</v>
      </c>
      <c r="P69" s="198">
        <f>ROUND(N(data!BR71), 0)</f>
        <v>0</v>
      </c>
      <c r="Q69" s="198" t="e">
        <f>ROUND(N(data!#REF!), 0)</f>
        <v>#REF!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3610</v>
      </c>
      <c r="AA69" s="198">
        <f>ROUND(N(data!BR81), 0)</f>
        <v>0</v>
      </c>
      <c r="AB69" s="198">
        <f>ROUND(N(data!BR82), 0)</f>
        <v>0</v>
      </c>
      <c r="AC69" s="198">
        <f>ROUND(N(data!BR83), 0)</f>
        <v>13532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082</v>
      </c>
      <c r="B70" s="200" t="str">
        <f>RIGHT(data!$C$96,4)</f>
        <v>2024</v>
      </c>
      <c r="C70" s="12" t="str">
        <f>data!BS$55</f>
        <v>8660</v>
      </c>
      <c r="D70" s="12" t="s">
        <v>1137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082</v>
      </c>
      <c r="B71" s="200" t="str">
        <f>RIGHT(data!$C$96,4)</f>
        <v>2024</v>
      </c>
      <c r="C71" s="12" t="str">
        <f>data!BT$55</f>
        <v>8670</v>
      </c>
      <c r="D71" s="12" t="s">
        <v>1137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082</v>
      </c>
      <c r="B72" s="200" t="str">
        <f>RIGHT(data!$C$96,4)</f>
        <v>2024</v>
      </c>
      <c r="C72" s="12" t="str">
        <f>data!BU$55</f>
        <v>8680</v>
      </c>
      <c r="D72" s="12" t="s">
        <v>1137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082</v>
      </c>
      <c r="B73" s="200" t="str">
        <f>RIGHT(data!$C$96,4)</f>
        <v>2024</v>
      </c>
      <c r="C73" s="12" t="str">
        <f>data!BV$55</f>
        <v>8690</v>
      </c>
      <c r="D73" s="12" t="s">
        <v>1137</v>
      </c>
      <c r="E73" s="198">
        <f>ROUND(N(data!BV59), 0)</f>
        <v>0</v>
      </c>
      <c r="F73" s="271">
        <f>ROUND(N(data!BV60), 2)</f>
        <v>4.66</v>
      </c>
      <c r="G73" s="198">
        <f>ROUND(N(data!BV61), 0)</f>
        <v>273935</v>
      </c>
      <c r="H73" s="198">
        <f>ROUND(N(data!BV62), 0)</f>
        <v>77380</v>
      </c>
      <c r="I73" s="198">
        <f>ROUND(N(data!BV63), 0)</f>
        <v>43367</v>
      </c>
      <c r="J73" s="198">
        <f>ROUND(N(data!BV64), 0)</f>
        <v>4854</v>
      </c>
      <c r="K73" s="198">
        <f>ROUND(N(data!BV65), 0)</f>
        <v>0</v>
      </c>
      <c r="L73" s="198">
        <f>ROUND(N(data!BV66), 0)</f>
        <v>34</v>
      </c>
      <c r="M73" s="198">
        <f>ROUND(N(data!BV67), 0)</f>
        <v>4759</v>
      </c>
      <c r="N73" s="198">
        <f>ROUND(N(data!BV68), 0)</f>
        <v>1615</v>
      </c>
      <c r="O73" s="198">
        <f>ROUND(N(data!BV69), 0)</f>
        <v>14159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3863</v>
      </c>
      <c r="AA73" s="198">
        <f>ROUND(N(data!BV81), 0)</f>
        <v>0</v>
      </c>
      <c r="AB73" s="198">
        <f>ROUND(N(data!BV82), 0)</f>
        <v>0</v>
      </c>
      <c r="AC73" s="198">
        <f>ROUND(N(data!BV83), 0)</f>
        <v>10296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356</v>
      </c>
      <c r="AH73" s="198">
        <f>ROUND(N(data!BV91), 0)</f>
        <v>0</v>
      </c>
      <c r="AI73" s="198">
        <f>ROUND(N(data!BV92), 0)</f>
        <v>98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082</v>
      </c>
      <c r="B74" s="200" t="str">
        <f>RIGHT(data!$C$96,4)</f>
        <v>2024</v>
      </c>
      <c r="C74" s="12" t="str">
        <f>data!BW$55</f>
        <v>8700</v>
      </c>
      <c r="D74" s="12" t="s">
        <v>1137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082</v>
      </c>
      <c r="B75" s="200" t="str">
        <f>RIGHT(data!$C$96,4)</f>
        <v>2024</v>
      </c>
      <c r="C75" s="12" t="str">
        <f>data!BX$55</f>
        <v>8710</v>
      </c>
      <c r="D75" s="12" t="s">
        <v>1137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082</v>
      </c>
      <c r="B76" s="200" t="str">
        <f>RIGHT(data!$C$96,4)</f>
        <v>2024</v>
      </c>
      <c r="C76" s="12" t="str">
        <f>data!BY$55</f>
        <v>8720</v>
      </c>
      <c r="D76" s="12" t="s">
        <v>1137</v>
      </c>
      <c r="E76" s="198">
        <f>ROUND(N(data!BY59), 0)</f>
        <v>0</v>
      </c>
      <c r="F76" s="271">
        <f>ROUND(N(data!BY60), 2)</f>
        <v>0.71</v>
      </c>
      <c r="G76" s="198">
        <f>ROUND(N(data!BY61), 0)</f>
        <v>168807</v>
      </c>
      <c r="H76" s="198">
        <f>ROUND(N(data!BY62), 0)</f>
        <v>47684</v>
      </c>
      <c r="I76" s="198">
        <f>ROUND(N(data!BY63), 0)</f>
        <v>0</v>
      </c>
      <c r="J76" s="198">
        <f>ROUND(N(data!BY64), 0)</f>
        <v>5215</v>
      </c>
      <c r="K76" s="198">
        <f>ROUND(N(data!BY65), 0)</f>
        <v>100</v>
      </c>
      <c r="L76" s="198">
        <f>ROUND(N(data!BY66), 0)</f>
        <v>39</v>
      </c>
      <c r="M76" s="198">
        <f>ROUND(N(data!BY67), 0)</f>
        <v>642</v>
      </c>
      <c r="N76" s="198">
        <f>ROUND(N(data!BY68), 0)</f>
        <v>1900</v>
      </c>
      <c r="O76" s="198">
        <f>ROUND(N(data!BY69), 0)</f>
        <v>10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10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48</v>
      </c>
      <c r="AH76" s="198">
        <f>ROUND(N(data!BY91), 0)</f>
        <v>0</v>
      </c>
      <c r="AI76" s="198">
        <f>ROUND(N(data!BY92), 0)</f>
        <v>13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082</v>
      </c>
      <c r="B77" s="200" t="str">
        <f>RIGHT(data!$C$96,4)</f>
        <v>2024</v>
      </c>
      <c r="C77" s="12" t="str">
        <f>data!BZ$55</f>
        <v>8730</v>
      </c>
      <c r="D77" s="12" t="s">
        <v>1137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082</v>
      </c>
      <c r="B78" s="200" t="str">
        <f>RIGHT(data!$C$96,4)</f>
        <v>2024</v>
      </c>
      <c r="C78" s="12" t="str">
        <f>data!CA$55</f>
        <v>8740</v>
      </c>
      <c r="D78" s="12" t="s">
        <v>1137</v>
      </c>
      <c r="E78" s="198">
        <f>ROUND(N(data!CA59), 0)</f>
        <v>0</v>
      </c>
      <c r="F78" s="271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082</v>
      </c>
      <c r="B79" s="200" t="str">
        <f>RIGHT(data!$C$96,4)</f>
        <v>2024</v>
      </c>
      <c r="C79" s="12" t="str">
        <f>data!CB$55</f>
        <v>8770</v>
      </c>
      <c r="D79" s="12" t="s">
        <v>1137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082</v>
      </c>
      <c r="B80" s="200" t="str">
        <f>RIGHT(data!$C$96,4)</f>
        <v>2024</v>
      </c>
      <c r="C80" s="12" t="str">
        <f>data!CC$55</f>
        <v>8790</v>
      </c>
      <c r="D80" s="12" t="s">
        <v>1137</v>
      </c>
      <c r="E80" s="198">
        <f>ROUND(N(data!CC59), 0)</f>
        <v>0</v>
      </c>
      <c r="F80" s="271">
        <f>ROUND(N(data!CC60), 2)</f>
        <v>0</v>
      </c>
      <c r="G80" s="198">
        <f>ROUND(N(data!CC61), 0)</f>
        <v>0</v>
      </c>
      <c r="H80" s="198">
        <f>ROUND(N(data!CC62), 0)</f>
        <v>0</v>
      </c>
      <c r="I80" s="198">
        <f>ROUND(N(data!CC63), 0)</f>
        <v>0</v>
      </c>
      <c r="J80" s="198">
        <f>ROUND(N(data!CC64), 0)</f>
        <v>0</v>
      </c>
      <c r="K80" s="198">
        <f>ROUND(N(data!CC65), 0)</f>
        <v>0</v>
      </c>
      <c r="L80" s="198">
        <f>ROUND(N(data!CC66), 0)</f>
        <v>0</v>
      </c>
      <c r="M80" s="198">
        <f>ROUND(N(data!CC67), 0)</f>
        <v>0</v>
      </c>
      <c r="N80" s="198">
        <f>ROUND(N(data!CC68), 0)</f>
        <v>0</v>
      </c>
      <c r="O80" s="198">
        <f>ROUND(N(data!CC69), 0)</f>
        <v>0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0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topLeftCell="A7"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5" width="10.77734375" style="11" customWidth="1"/>
    <col min="16" max="16384" width="10.77734375" style="11"/>
  </cols>
  <sheetData>
    <row r="1" spans="2:10" x14ac:dyDescent="0.25">
      <c r="J1" s="94" t="s">
        <v>683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684</v>
      </c>
      <c r="G3" s="10"/>
      <c r="J3" s="99"/>
    </row>
    <row r="4" spans="2:10" x14ac:dyDescent="0.25">
      <c r="B4" s="98"/>
      <c r="F4" s="10" t="s">
        <v>685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686</v>
      </c>
      <c r="G8" s="10"/>
      <c r="J8" s="99"/>
    </row>
    <row r="9" spans="2:10" x14ac:dyDescent="0.25">
      <c r="B9" s="95"/>
      <c r="C9" s="96"/>
      <c r="D9" s="96"/>
      <c r="E9" s="96"/>
      <c r="F9" s="103" t="s">
        <v>687</v>
      </c>
      <c r="G9" s="103"/>
      <c r="H9" s="96"/>
      <c r="I9" s="96"/>
      <c r="J9" s="97"/>
    </row>
    <row r="10" spans="2:10" x14ac:dyDescent="0.25">
      <c r="B10" s="98"/>
      <c r="F10" s="10" t="s">
        <v>688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689</v>
      </c>
      <c r="G12" s="10"/>
      <c r="J12" s="99"/>
    </row>
    <row r="13" spans="2:10" x14ac:dyDescent="0.25">
      <c r="B13" s="98"/>
      <c r="F13" s="10" t="s">
        <v>690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691</v>
      </c>
      <c r="J16" s="99"/>
    </row>
    <row r="17" spans="2:10" x14ac:dyDescent="0.25">
      <c r="B17" s="95"/>
      <c r="C17" s="104" t="s">
        <v>692</v>
      </c>
      <c r="D17" s="104"/>
      <c r="E17" s="96" t="str">
        <f>+data!C98</f>
        <v xml:space="preserve">Garfield County Public Hospital District 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693</v>
      </c>
      <c r="D18" s="53"/>
      <c r="E18" s="11" t="str">
        <f>+"H-"&amp;data!C97</f>
        <v>H-082</v>
      </c>
      <c r="F18" s="10"/>
      <c r="G18" s="10"/>
      <c r="J18" s="99"/>
    </row>
    <row r="19" spans="2:10" x14ac:dyDescent="0.25">
      <c r="B19" s="98"/>
      <c r="C19" s="53" t="s">
        <v>694</v>
      </c>
      <c r="D19" s="53"/>
      <c r="E19" s="11" t="str">
        <f>+data!C99</f>
        <v>66 N. Sixth Street</v>
      </c>
      <c r="F19" s="10"/>
      <c r="G19" s="10"/>
      <c r="J19" s="99"/>
    </row>
    <row r="20" spans="2:10" x14ac:dyDescent="0.25">
      <c r="B20" s="98"/>
      <c r="C20" s="53" t="s">
        <v>695</v>
      </c>
      <c r="D20" s="53"/>
      <c r="E20" s="11" t="str">
        <f>+data!C99</f>
        <v>66 N. Sixth Street</v>
      </c>
      <c r="F20" s="10"/>
      <c r="G20" s="10"/>
      <c r="J20" s="99"/>
    </row>
    <row r="21" spans="2:10" x14ac:dyDescent="0.25">
      <c r="B21" s="98"/>
      <c r="C21" s="53" t="s">
        <v>696</v>
      </c>
      <c r="D21" s="53"/>
      <c r="E21" s="11" t="str">
        <f>CONCATENATE(+data!C100,", ",+data!C101)</f>
        <v>Pomeroy, 99347,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697</v>
      </c>
      <c r="G26" s="106"/>
      <c r="H26" s="106"/>
      <c r="I26" s="106"/>
      <c r="J26" s="108"/>
    </row>
    <row r="27" spans="2:10" x14ac:dyDescent="0.25">
      <c r="B27" s="109" t="s">
        <v>698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699</v>
      </c>
      <c r="J29" s="99"/>
    </row>
    <row r="30" spans="2:10" x14ac:dyDescent="0.25">
      <c r="B30" s="112" t="s">
        <v>700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246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701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702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703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246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704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702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703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rpnoE1C/m0e2NcbzOT8lDbSsAqCPBUfdGBUOopJXw3S6BbawXe4Y9G4qHv8sBgyr3rDCxv9kFQwj/BABPX5yfg==" saltValue="J1T6pyTo9a6RG7xh5FIumA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  <pageSetUpPr fitToPage="1"/>
  </sheetPr>
  <dimension ref="A2:M94"/>
  <sheetViews>
    <sheetView topLeftCell="A4" zoomScale="85" zoomScaleNormal="85" workbookViewId="0">
      <selection activeCell="B55" sqref="B55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4" width="8.6640625" style="1" customWidth="1"/>
    <col min="15" max="16384" width="8.6640625" style="1"/>
  </cols>
  <sheetData>
    <row r="2" spans="1:13" x14ac:dyDescent="0.25">
      <c r="A2" s="54" t="s">
        <v>705</v>
      </c>
    </row>
    <row r="3" spans="1:13" x14ac:dyDescent="0.25">
      <c r="A3" s="54"/>
    </row>
    <row r="4" spans="1:13" x14ac:dyDescent="0.25">
      <c r="A4" s="149" t="s">
        <v>706</v>
      </c>
    </row>
    <row r="5" spans="1:13" x14ac:dyDescent="0.25">
      <c r="A5" s="149" t="s">
        <v>707</v>
      </c>
    </row>
    <row r="6" spans="1:13" x14ac:dyDescent="0.25">
      <c r="A6" s="149" t="s">
        <v>708</v>
      </c>
    </row>
    <row r="7" spans="1:13" x14ac:dyDescent="0.25">
      <c r="A7" s="149"/>
    </row>
    <row r="8" spans="1:13" x14ac:dyDescent="0.25">
      <c r="A8" s="2" t="s">
        <v>709</v>
      </c>
    </row>
    <row r="9" spans="1:13" x14ac:dyDescent="0.25">
      <c r="A9" s="149" t="s">
        <v>25</v>
      </c>
    </row>
    <row r="12" spans="1:13" x14ac:dyDescent="0.25">
      <c r="A12" s="1" t="str">
        <f>data!C97</f>
        <v>082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710</v>
      </c>
      <c r="C13" s="228" t="s">
        <v>710</v>
      </c>
      <c r="D13" s="5" t="s">
        <v>711</v>
      </c>
      <c r="E13" s="5" t="s">
        <v>711</v>
      </c>
      <c r="F13" s="3" t="s">
        <v>712</v>
      </c>
      <c r="G13" s="3" t="s">
        <v>712</v>
      </c>
      <c r="H13" s="3" t="s">
        <v>713</v>
      </c>
    </row>
    <row r="14" spans="1:13" x14ac:dyDescent="0.25">
      <c r="A14" s="1" t="s">
        <v>714</v>
      </c>
      <c r="B14" s="228" t="s">
        <v>349</v>
      </c>
      <c r="C14" s="228" t="s">
        <v>349</v>
      </c>
      <c r="D14" s="4" t="s">
        <v>715</v>
      </c>
      <c r="E14" s="4" t="s">
        <v>715</v>
      </c>
      <c r="F14" s="3" t="s">
        <v>716</v>
      </c>
      <c r="G14" s="3" t="s">
        <v>716</v>
      </c>
      <c r="H14" s="3" t="s">
        <v>717</v>
      </c>
      <c r="I14" s="8" t="s">
        <v>718</v>
      </c>
      <c r="J14" s="55" t="s">
        <v>719</v>
      </c>
    </row>
    <row r="15" spans="1:13" x14ac:dyDescent="0.25">
      <c r="A15" s="1" t="s">
        <v>720</v>
      </c>
      <c r="B15" s="228">
        <f>ROUND(N('Prior Year'!C85), 0)</f>
        <v>0</v>
      </c>
      <c r="C15" s="228">
        <f>data!C85</f>
        <v>0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721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722</v>
      </c>
      <c r="B17" s="228">
        <f>ROUND(N('Prior Year'!E85), 0)</f>
        <v>64022</v>
      </c>
      <c r="C17" s="228">
        <f>data!E85</f>
        <v>100814</v>
      </c>
      <c r="D17" s="228">
        <f>ROUND(N('Prior Year'!E59), 0)</f>
        <v>87</v>
      </c>
      <c r="E17" s="1">
        <f>data!E59</f>
        <v>138</v>
      </c>
      <c r="F17" s="205">
        <f t="shared" si="0"/>
        <v>735.88505747126442</v>
      </c>
      <c r="G17" s="205">
        <f t="shared" si="1"/>
        <v>730.536231884058</v>
      </c>
      <c r="H17" s="6" t="str">
        <f>IF(B17 = 0, "", IF(C17 = 0, "", IF(D17 = 0, "", IF(E17 = 0, "", IF(G17 / F17 - 1 &lt; -0.25, G17 / F17 - 1, IF(G17 / F17 - 1 &gt; 0.25, G17 / F17 - 1, ""))))))</f>
        <v/>
      </c>
      <c r="I17" s="228" t="str">
        <f t="shared" si="3"/>
        <v/>
      </c>
      <c r="M17" s="7"/>
    </row>
    <row r="18" spans="1:13" x14ac:dyDescent="0.25">
      <c r="A18" s="1" t="s">
        <v>723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724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725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726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727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728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729</v>
      </c>
      <c r="B24" s="228">
        <f>ROUND(N('Prior Year'!L85), 0)</f>
        <v>4220427</v>
      </c>
      <c r="C24" s="228">
        <f>data!L85</f>
        <v>4423095</v>
      </c>
      <c r="D24" s="228">
        <f>ROUND(N('Prior Year'!L59), 0)</f>
        <v>5735</v>
      </c>
      <c r="E24" s="1">
        <f>data!L59</f>
        <v>6055</v>
      </c>
      <c r="F24" s="205">
        <f t="shared" si="0"/>
        <v>735.9070619006103</v>
      </c>
      <c r="G24" s="205">
        <f>IF(C24=0,"",IF(E24=0,"",C24/E24))</f>
        <v>730.48637489677947</v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730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731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732</v>
      </c>
      <c r="B27" s="228">
        <f>ROUND(N('Prior Year'!O85), 0)</f>
        <v>0</v>
      </c>
      <c r="C27" s="228">
        <f>data!O85</f>
        <v>0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733</v>
      </c>
      <c r="B28" s="228">
        <f>ROUND(N('Prior Year'!P85), 0)</f>
        <v>0</v>
      </c>
      <c r="C28" s="228">
        <f>data!P85</f>
        <v>0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734</v>
      </c>
      <c r="B29" s="228">
        <f>ROUND(N('Prior Year'!Q85), 0)</f>
        <v>0</v>
      </c>
      <c r="C29" s="228">
        <f>data!Q85</f>
        <v>0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735</v>
      </c>
      <c r="B30" s="228">
        <f>ROUND(N('Prior Year'!R85), 0)</f>
        <v>0</v>
      </c>
      <c r="C30" s="228">
        <f>data!R85</f>
        <v>0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736</v>
      </c>
      <c r="B31" s="228">
        <f>ROUND(N('Prior Year'!S85), 0)</f>
        <v>74941</v>
      </c>
      <c r="C31" s="228">
        <f>data!S85</f>
        <v>116974</v>
      </c>
      <c r="D31" s="228" t="s">
        <v>737</v>
      </c>
      <c r="E31" s="4" t="s">
        <v>737</v>
      </c>
      <c r="F31" s="205" t="s">
        <v>3</v>
      </c>
      <c r="G31" s="205" t="str">
        <f>IFERROR(IF(C31=0,"",IF(E31=0,"",C31/E31)),"")</f>
        <v/>
      </c>
      <c r="H31" s="6" t="s">
        <v>3</v>
      </c>
      <c r="I31" s="228" t="str">
        <f t="shared" si="3"/>
        <v/>
      </c>
      <c r="M31" s="7"/>
    </row>
    <row r="32" spans="1:13" x14ac:dyDescent="0.25">
      <c r="A32" s="1" t="s">
        <v>738</v>
      </c>
      <c r="B32" s="228">
        <f>ROUND(N('Prior Year'!T85), 0)</f>
        <v>0</v>
      </c>
      <c r="C32" s="228">
        <f>data!T85</f>
        <v>0</v>
      </c>
      <c r="D32" s="228" t="s">
        <v>737</v>
      </c>
      <c r="E32" s="4" t="s">
        <v>737</v>
      </c>
      <c r="F32" s="205" t="s">
        <v>3</v>
      </c>
      <c r="G32" s="205" t="str">
        <f>IFERROR(IF(C32=0,"",IF(E32=0,"",C32/E32)),"")</f>
        <v/>
      </c>
      <c r="H32" s="6" t="s">
        <v>3</v>
      </c>
      <c r="I32" s="228" t="str">
        <f t="shared" si="3"/>
        <v/>
      </c>
      <c r="M32" s="7"/>
    </row>
    <row r="33" spans="1:13" x14ac:dyDescent="0.25">
      <c r="A33" s="1" t="s">
        <v>739</v>
      </c>
      <c r="B33" s="228">
        <f>ROUND(N('Prior Year'!U85), 0)</f>
        <v>719454</v>
      </c>
      <c r="C33" s="228">
        <f>data!U85</f>
        <v>850397</v>
      </c>
      <c r="D33" s="228">
        <f>ROUND(N('Prior Year'!U59), 0)</f>
        <v>2635</v>
      </c>
      <c r="E33" s="1">
        <f>data!U59</f>
        <v>3483</v>
      </c>
      <c r="F33" s="205">
        <f t="shared" si="0"/>
        <v>273.03757115749528</v>
      </c>
      <c r="G33" s="205">
        <f>IF(C33=0,"",IF(E33=0,"",C33/E33))</f>
        <v>244.15647430376112</v>
      </c>
      <c r="H33" s="6" t="str">
        <f t="shared" ref="H33:H39" si="4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740</v>
      </c>
      <c r="B34" s="228">
        <f>ROUND(N('Prior Year'!V85), 0)</f>
        <v>7447</v>
      </c>
      <c r="C34" s="228">
        <f>data!V85</f>
        <v>12342</v>
      </c>
      <c r="D34" s="228">
        <f>ROUND(N('Prior Year'!V59), 0)</f>
        <v>149</v>
      </c>
      <c r="E34" s="1">
        <f>data!V59</f>
        <v>295</v>
      </c>
      <c r="F34" s="205">
        <f t="shared" si="0"/>
        <v>49.979865771812079</v>
      </c>
      <c r="G34" s="205">
        <f t="shared" ref="G34:G69" si="5">IF(C34=0,"",IF(E34=0,"",C34/E34))</f>
        <v>41.837288135593219</v>
      </c>
      <c r="H34" s="6" t="str">
        <f t="shared" si="4"/>
        <v/>
      </c>
      <c r="I34" s="228" t="str">
        <f t="shared" si="3"/>
        <v/>
      </c>
      <c r="M34" s="7"/>
    </row>
    <row r="35" spans="1:13" x14ac:dyDescent="0.25">
      <c r="A35" s="1" t="s">
        <v>741</v>
      </c>
      <c r="B35" s="228">
        <f>ROUND(N('Prior Year'!W85), 0)</f>
        <v>0</v>
      </c>
      <c r="C35" s="228">
        <f>data!W85</f>
        <v>0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5"/>
        <v/>
      </c>
      <c r="H35" s="6" t="str">
        <f t="shared" si="4"/>
        <v/>
      </c>
      <c r="I35" s="228" t="str">
        <f t="shared" si="3"/>
        <v/>
      </c>
      <c r="M35" s="7"/>
    </row>
    <row r="36" spans="1:13" x14ac:dyDescent="0.25">
      <c r="A36" s="1" t="s">
        <v>742</v>
      </c>
      <c r="B36" s="228">
        <f>ROUND(N('Prior Year'!X85), 0)</f>
        <v>0</v>
      </c>
      <c r="C36" s="228">
        <f>data!X85</f>
        <v>0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5"/>
        <v/>
      </c>
      <c r="H36" s="6" t="str">
        <f t="shared" si="4"/>
        <v/>
      </c>
      <c r="I36" s="228" t="str">
        <f t="shared" si="3"/>
        <v/>
      </c>
      <c r="M36" s="7"/>
    </row>
    <row r="37" spans="1:13" x14ac:dyDescent="0.25">
      <c r="A37" s="1" t="s">
        <v>743</v>
      </c>
      <c r="B37" s="228">
        <f>ROUND(N('Prior Year'!Y85), 0)</f>
        <v>456063</v>
      </c>
      <c r="C37" s="228">
        <f>data!Y85</f>
        <v>588894</v>
      </c>
      <c r="D37" s="228">
        <f>ROUND(N('Prior Year'!Y59), 0)</f>
        <v>1369</v>
      </c>
      <c r="E37" s="1">
        <f>data!Y59</f>
        <v>1481</v>
      </c>
      <c r="F37" s="205">
        <f t="shared" si="0"/>
        <v>333.13586559532507</v>
      </c>
      <c r="G37" s="205">
        <f t="shared" si="5"/>
        <v>397.63268062120187</v>
      </c>
      <c r="H37" s="6" t="str">
        <f t="shared" si="4"/>
        <v/>
      </c>
      <c r="I37" s="228" t="str">
        <f t="shared" si="3"/>
        <v/>
      </c>
      <c r="M37" s="7"/>
    </row>
    <row r="38" spans="1:13" x14ac:dyDescent="0.25">
      <c r="A38" s="1" t="s">
        <v>744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5"/>
        <v/>
      </c>
      <c r="H38" s="6" t="str">
        <f t="shared" si="4"/>
        <v/>
      </c>
      <c r="I38" s="228" t="str">
        <f t="shared" si="3"/>
        <v/>
      </c>
      <c r="M38" s="7"/>
    </row>
    <row r="39" spans="1:13" x14ac:dyDescent="0.25">
      <c r="A39" s="1" t="s">
        <v>745</v>
      </c>
      <c r="B39" s="228">
        <f>ROUND(N('Prior Year'!AA85), 0)</f>
        <v>0</v>
      </c>
      <c r="C39" s="228">
        <f>data!AA85</f>
        <v>0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5"/>
        <v/>
      </c>
      <c r="H39" s="6" t="str">
        <f t="shared" si="4"/>
        <v/>
      </c>
      <c r="I39" s="228" t="str">
        <f t="shared" si="3"/>
        <v/>
      </c>
      <c r="M39" s="7"/>
    </row>
    <row r="40" spans="1:13" x14ac:dyDescent="0.25">
      <c r="A40" s="1" t="s">
        <v>746</v>
      </c>
      <c r="B40" s="228">
        <f>ROUND(N('Prior Year'!AB85), 0)</f>
        <v>386129</v>
      </c>
      <c r="C40" s="228">
        <f>data!AB85</f>
        <v>525743</v>
      </c>
      <c r="D40" s="228" t="s">
        <v>737</v>
      </c>
      <c r="E40" s="4" t="s">
        <v>737</v>
      </c>
      <c r="F40" s="205" t="s">
        <v>3</v>
      </c>
      <c r="G40" s="205" t="str">
        <f>IFERROR(IF(C40=0,"",IF(E40=0,"",C40/E40)),"")</f>
        <v/>
      </c>
      <c r="H40" s="6" t="s">
        <v>3</v>
      </c>
      <c r="I40" s="228" t="str">
        <f t="shared" si="3"/>
        <v/>
      </c>
      <c r="M40" s="7"/>
    </row>
    <row r="41" spans="1:13" x14ac:dyDescent="0.25">
      <c r="A41" s="1" t="s">
        <v>747</v>
      </c>
      <c r="B41" s="228">
        <f>ROUND(N('Prior Year'!AC85), 0)</f>
        <v>0</v>
      </c>
      <c r="C41" s="228">
        <f>data!AC85</f>
        <v>0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5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748</v>
      </c>
      <c r="B42" s="228">
        <f>ROUND(N('Prior Year'!AD85), 0)</f>
        <v>0</v>
      </c>
      <c r="C42" s="228">
        <f>data!AD85</f>
        <v>173190</v>
      </c>
      <c r="D42" s="228">
        <f>ROUND(N('Prior Year'!AD59), 0)</f>
        <v>0</v>
      </c>
      <c r="E42" s="1">
        <f>data!AD59</f>
        <v>9</v>
      </c>
      <c r="F42" s="205" t="str">
        <f t="shared" si="0"/>
        <v/>
      </c>
      <c r="G42" s="205">
        <f t="shared" si="5"/>
        <v>19243.333333333332</v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749</v>
      </c>
      <c r="B43" s="228">
        <f>ROUND(N('Prior Year'!AE85), 0)</f>
        <v>228680</v>
      </c>
      <c r="C43" s="228">
        <f>data!AE85</f>
        <v>220323</v>
      </c>
      <c r="D43" s="228">
        <f>ROUND(N('Prior Year'!AE59), 0)</f>
        <v>1857</v>
      </c>
      <c r="E43" s="1">
        <f>data!AE59</f>
        <v>2106</v>
      </c>
      <c r="F43" s="205">
        <f t="shared" si="0"/>
        <v>123.14485729671513</v>
      </c>
      <c r="G43" s="205">
        <f t="shared" si="5"/>
        <v>104.61680911680912</v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750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5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751</v>
      </c>
      <c r="B45" s="228">
        <f>ROUND(N('Prior Year'!AG85), 0)</f>
        <v>944084</v>
      </c>
      <c r="C45" s="228">
        <f>data!AG85</f>
        <v>1094248</v>
      </c>
      <c r="D45" s="228">
        <f>ROUND(N('Prior Year'!AG59), 0)</f>
        <v>846</v>
      </c>
      <c r="E45" s="1">
        <f>data!AG59</f>
        <v>965</v>
      </c>
      <c r="F45" s="205">
        <f t="shared" si="0"/>
        <v>1115.9385342789599</v>
      </c>
      <c r="G45" s="205">
        <f t="shared" si="5"/>
        <v>1133.9357512953368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752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5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753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5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754</v>
      </c>
      <c r="B48" s="228">
        <f>ROUND(N('Prior Year'!AJ85), 0)</f>
        <v>835585</v>
      </c>
      <c r="C48" s="228">
        <f>data!AJ85</f>
        <v>942810</v>
      </c>
      <c r="D48" s="228">
        <v>3668</v>
      </c>
      <c r="E48" s="1">
        <f>data!AJ59</f>
        <v>3632</v>
      </c>
      <c r="F48" s="205">
        <f t="shared" si="0"/>
        <v>227.80398037077427</v>
      </c>
      <c r="G48" s="205">
        <f t="shared" si="5"/>
        <v>259.58425110132157</v>
      </c>
      <c r="H48" s="6" t="str">
        <f t="shared" si="6"/>
        <v/>
      </c>
      <c r="I48" s="228" t="str">
        <f t="shared" si="7"/>
        <v/>
      </c>
      <c r="J48" s="1" t="s">
        <v>1375</v>
      </c>
      <c r="M48" s="7"/>
    </row>
    <row r="49" spans="1:13" x14ac:dyDescent="0.25">
      <c r="A49" s="1" t="s">
        <v>755</v>
      </c>
      <c r="B49" s="228">
        <f>ROUND(N('Prior Year'!AK85), 0)</f>
        <v>0</v>
      </c>
      <c r="C49" s="228">
        <f>data!AK85</f>
        <v>0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5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756</v>
      </c>
      <c r="B50" s="228">
        <f>ROUND(N('Prior Year'!AL85), 0)</f>
        <v>0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5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757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5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758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5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759</v>
      </c>
      <c r="B53" s="228">
        <f>ROUND(N('Prior Year'!AO85), 0)</f>
        <v>16922</v>
      </c>
      <c r="C53" s="228">
        <f>data!AO85</f>
        <v>12413</v>
      </c>
      <c r="D53" s="228">
        <f>ROUND(N('Prior Year'!AO59), 0)</f>
        <v>552</v>
      </c>
      <c r="E53" s="1">
        <f>data!AO59</f>
        <v>408</v>
      </c>
      <c r="F53" s="205">
        <f t="shared" si="0"/>
        <v>30.655797101449274</v>
      </c>
      <c r="G53" s="205">
        <f t="shared" si="5"/>
        <v>30.424019607843139</v>
      </c>
      <c r="H53" s="6" t="str">
        <f>IF(B53 = 0, "", IF(C53 = 0, "", IF(D53 = 0, "", IF(E53 = 0, "", IF(G53 / F53 - 1 &lt; -0.25, G53 / F53 - 1, IF(G53 / F53 - 1 &gt; 0.25, G53 / F53 - 1, ""))))))</f>
        <v/>
      </c>
      <c r="I53" s="228" t="str">
        <f t="shared" si="7"/>
        <v/>
      </c>
      <c r="M53" s="7"/>
    </row>
    <row r="54" spans="1:13" x14ac:dyDescent="0.25">
      <c r="A54" s="1" t="s">
        <v>760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5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761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5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762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5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763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5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764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5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765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5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766</v>
      </c>
      <c r="B60" s="228">
        <f>ROUND(N('Prior Year'!AV85), 0)</f>
        <v>0</v>
      </c>
      <c r="C60" s="228">
        <f>data!AV85</f>
        <v>0</v>
      </c>
      <c r="D60" s="228" t="s">
        <v>737</v>
      </c>
      <c r="E60" s="4" t="s">
        <v>737</v>
      </c>
      <c r="F60" s="205" t="s">
        <v>3</v>
      </c>
      <c r="G60" s="205"/>
      <c r="H60" s="6" t="s">
        <v>3</v>
      </c>
      <c r="I60" s="228" t="str">
        <f t="shared" si="7"/>
        <v/>
      </c>
      <c r="M60" s="7"/>
    </row>
    <row r="61" spans="1:13" x14ac:dyDescent="0.25">
      <c r="A61" s="1" t="s">
        <v>767</v>
      </c>
      <c r="B61" s="228">
        <f>ROUND(N('Prior Year'!AW85), 0)</f>
        <v>0</v>
      </c>
      <c r="C61" s="228">
        <f>data!AW85</f>
        <v>0</v>
      </c>
      <c r="D61" s="228" t="s">
        <v>737</v>
      </c>
      <c r="E61" s="4" t="s">
        <v>737</v>
      </c>
      <c r="F61" s="205" t="s">
        <v>3</v>
      </c>
      <c r="G61" s="205"/>
      <c r="H61" s="6" t="s">
        <v>3</v>
      </c>
      <c r="I61" s="228" t="str">
        <f t="shared" si="7"/>
        <v/>
      </c>
      <c r="M61" s="7"/>
    </row>
    <row r="62" spans="1:13" x14ac:dyDescent="0.25">
      <c r="A62" s="1" t="s">
        <v>768</v>
      </c>
      <c r="B62" s="228">
        <f>ROUND(N('Prior Year'!AX85), 0)</f>
        <v>0</v>
      </c>
      <c r="C62" s="228">
        <f>data!AX85</f>
        <v>0</v>
      </c>
      <c r="D62" s="228" t="s">
        <v>737</v>
      </c>
      <c r="E62" s="4" t="s">
        <v>737</v>
      </c>
      <c r="F62" s="205" t="s">
        <v>3</v>
      </c>
      <c r="G62" s="205"/>
      <c r="H62" s="6" t="s">
        <v>3</v>
      </c>
      <c r="I62" s="228" t="str">
        <f t="shared" si="7"/>
        <v/>
      </c>
      <c r="M62" s="7"/>
    </row>
    <row r="63" spans="1:13" x14ac:dyDescent="0.25">
      <c r="A63" s="1" t="s">
        <v>769</v>
      </c>
      <c r="B63" s="228">
        <f>ROUND(N('Prior Year'!AY85), 0)</f>
        <v>454282</v>
      </c>
      <c r="C63" s="228">
        <f>data!AY85</f>
        <v>601638</v>
      </c>
      <c r="D63" s="228">
        <f>ROUND(N('Prior Year'!AY59), 0)</f>
        <v>17127</v>
      </c>
      <c r="E63" s="1">
        <f>data!AY59</f>
        <v>19037</v>
      </c>
      <c r="F63" s="205">
        <f>IF(B63=0,"",IF(D63=0,"",B63/D63))</f>
        <v>26.524318327786535</v>
      </c>
      <c r="G63" s="205">
        <f t="shared" si="5"/>
        <v>31.603614014813257</v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770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771</v>
      </c>
      <c r="B65" s="228">
        <f>ROUND(N('Prior Year'!BA85), 0)</f>
        <v>79243</v>
      </c>
      <c r="C65" s="228">
        <f>data!BA85</f>
        <v>101704</v>
      </c>
      <c r="D65" s="228" t="s">
        <v>737</v>
      </c>
      <c r="E65" s="310" t="s">
        <v>737</v>
      </c>
      <c r="F65" s="205"/>
      <c r="G65" s="205" t="e">
        <f t="shared" si="5"/>
        <v>#VALUE!</v>
      </c>
      <c r="H65" s="6" t="e">
        <f>IF(B65 = 0, "", IF(C65 = 0, "", IF(D65 = 0, "", IF(E65 = 0, "", IF(G65 / F65 - 1 &lt; -0.25, G65 / F65 - 1, IF(G65 / F65 - 1 &gt; 0.25, G65 / F65 - 1, ""))))))</f>
        <v>#VALUE!</v>
      </c>
      <c r="I65" s="228" t="e">
        <f t="shared" si="7"/>
        <v>#VALUE!</v>
      </c>
      <c r="M65" s="7"/>
    </row>
    <row r="66" spans="1:13" x14ac:dyDescent="0.25">
      <c r="A66" s="1" t="s">
        <v>772</v>
      </c>
      <c r="B66" s="228">
        <f>ROUND(N('Prior Year'!BB85), 0)</f>
        <v>145723</v>
      </c>
      <c r="C66" s="228">
        <f>data!BB85</f>
        <v>169736</v>
      </c>
      <c r="D66" s="228" t="s">
        <v>737</v>
      </c>
      <c r="E66" s="4" t="s">
        <v>737</v>
      </c>
      <c r="F66" s="205" t="s">
        <v>3</v>
      </c>
      <c r="G66" s="205" t="str">
        <f t="shared" ref="G66:G68" si="8">IFERROR(IF(C66=0,"",IF(E66=0,"",C66/E66)),"")</f>
        <v/>
      </c>
      <c r="H66" s="6" t="s">
        <v>3</v>
      </c>
      <c r="I66" s="228" t="str">
        <f t="shared" si="7"/>
        <v/>
      </c>
      <c r="M66" s="7"/>
    </row>
    <row r="67" spans="1:13" x14ac:dyDescent="0.25">
      <c r="A67" s="1" t="s">
        <v>773</v>
      </c>
      <c r="B67" s="228">
        <f>ROUND(N('Prior Year'!BC85), 0)</f>
        <v>0</v>
      </c>
      <c r="C67" s="228">
        <f>data!BC85</f>
        <v>0</v>
      </c>
      <c r="D67" s="228" t="s">
        <v>737</v>
      </c>
      <c r="E67" s="4" t="s">
        <v>737</v>
      </c>
      <c r="F67" s="205" t="s">
        <v>3</v>
      </c>
      <c r="G67" s="205" t="str">
        <f t="shared" si="8"/>
        <v/>
      </c>
      <c r="H67" s="6" t="s">
        <v>3</v>
      </c>
      <c r="I67" s="228" t="str">
        <f t="shared" si="7"/>
        <v/>
      </c>
      <c r="M67" s="7"/>
    </row>
    <row r="68" spans="1:13" x14ac:dyDescent="0.25">
      <c r="A68" s="1" t="s">
        <v>774</v>
      </c>
      <c r="B68" s="228">
        <f>ROUND(N('Prior Year'!BD85), 0)</f>
        <v>0</v>
      </c>
      <c r="C68" s="228">
        <f>data!BD85</f>
        <v>0</v>
      </c>
      <c r="D68" s="228" t="s">
        <v>737</v>
      </c>
      <c r="E68" s="4" t="s">
        <v>737</v>
      </c>
      <c r="F68" s="205" t="s">
        <v>3</v>
      </c>
      <c r="G68" s="205" t="str">
        <f t="shared" si="8"/>
        <v/>
      </c>
      <c r="H68" s="6" t="s">
        <v>3</v>
      </c>
      <c r="I68" s="228" t="str">
        <f t="shared" si="7"/>
        <v/>
      </c>
      <c r="M68" s="7"/>
    </row>
    <row r="69" spans="1:13" x14ac:dyDescent="0.25">
      <c r="A69" s="1" t="s">
        <v>775</v>
      </c>
      <c r="B69" s="228">
        <f>ROUND(N('Prior Year'!BE85), 0)</f>
        <v>393142</v>
      </c>
      <c r="C69" s="228">
        <f>data!BE85</f>
        <v>474590</v>
      </c>
      <c r="D69" s="228">
        <f>ROUND(N('Prior Year'!BE59), 0)</f>
        <v>20923</v>
      </c>
      <c r="E69" s="1">
        <f>data!BE59</f>
        <v>21029</v>
      </c>
      <c r="F69" s="205">
        <f>IF(B69=0,"",IF(D69=0,"",B69/D69))</f>
        <v>18.789944080676769</v>
      </c>
      <c r="G69" s="205">
        <f t="shared" si="5"/>
        <v>22.568357981834609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776</v>
      </c>
      <c r="B70" s="228">
        <f>ROUND(N('Prior Year'!BF85), 0)</f>
        <v>124800</v>
      </c>
      <c r="C70" s="228">
        <f>data!BF85</f>
        <v>199658</v>
      </c>
      <c r="D70" s="228" t="s">
        <v>737</v>
      </c>
      <c r="E70" s="4" t="s">
        <v>737</v>
      </c>
      <c r="F70" s="205" t="s">
        <v>3</v>
      </c>
      <c r="G70" s="205" t="str">
        <f t="shared" ref="G70:G94" si="9">IFERROR(IF(C70=0,"",IF(E70=0,"",C70/E70)),"")</f>
        <v/>
      </c>
      <c r="H70" s="6" t="s">
        <v>3</v>
      </c>
      <c r="I70" s="228" t="str">
        <f t="shared" si="7"/>
        <v/>
      </c>
      <c r="M70" s="7"/>
    </row>
    <row r="71" spans="1:13" x14ac:dyDescent="0.25">
      <c r="A71" s="1" t="s">
        <v>777</v>
      </c>
      <c r="B71" s="228">
        <f>ROUND(N('Prior Year'!BG85), 0)</f>
        <v>0</v>
      </c>
      <c r="C71" s="228">
        <f>data!BG85</f>
        <v>0</v>
      </c>
      <c r="D71" s="228" t="s">
        <v>737</v>
      </c>
      <c r="E71" s="4" t="s">
        <v>737</v>
      </c>
      <c r="F71" s="205" t="s">
        <v>3</v>
      </c>
      <c r="G71" s="205" t="str">
        <f t="shared" si="9"/>
        <v/>
      </c>
      <c r="H71" s="6" t="s">
        <v>3</v>
      </c>
      <c r="I71" s="228" t="str">
        <f t="shared" si="7"/>
        <v/>
      </c>
      <c r="M71" s="7"/>
    </row>
    <row r="72" spans="1:13" x14ac:dyDescent="0.25">
      <c r="A72" s="1" t="s">
        <v>778</v>
      </c>
      <c r="B72" s="228">
        <f>ROUND(N('Prior Year'!BH85), 0)</f>
        <v>267452</v>
      </c>
      <c r="C72" s="228">
        <f>data!BH85</f>
        <v>297859</v>
      </c>
      <c r="D72" s="228" t="s">
        <v>737</v>
      </c>
      <c r="E72" s="4" t="s">
        <v>737</v>
      </c>
      <c r="F72" s="205" t="s">
        <v>3</v>
      </c>
      <c r="G72" s="205" t="str">
        <f t="shared" si="9"/>
        <v/>
      </c>
      <c r="H72" s="6" t="s">
        <v>3</v>
      </c>
      <c r="I72" s="228" t="str">
        <f t="shared" si="7"/>
        <v/>
      </c>
      <c r="M72" s="7"/>
    </row>
    <row r="73" spans="1:13" x14ac:dyDescent="0.25">
      <c r="A73" s="1" t="s">
        <v>779</v>
      </c>
      <c r="B73" s="228">
        <f>ROUND(N('Prior Year'!BI85), 0)</f>
        <v>0</v>
      </c>
      <c r="C73" s="228">
        <f>data!BI85</f>
        <v>0</v>
      </c>
      <c r="D73" s="228" t="s">
        <v>737</v>
      </c>
      <c r="E73" s="4" t="s">
        <v>737</v>
      </c>
      <c r="F73" s="205" t="s">
        <v>3</v>
      </c>
      <c r="G73" s="205" t="str">
        <f t="shared" si="9"/>
        <v/>
      </c>
      <c r="H73" s="6" t="s">
        <v>3</v>
      </c>
      <c r="I73" s="228" t="str">
        <f t="shared" si="7"/>
        <v/>
      </c>
      <c r="M73" s="7"/>
    </row>
    <row r="74" spans="1:13" x14ac:dyDescent="0.25">
      <c r="A74" s="1" t="s">
        <v>780</v>
      </c>
      <c r="B74" s="228">
        <f>ROUND(N('Prior Year'!BJ85), 0)</f>
        <v>273488</v>
      </c>
      <c r="C74" s="228">
        <f>data!BJ85</f>
        <v>386453</v>
      </c>
      <c r="D74" s="228" t="s">
        <v>737</v>
      </c>
      <c r="E74" s="4" t="s">
        <v>737</v>
      </c>
      <c r="F74" s="205" t="s">
        <v>3</v>
      </c>
      <c r="G74" s="205" t="str">
        <f t="shared" si="9"/>
        <v/>
      </c>
      <c r="H74" s="6" t="s">
        <v>3</v>
      </c>
      <c r="I74" s="228" t="str">
        <f t="shared" si="7"/>
        <v/>
      </c>
      <c r="M74" s="7"/>
    </row>
    <row r="75" spans="1:13" x14ac:dyDescent="0.25">
      <c r="A75" s="1" t="s">
        <v>781</v>
      </c>
      <c r="B75" s="228">
        <f>ROUND(N('Prior Year'!BK85), 0)</f>
        <v>0</v>
      </c>
      <c r="C75" s="228">
        <f>data!BK85</f>
        <v>0</v>
      </c>
      <c r="D75" s="228" t="s">
        <v>737</v>
      </c>
      <c r="E75" s="4" t="s">
        <v>737</v>
      </c>
      <c r="F75" s="205" t="s">
        <v>3</v>
      </c>
      <c r="G75" s="205" t="str">
        <f t="shared" si="9"/>
        <v/>
      </c>
      <c r="H75" s="6" t="s">
        <v>3</v>
      </c>
      <c r="I75" s="228" t="str">
        <f t="shared" si="7"/>
        <v/>
      </c>
      <c r="M75" s="7"/>
    </row>
    <row r="76" spans="1:13" x14ac:dyDescent="0.25">
      <c r="A76" s="1" t="s">
        <v>782</v>
      </c>
      <c r="B76" s="228">
        <f>ROUND(N('Prior Year'!BL85), 0)</f>
        <v>0</v>
      </c>
      <c r="C76" s="228">
        <f>data!BL85</f>
        <v>0</v>
      </c>
      <c r="D76" s="228" t="s">
        <v>737</v>
      </c>
      <c r="E76" s="4" t="s">
        <v>737</v>
      </c>
      <c r="F76" s="205" t="s">
        <v>3</v>
      </c>
      <c r="G76" s="205" t="str">
        <f t="shared" si="9"/>
        <v/>
      </c>
      <c r="H76" s="6" t="s">
        <v>3</v>
      </c>
      <c r="I76" s="228" t="str">
        <f t="shared" si="7"/>
        <v/>
      </c>
      <c r="M76" s="7"/>
    </row>
    <row r="77" spans="1:13" x14ac:dyDescent="0.25">
      <c r="A77" s="1" t="s">
        <v>783</v>
      </c>
      <c r="B77" s="228">
        <f>ROUND(N('Prior Year'!BM85), 0)</f>
        <v>0</v>
      </c>
      <c r="C77" s="228">
        <f>data!BM85</f>
        <v>0</v>
      </c>
      <c r="D77" s="228" t="s">
        <v>737</v>
      </c>
      <c r="E77" s="4" t="s">
        <v>737</v>
      </c>
      <c r="F77" s="205" t="s">
        <v>3</v>
      </c>
      <c r="G77" s="205" t="str">
        <f t="shared" si="9"/>
        <v/>
      </c>
      <c r="H77" s="6" t="s">
        <v>3</v>
      </c>
      <c r="I77" s="228" t="str">
        <f t="shared" si="7"/>
        <v/>
      </c>
      <c r="M77" s="7"/>
    </row>
    <row r="78" spans="1:13" x14ac:dyDescent="0.25">
      <c r="A78" s="1" t="s">
        <v>784</v>
      </c>
      <c r="B78" s="228">
        <f>ROUND(N('Prior Year'!BN85), 0)</f>
        <v>614758</v>
      </c>
      <c r="C78" s="228">
        <f>data!BN85</f>
        <v>723561</v>
      </c>
      <c r="D78" s="228" t="s">
        <v>737</v>
      </c>
      <c r="E78" s="4" t="s">
        <v>737</v>
      </c>
      <c r="F78" s="205" t="s">
        <v>3</v>
      </c>
      <c r="G78" s="205" t="str">
        <f t="shared" si="9"/>
        <v/>
      </c>
      <c r="H78" s="6" t="s">
        <v>3</v>
      </c>
      <c r="I78" s="228" t="str">
        <f t="shared" si="7"/>
        <v/>
      </c>
      <c r="M78" s="7"/>
    </row>
    <row r="79" spans="1:13" x14ac:dyDescent="0.25">
      <c r="A79" s="1" t="s">
        <v>785</v>
      </c>
      <c r="B79" s="228">
        <f>ROUND(N('Prior Year'!BO85), 0)</f>
        <v>0</v>
      </c>
      <c r="C79" s="228">
        <f>data!BO85</f>
        <v>0</v>
      </c>
      <c r="D79" s="228" t="s">
        <v>737</v>
      </c>
      <c r="E79" s="4" t="s">
        <v>737</v>
      </c>
      <c r="F79" s="205" t="s">
        <v>3</v>
      </c>
      <c r="G79" s="205" t="str">
        <f t="shared" si="9"/>
        <v/>
      </c>
      <c r="H79" s="6" t="s">
        <v>3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786</v>
      </c>
      <c r="B80" s="228">
        <f>ROUND(N('Prior Year'!BP85), 0)</f>
        <v>0</v>
      </c>
      <c r="C80" s="228">
        <f>data!BP85</f>
        <v>0</v>
      </c>
      <c r="D80" s="228" t="s">
        <v>737</v>
      </c>
      <c r="E80" s="4" t="s">
        <v>737</v>
      </c>
      <c r="F80" s="205" t="s">
        <v>3</v>
      </c>
      <c r="G80" s="205" t="str">
        <f t="shared" si="9"/>
        <v/>
      </c>
      <c r="H80" s="6" t="s">
        <v>3</v>
      </c>
      <c r="I80" s="228" t="str">
        <f t="shared" si="10"/>
        <v/>
      </c>
      <c r="M80" s="7"/>
    </row>
    <row r="81" spans="1:13" x14ac:dyDescent="0.25">
      <c r="A81" s="1" t="s">
        <v>787</v>
      </c>
      <c r="B81" s="228">
        <f>ROUND(N('Prior Year'!BQ85), 0)</f>
        <v>0</v>
      </c>
      <c r="C81" s="228">
        <f>data!BQ85</f>
        <v>0</v>
      </c>
      <c r="D81" s="228" t="s">
        <v>737</v>
      </c>
      <c r="E81" s="4" t="s">
        <v>737</v>
      </c>
      <c r="F81" s="205" t="s">
        <v>3</v>
      </c>
      <c r="G81" s="205" t="str">
        <f t="shared" si="9"/>
        <v/>
      </c>
      <c r="H81" s="6" t="s">
        <v>3</v>
      </c>
      <c r="I81" s="228" t="str">
        <f t="shared" si="10"/>
        <v/>
      </c>
      <c r="M81" s="7"/>
    </row>
    <row r="82" spans="1:13" x14ac:dyDescent="0.25">
      <c r="A82" s="1" t="s">
        <v>788</v>
      </c>
      <c r="B82" s="228">
        <f>ROUND(N('Prior Year'!BR85), 0)</f>
        <v>144288</v>
      </c>
      <c r="C82" s="228">
        <f>data!BR85</f>
        <v>147900</v>
      </c>
      <c r="D82" s="228" t="s">
        <v>737</v>
      </c>
      <c r="E82" s="4" t="s">
        <v>737</v>
      </c>
      <c r="F82" s="205" t="s">
        <v>3</v>
      </c>
      <c r="G82" s="205" t="str">
        <f t="shared" si="9"/>
        <v/>
      </c>
      <c r="H82" s="6" t="s">
        <v>3</v>
      </c>
      <c r="I82" s="228" t="str">
        <f t="shared" si="10"/>
        <v/>
      </c>
      <c r="M82" s="7"/>
    </row>
    <row r="83" spans="1:13" x14ac:dyDescent="0.25">
      <c r="A83" s="1" t="s">
        <v>789</v>
      </c>
      <c r="B83" s="228">
        <f>ROUND(N('Prior Year'!BS85), 0)</f>
        <v>0</v>
      </c>
      <c r="C83" s="228">
        <f>data!BS85</f>
        <v>0</v>
      </c>
      <c r="D83" s="228" t="s">
        <v>737</v>
      </c>
      <c r="E83" s="4" t="s">
        <v>737</v>
      </c>
      <c r="F83" s="205" t="s">
        <v>3</v>
      </c>
      <c r="G83" s="205" t="str">
        <f t="shared" si="9"/>
        <v/>
      </c>
      <c r="H83" s="6" t="s">
        <v>3</v>
      </c>
      <c r="I83" s="228" t="str">
        <f t="shared" si="10"/>
        <v/>
      </c>
      <c r="M83" s="7"/>
    </row>
    <row r="84" spans="1:13" x14ac:dyDescent="0.25">
      <c r="A84" s="1" t="s">
        <v>790</v>
      </c>
      <c r="B84" s="228">
        <f>ROUND(N('Prior Year'!BT85), 0)</f>
        <v>0</v>
      </c>
      <c r="C84" s="228">
        <f>data!BT85</f>
        <v>0</v>
      </c>
      <c r="D84" s="228" t="s">
        <v>737</v>
      </c>
      <c r="E84" s="4" t="s">
        <v>737</v>
      </c>
      <c r="F84" s="205" t="s">
        <v>3</v>
      </c>
      <c r="G84" s="205" t="str">
        <f t="shared" si="9"/>
        <v/>
      </c>
      <c r="H84" s="6" t="s">
        <v>3</v>
      </c>
      <c r="I84" s="228" t="str">
        <f t="shared" si="10"/>
        <v/>
      </c>
      <c r="M84" s="7"/>
    </row>
    <row r="85" spans="1:13" x14ac:dyDescent="0.25">
      <c r="A85" s="1" t="s">
        <v>791</v>
      </c>
      <c r="B85" s="228">
        <f>ROUND(N('Prior Year'!BU85), 0)</f>
        <v>0</v>
      </c>
      <c r="C85" s="228">
        <f>data!BU85</f>
        <v>0</v>
      </c>
      <c r="D85" s="228" t="s">
        <v>737</v>
      </c>
      <c r="E85" s="4" t="s">
        <v>737</v>
      </c>
      <c r="F85" s="205" t="s">
        <v>3</v>
      </c>
      <c r="G85" s="205" t="str">
        <f t="shared" si="9"/>
        <v/>
      </c>
      <c r="H85" s="6" t="s">
        <v>3</v>
      </c>
      <c r="I85" s="228" t="str">
        <f t="shared" si="10"/>
        <v/>
      </c>
      <c r="M85" s="7"/>
    </row>
    <row r="86" spans="1:13" x14ac:dyDescent="0.25">
      <c r="A86" s="1" t="s">
        <v>792</v>
      </c>
      <c r="B86" s="228">
        <f>ROUND(N('Prior Year'!BV85), 0)</f>
        <v>379891</v>
      </c>
      <c r="C86" s="228">
        <f>data!BV85</f>
        <v>420103</v>
      </c>
      <c r="D86" s="228" t="s">
        <v>737</v>
      </c>
      <c r="E86" s="4" t="s">
        <v>737</v>
      </c>
      <c r="F86" s="205" t="s">
        <v>3</v>
      </c>
      <c r="G86" s="205" t="str">
        <f t="shared" si="9"/>
        <v/>
      </c>
      <c r="H86" s="6" t="s">
        <v>3</v>
      </c>
      <c r="I86" s="228" t="str">
        <f t="shared" si="10"/>
        <v/>
      </c>
      <c r="M86" s="7"/>
    </row>
    <row r="87" spans="1:13" x14ac:dyDescent="0.25">
      <c r="A87" s="1" t="s">
        <v>793</v>
      </c>
      <c r="B87" s="228">
        <f>ROUND(N('Prior Year'!BW85), 0)</f>
        <v>0</v>
      </c>
      <c r="C87" s="228">
        <f>data!BW85</f>
        <v>0</v>
      </c>
      <c r="D87" s="228" t="s">
        <v>737</v>
      </c>
      <c r="E87" s="4" t="s">
        <v>737</v>
      </c>
      <c r="F87" s="205" t="s">
        <v>3</v>
      </c>
      <c r="G87" s="205" t="str">
        <f t="shared" si="9"/>
        <v/>
      </c>
      <c r="H87" s="6" t="s">
        <v>3</v>
      </c>
      <c r="I87" s="228" t="str">
        <f t="shared" si="10"/>
        <v/>
      </c>
      <c r="M87" s="7"/>
    </row>
    <row r="88" spans="1:13" x14ac:dyDescent="0.25">
      <c r="A88" s="1" t="s">
        <v>794</v>
      </c>
      <c r="B88" s="228">
        <f>ROUND(N('Prior Year'!BX85), 0)</f>
        <v>0</v>
      </c>
      <c r="C88" s="228">
        <f>data!BX85</f>
        <v>0</v>
      </c>
      <c r="D88" s="228" t="s">
        <v>737</v>
      </c>
      <c r="E88" s="4" t="s">
        <v>737</v>
      </c>
      <c r="F88" s="205" t="s">
        <v>3</v>
      </c>
      <c r="G88" s="205" t="str">
        <f t="shared" si="9"/>
        <v/>
      </c>
      <c r="H88" s="6" t="s">
        <v>3</v>
      </c>
      <c r="I88" s="228" t="str">
        <f t="shared" si="10"/>
        <v/>
      </c>
      <c r="M88" s="7"/>
    </row>
    <row r="89" spans="1:13" x14ac:dyDescent="0.25">
      <c r="A89" s="1" t="s">
        <v>795</v>
      </c>
      <c r="B89" s="228">
        <f>ROUND(N('Prior Year'!BY85), 0)</f>
        <v>221815</v>
      </c>
      <c r="C89" s="228">
        <f>data!BY85</f>
        <v>224397</v>
      </c>
      <c r="D89" s="228" t="s">
        <v>737</v>
      </c>
      <c r="E89" s="4" t="s">
        <v>737</v>
      </c>
      <c r="F89" s="205" t="s">
        <v>3</v>
      </c>
      <c r="G89" s="205" t="str">
        <f t="shared" si="9"/>
        <v/>
      </c>
      <c r="H89" s="6" t="s">
        <v>3</v>
      </c>
      <c r="I89" s="228" t="str">
        <f t="shared" si="10"/>
        <v/>
      </c>
      <c r="M89" s="7"/>
    </row>
    <row r="90" spans="1:13" x14ac:dyDescent="0.25">
      <c r="A90" s="1" t="s">
        <v>796</v>
      </c>
      <c r="B90" s="228">
        <f>ROUND(N('Prior Year'!BZ85), 0)</f>
        <v>0</v>
      </c>
      <c r="C90" s="228">
        <f>data!BZ85</f>
        <v>0</v>
      </c>
      <c r="D90" s="228" t="s">
        <v>737</v>
      </c>
      <c r="E90" s="4" t="s">
        <v>737</v>
      </c>
      <c r="F90" s="205" t="s">
        <v>3</v>
      </c>
      <c r="G90" s="205" t="str">
        <f t="shared" si="9"/>
        <v/>
      </c>
      <c r="H90" s="6" t="s">
        <v>3</v>
      </c>
      <c r="I90" s="228" t="str">
        <f t="shared" si="10"/>
        <v/>
      </c>
      <c r="M90" s="7"/>
    </row>
    <row r="91" spans="1:13" x14ac:dyDescent="0.25">
      <c r="A91" s="1" t="s">
        <v>797</v>
      </c>
      <c r="B91" s="228">
        <f>ROUND(N('Prior Year'!CA85), 0)</f>
        <v>0</v>
      </c>
      <c r="C91" s="228">
        <f>data!CA85</f>
        <v>0</v>
      </c>
      <c r="D91" s="228" t="s">
        <v>737</v>
      </c>
      <c r="E91" s="4" t="s">
        <v>737</v>
      </c>
      <c r="F91" s="205" t="s">
        <v>3</v>
      </c>
      <c r="G91" s="205" t="str">
        <f t="shared" si="9"/>
        <v/>
      </c>
      <c r="H91" s="6" t="s">
        <v>3</v>
      </c>
      <c r="I91" s="228" t="str">
        <f t="shared" si="10"/>
        <v/>
      </c>
      <c r="M91" s="7"/>
    </row>
    <row r="92" spans="1:13" x14ac:dyDescent="0.25">
      <c r="A92" s="1" t="s">
        <v>798</v>
      </c>
      <c r="B92" s="228">
        <f>ROUND(N('Prior Year'!CB85), 0)</f>
        <v>0</v>
      </c>
      <c r="C92" s="228">
        <f>data!CB85</f>
        <v>0</v>
      </c>
      <c r="D92" s="228" t="s">
        <v>737</v>
      </c>
      <c r="E92" s="4" t="s">
        <v>737</v>
      </c>
      <c r="F92" s="205" t="s">
        <v>3</v>
      </c>
      <c r="G92" s="205" t="str">
        <f t="shared" si="9"/>
        <v/>
      </c>
      <c r="H92" s="6" t="s">
        <v>3</v>
      </c>
      <c r="I92" s="228" t="str">
        <f t="shared" si="10"/>
        <v/>
      </c>
      <c r="M92" s="7"/>
    </row>
    <row r="93" spans="1:13" x14ac:dyDescent="0.25">
      <c r="A93" s="1" t="s">
        <v>799</v>
      </c>
      <c r="B93" s="228">
        <f>ROUND(N('Prior Year'!CC85), 0)</f>
        <v>0</v>
      </c>
      <c r="C93" s="228">
        <f>data!CC85</f>
        <v>0</v>
      </c>
      <c r="D93" s="228" t="s">
        <v>737</v>
      </c>
      <c r="E93" s="4" t="s">
        <v>737</v>
      </c>
      <c r="F93" s="205" t="s">
        <v>3</v>
      </c>
      <c r="G93" s="205" t="str">
        <f t="shared" si="9"/>
        <v/>
      </c>
      <c r="H93" s="6" t="s">
        <v>3</v>
      </c>
      <c r="I93" s="228" t="str">
        <f t="shared" si="10"/>
        <v/>
      </c>
      <c r="M93" s="7"/>
    </row>
    <row r="94" spans="1:13" x14ac:dyDescent="0.25">
      <c r="A94" s="1" t="s">
        <v>800</v>
      </c>
      <c r="B94" s="228">
        <f>ROUND(N('Prior Year'!CD85), 0)</f>
        <v>201829</v>
      </c>
      <c r="C94" s="228">
        <f>data!CD85</f>
        <v>220579</v>
      </c>
      <c r="D94" s="228" t="s">
        <v>737</v>
      </c>
      <c r="E94" s="4" t="s">
        <v>737</v>
      </c>
      <c r="F94" s="205" t="s">
        <v>3</v>
      </c>
      <c r="G94" s="205" t="str">
        <f t="shared" si="9"/>
        <v/>
      </c>
      <c r="H94" s="6" t="s">
        <v>3</v>
      </c>
      <c r="I94" s="228" t="str">
        <f t="shared" si="10"/>
        <v/>
      </c>
      <c r="M94" s="7"/>
    </row>
  </sheetData>
  <sheetProtection algorithmName="SHA-512" hashValue="2ychXxvazO8cY38PpR0UDV1laGL+TezmyCNzlizJtX/A+rag34fwkp3Xj0apPd0MGFtyEbOLMtVTaVGEpY/+sA==" saltValue="QSvMArBQ69rrxbAp3QYgwA==" spinCount="100000" sheet="1" objects="1" scenarios="1"/>
  <pageMargins left="0.7" right="0.7" top="0.75" bottom="0.75" header="0.3" footer="0.3"/>
  <pageSetup scale="4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  <pageSetUpPr fitToPage="1"/>
  </sheetPr>
  <dimension ref="A1:D37"/>
  <sheetViews>
    <sheetView workbookViewId="0">
      <selection activeCell="G31" sqref="G31"/>
    </sheetView>
  </sheetViews>
  <sheetFormatPr defaultRowHeight="15" x14ac:dyDescent="0.2"/>
  <sheetData>
    <row r="1" spans="1:4" ht="15.75" x14ac:dyDescent="0.25">
      <c r="A1" s="268" t="s">
        <v>801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802</v>
      </c>
      <c r="B3" s="267"/>
      <c r="C3" s="267"/>
      <c r="D3" s="267"/>
    </row>
    <row r="4" spans="1:4" ht="15.75" x14ac:dyDescent="0.25">
      <c r="A4" s="267" t="s">
        <v>803</v>
      </c>
      <c r="B4" s="267"/>
      <c r="C4" s="267"/>
      <c r="D4" s="267"/>
    </row>
    <row r="5" spans="1:4" ht="15.75" x14ac:dyDescent="0.25">
      <c r="A5" s="1" t="s">
        <v>1349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804</v>
      </c>
      <c r="B7" s="267"/>
      <c r="C7" s="267"/>
      <c r="D7" s="267"/>
    </row>
    <row r="8" spans="1:4" ht="15.75" x14ac:dyDescent="0.25">
      <c r="A8" s="309" t="s">
        <v>1350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805</v>
      </c>
      <c r="B11" s="267"/>
      <c r="C11" s="267"/>
      <c r="D11" s="267">
        <f>N(data!C380)</f>
        <v>67716</v>
      </c>
    </row>
    <row r="12" spans="1:4" ht="15.75" x14ac:dyDescent="0.25">
      <c r="A12" s="269" t="s">
        <v>806</v>
      </c>
      <c r="B12" s="267"/>
      <c r="C12" s="267"/>
      <c r="D12" s="267" t="str">
        <f>IF(OR(N(data!C380) &gt; 1000000, N(data!C380) / (N(data!D360) + N(data!D383)) &gt; 0.01), "Yes", "No")</f>
        <v>No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807</v>
      </c>
      <c r="B14" s="267"/>
      <c r="C14" s="267"/>
      <c r="D14" s="269" t="s">
        <v>808</v>
      </c>
    </row>
    <row r="15" spans="1:4" ht="15.75" x14ac:dyDescent="0.25">
      <c r="A15" s="267" t="s">
        <v>809</v>
      </c>
      <c r="B15" s="267"/>
      <c r="C15" s="267"/>
      <c r="D15" s="267"/>
    </row>
    <row r="16" spans="1:4" ht="15.75" x14ac:dyDescent="0.25">
      <c r="A16" s="267" t="s">
        <v>809</v>
      </c>
      <c r="B16" s="267"/>
      <c r="C16" s="267"/>
      <c r="D16" s="267"/>
    </row>
    <row r="17" spans="1:4" ht="15.75" x14ac:dyDescent="0.25">
      <c r="A17" s="267" t="s">
        <v>809</v>
      </c>
      <c r="B17" s="267"/>
      <c r="C17" s="267"/>
      <c r="D17" s="267"/>
    </row>
    <row r="18" spans="1:4" ht="15.75" x14ac:dyDescent="0.25">
      <c r="A18" s="267" t="s">
        <v>809</v>
      </c>
      <c r="B18" s="267"/>
      <c r="C18" s="267"/>
      <c r="D18" s="267"/>
    </row>
    <row r="19" spans="1:4" ht="15.75" x14ac:dyDescent="0.25">
      <c r="A19" s="267" t="s">
        <v>809</v>
      </c>
      <c r="B19" s="267"/>
      <c r="C19" s="267"/>
      <c r="D19" s="267"/>
    </row>
    <row r="20" spans="1:4" ht="15.75" x14ac:dyDescent="0.25">
      <c r="A20" s="267" t="s">
        <v>809</v>
      </c>
      <c r="B20" s="267"/>
      <c r="C20" s="267"/>
      <c r="D20" s="267"/>
    </row>
    <row r="21" spans="1:4" ht="15.75" x14ac:dyDescent="0.25">
      <c r="A21" s="267" t="s">
        <v>809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810</v>
      </c>
      <c r="B25" s="267"/>
      <c r="C25" s="267"/>
      <c r="D25" s="267">
        <f>N(data!C414)</f>
        <v>333440</v>
      </c>
    </row>
    <row r="26" spans="1:4" ht="15.75" x14ac:dyDescent="0.25">
      <c r="A26" s="269" t="s">
        <v>806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807</v>
      </c>
      <c r="B28" s="267"/>
      <c r="C28" s="267"/>
      <c r="D28" s="269" t="s">
        <v>808</v>
      </c>
    </row>
    <row r="29" spans="1:4" ht="15.75" x14ac:dyDescent="0.25">
      <c r="A29" s="1" t="s">
        <v>1369</v>
      </c>
      <c r="B29" s="267"/>
      <c r="C29" s="267"/>
      <c r="D29" s="267">
        <v>247700</v>
      </c>
    </row>
    <row r="30" spans="1:4" ht="15.75" x14ac:dyDescent="0.25">
      <c r="A30" s="1" t="s">
        <v>1370</v>
      </c>
      <c r="B30" s="267"/>
      <c r="C30" s="267"/>
      <c r="D30" s="267">
        <v>73956</v>
      </c>
    </row>
    <row r="31" spans="1:4" ht="15.75" x14ac:dyDescent="0.25">
      <c r="A31" s="1" t="s">
        <v>1371</v>
      </c>
      <c r="B31" s="267"/>
      <c r="C31" s="267"/>
      <c r="D31" s="267">
        <v>36905</v>
      </c>
    </row>
    <row r="32" spans="1:4" ht="15.75" x14ac:dyDescent="0.25">
      <c r="A32" s="1" t="s">
        <v>1374</v>
      </c>
      <c r="B32" s="267"/>
      <c r="C32" s="267"/>
      <c r="D32" s="267">
        <v>5986</v>
      </c>
    </row>
    <row r="33" spans="1:4" ht="15.75" x14ac:dyDescent="0.25">
      <c r="A33" s="1" t="s">
        <v>1372</v>
      </c>
      <c r="D33" s="1">
        <v>-31107</v>
      </c>
    </row>
    <row r="34" spans="1:4" ht="15.75" x14ac:dyDescent="0.25">
      <c r="B34" s="267"/>
      <c r="C34" s="267"/>
      <c r="D34" s="267"/>
    </row>
    <row r="35" spans="1:4" ht="15.75" x14ac:dyDescent="0.25">
      <c r="A35" s="267"/>
      <c r="B35" s="267"/>
      <c r="C35" s="267"/>
      <c r="D35" s="267"/>
    </row>
    <row r="36" spans="1:4" ht="15.75" x14ac:dyDescent="0.25">
      <c r="A36" s="267"/>
      <c r="B36" s="267"/>
      <c r="C36" s="267"/>
      <c r="D36" s="267"/>
    </row>
    <row r="37" spans="1:4" ht="15.75" x14ac:dyDescent="0.25">
      <c r="A37" s="267"/>
      <c r="B37" s="267"/>
      <c r="C37" s="267"/>
      <c r="D37" s="267"/>
    </row>
  </sheetData>
  <sheetProtection algorithmName="SHA-512" hashValue="7yr7+1dwjXOt3dPFIRT+DacqEdUhpq3C54Sx6Xw2tBHE61gLRAuFbYZutRbo5qw343InpuibeHqMUme0yd1FOA==" saltValue="Hr5OGcWjPCCUJ8YAB/wH0A==" spinCount="100000" sheet="1" objects="1" scenarios="1"/>
  <pageMargins left="0.7" right="0.7" top="0.75" bottom="0.75" header="0.3" footer="0.3"/>
  <pageSetup scale="5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G1" s="61" t="s">
        <v>811</v>
      </c>
    </row>
    <row r="2" spans="1:7" ht="20.100000000000001" customHeight="1" x14ac:dyDescent="0.25">
      <c r="A2" s="62" t="s">
        <v>812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H-82</v>
      </c>
      <c r="G4" s="67"/>
    </row>
    <row r="5" spans="1:7" ht="20.100000000000001" customHeight="1" x14ac:dyDescent="0.25">
      <c r="A5" s="63">
        <v>2</v>
      </c>
      <c r="B5" s="64" t="s">
        <v>297</v>
      </c>
      <c r="C5" s="67"/>
      <c r="D5" s="64" t="str">
        <f>"  "&amp;data!C98</f>
        <v xml:space="preserve">  Garfield County Public Hospital District 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302</v>
      </c>
      <c r="C6" s="67"/>
      <c r="D6" s="64" t="str">
        <f>"  "&amp;data!C103</f>
        <v xml:space="preserve">  Garfield County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813</v>
      </c>
      <c r="C7" s="67"/>
      <c r="D7" s="64" t="str">
        <f>"  "&amp;data!C104</f>
        <v xml:space="preserve">  Mat Slaybaugh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814</v>
      </c>
      <c r="C8" s="67"/>
      <c r="D8" s="64" t="str">
        <f>"  "&amp;data!C105</f>
        <v xml:space="preserve">  Stephanie Miller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815</v>
      </c>
      <c r="C9" s="67"/>
      <c r="D9" s="64" t="str">
        <f>"  "&amp;data!C106</f>
        <v xml:space="preserve">  Steven Cannon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816</v>
      </c>
      <c r="C10" s="67"/>
      <c r="D10" s="64" t="str">
        <f>"  "&amp;data!C107</f>
        <v xml:space="preserve">  509-843-1591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817</v>
      </c>
      <c r="C11" s="67"/>
      <c r="D11" s="64" t="str">
        <f>"  "&amp;data!C108</f>
        <v xml:space="preserve">  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818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311</v>
      </c>
      <c r="B15" s="74"/>
      <c r="C15" s="75" t="s">
        <v>313</v>
      </c>
      <c r="D15" s="74"/>
      <c r="E15" s="75" t="s">
        <v>315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300</v>
      </c>
      <c r="C16" s="79" t="str">
        <f>IF(data!C117&gt;0," X","")</f>
        <v/>
      </c>
      <c r="D16" s="80" t="s">
        <v>819</v>
      </c>
      <c r="E16" s="229" t="str">
        <f>IF(data!C120&gt;0," X","")</f>
        <v/>
      </c>
      <c r="F16" s="81" t="s">
        <v>316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302</v>
      </c>
      <c r="C17" s="79" t="str">
        <f>IF(data!C118&gt;0," X","")</f>
        <v/>
      </c>
      <c r="D17" s="80" t="s">
        <v>396</v>
      </c>
      <c r="E17" s="229" t="str">
        <f>IF(data!C121&gt;0," X","")</f>
        <v/>
      </c>
      <c r="F17" s="81" t="s">
        <v>317</v>
      </c>
      <c r="G17" s="67"/>
    </row>
    <row r="18" spans="1:7" ht="20.100000000000001" customHeight="1" x14ac:dyDescent="0.25">
      <c r="A18" s="63"/>
      <c r="B18" s="67" t="s">
        <v>820</v>
      </c>
      <c r="C18" s="67"/>
      <c r="D18" s="67"/>
      <c r="E18" s="229" t="str">
        <f>IF(data!C122&gt;0," X","")</f>
        <v/>
      </c>
      <c r="F18" s="81" t="s">
        <v>318</v>
      </c>
      <c r="G18" s="67"/>
    </row>
    <row r="19" spans="1:7" ht="20.100000000000001" customHeight="1" x14ac:dyDescent="0.25">
      <c r="A19" s="78" t="str">
        <f>IF(data!C115&gt;0," X","")</f>
        <v xml:space="preserve"> X</v>
      </c>
      <c r="B19" s="80" t="s">
        <v>821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822</v>
      </c>
      <c r="C22" s="64"/>
      <c r="D22" s="64"/>
      <c r="E22" s="64"/>
      <c r="F22" s="78" t="s">
        <v>321</v>
      </c>
      <c r="G22" s="79" t="s">
        <v>240</v>
      </c>
    </row>
    <row r="23" spans="1:7" ht="20.100000000000001" customHeight="1" x14ac:dyDescent="0.25">
      <c r="A23" s="63"/>
      <c r="B23" s="64" t="s">
        <v>823</v>
      </c>
      <c r="C23" s="64"/>
      <c r="D23" s="64"/>
      <c r="E23" s="64"/>
      <c r="F23" s="63">
        <f>data!C127</f>
        <v>62</v>
      </c>
      <c r="G23" s="67">
        <f>data!D127</f>
        <v>138</v>
      </c>
    </row>
    <row r="24" spans="1:7" ht="20.100000000000001" customHeight="1" x14ac:dyDescent="0.25">
      <c r="A24" s="63"/>
      <c r="B24" s="64" t="s">
        <v>824</v>
      </c>
      <c r="C24" s="64"/>
      <c r="D24" s="64"/>
      <c r="E24" s="64"/>
      <c r="F24" s="63">
        <f>data!C128</f>
        <v>375</v>
      </c>
      <c r="G24" s="67">
        <f>data!D128</f>
        <v>6055</v>
      </c>
    </row>
    <row r="25" spans="1:7" ht="20.100000000000001" customHeight="1" x14ac:dyDescent="0.25">
      <c r="A25" s="63"/>
      <c r="B25" s="64" t="s">
        <v>825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325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826</v>
      </c>
      <c r="C29" s="67"/>
      <c r="D29" s="79" t="s">
        <v>192</v>
      </c>
      <c r="E29" s="83" t="s">
        <v>826</v>
      </c>
      <c r="F29" s="67"/>
      <c r="G29" s="79" t="s">
        <v>192</v>
      </c>
    </row>
    <row r="30" spans="1:7" ht="20.100000000000001" customHeight="1" x14ac:dyDescent="0.25">
      <c r="A30" s="63"/>
      <c r="B30" s="64" t="s">
        <v>327</v>
      </c>
      <c r="C30" s="67"/>
      <c r="D30" s="67">
        <f>data!C132</f>
        <v>0</v>
      </c>
      <c r="E30" s="64" t="s">
        <v>333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827</v>
      </c>
      <c r="C31" s="67"/>
      <c r="D31" s="67">
        <f>data!C133</f>
        <v>0</v>
      </c>
      <c r="E31" s="64" t="s">
        <v>334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828</v>
      </c>
      <c r="C32" s="67"/>
      <c r="D32" s="67">
        <f>data!C134</f>
        <v>25</v>
      </c>
      <c r="E32" s="64" t="s">
        <v>829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830</v>
      </c>
      <c r="C33" s="67"/>
      <c r="D33" s="67">
        <f>data!C135</f>
        <v>0</v>
      </c>
      <c r="E33" s="64" t="s">
        <v>831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832</v>
      </c>
      <c r="C34" s="67"/>
      <c r="D34" s="67">
        <f>data!C136</f>
        <v>0</v>
      </c>
      <c r="E34" s="64" t="s">
        <v>336</v>
      </c>
      <c r="F34" s="67"/>
      <c r="G34" s="67">
        <f>data!E143</f>
        <v>25</v>
      </c>
    </row>
    <row r="35" spans="1:7" ht="20.100000000000001" customHeight="1" x14ac:dyDescent="0.25">
      <c r="A35" s="63"/>
      <c r="B35" s="83" t="s">
        <v>833</v>
      </c>
      <c r="C35" s="67"/>
      <c r="D35" s="67">
        <f>data!C137</f>
        <v>0</v>
      </c>
      <c r="E35" s="64" t="s">
        <v>834</v>
      </c>
      <c r="F35" s="84"/>
      <c r="G35" s="67"/>
    </row>
    <row r="36" spans="1:7" ht="20.100000000000001" customHeight="1" x14ac:dyDescent="0.25">
      <c r="A36" s="63"/>
      <c r="B36" s="64" t="s">
        <v>121</v>
      </c>
      <c r="C36" s="67"/>
      <c r="D36" s="67">
        <f>data!C138</f>
        <v>0</v>
      </c>
      <c r="E36" s="64" t="s">
        <v>337</v>
      </c>
      <c r="F36" s="67"/>
      <c r="G36" s="67">
        <f>data!C144</f>
        <v>25</v>
      </c>
    </row>
    <row r="37" spans="1:7" ht="20.100000000000001" customHeight="1" x14ac:dyDescent="0.25">
      <c r="A37" s="63"/>
      <c r="E37" s="64" t="s">
        <v>338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333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835</v>
      </c>
      <c r="C40" s="91" t="s">
        <v>296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16" sqref="E16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A1" s="120" t="s">
        <v>836</v>
      </c>
      <c r="G1" s="61" t="s">
        <v>837</v>
      </c>
    </row>
    <row r="2" spans="1:7" ht="20.100000000000001" customHeight="1" x14ac:dyDescent="0.25">
      <c r="A2" s="1" t="str">
        <f>"Hospital: "&amp;data!C98</f>
        <v xml:space="preserve">Hospital: Garfield County Public Hospital District </v>
      </c>
      <c r="G2" s="4" t="s">
        <v>838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839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840</v>
      </c>
      <c r="C5" s="74"/>
      <c r="D5" s="74"/>
      <c r="E5" s="125" t="s">
        <v>348</v>
      </c>
      <c r="F5" s="74"/>
      <c r="G5" s="74"/>
    </row>
    <row r="6" spans="1:7" ht="20.100000000000001" customHeight="1" x14ac:dyDescent="0.25">
      <c r="A6" s="126" t="s">
        <v>841</v>
      </c>
      <c r="B6" s="79" t="s">
        <v>321</v>
      </c>
      <c r="C6" s="79" t="s">
        <v>842</v>
      </c>
      <c r="D6" s="79" t="s">
        <v>344</v>
      </c>
      <c r="E6" s="79" t="s">
        <v>193</v>
      </c>
      <c r="F6" s="79" t="s">
        <v>156</v>
      </c>
      <c r="G6" s="79" t="s">
        <v>228</v>
      </c>
    </row>
    <row r="7" spans="1:7" ht="20.100000000000001" customHeight="1" x14ac:dyDescent="0.25">
      <c r="A7" s="63" t="s">
        <v>342</v>
      </c>
      <c r="B7" s="127">
        <f>data!B154</f>
        <v>45</v>
      </c>
      <c r="C7" s="127">
        <f>data!B155</f>
        <v>98</v>
      </c>
      <c r="D7" s="127">
        <f>data!B156</f>
        <v>0</v>
      </c>
      <c r="E7" s="127">
        <f>data!B157</f>
        <v>339847</v>
      </c>
      <c r="F7" s="127">
        <f>data!B158</f>
        <v>2933101</v>
      </c>
      <c r="G7" s="127">
        <f>data!B157+data!B158</f>
        <v>3272948</v>
      </c>
    </row>
    <row r="8" spans="1:7" ht="20.100000000000001" customHeight="1" x14ac:dyDescent="0.25">
      <c r="A8" s="63" t="s">
        <v>343</v>
      </c>
      <c r="B8" s="127">
        <f>data!C154</f>
        <v>0</v>
      </c>
      <c r="C8" s="127">
        <f>data!C155</f>
        <v>2</v>
      </c>
      <c r="D8" s="127">
        <f>data!C156</f>
        <v>0</v>
      </c>
      <c r="E8" s="127">
        <f>data!C157</f>
        <v>12500</v>
      </c>
      <c r="F8" s="127">
        <f>data!C158</f>
        <v>800077</v>
      </c>
      <c r="G8" s="127">
        <f>data!C157+data!C158</f>
        <v>812577</v>
      </c>
    </row>
    <row r="9" spans="1:7" ht="20.100000000000001" customHeight="1" x14ac:dyDescent="0.25">
      <c r="A9" s="63" t="s">
        <v>843</v>
      </c>
      <c r="B9" s="127">
        <f>data!D154</f>
        <v>17</v>
      </c>
      <c r="C9" s="127">
        <f>data!D155</f>
        <v>38</v>
      </c>
      <c r="D9" s="127">
        <f>data!D156</f>
        <v>0</v>
      </c>
      <c r="E9" s="127">
        <f>data!D157</f>
        <v>137536</v>
      </c>
      <c r="F9" s="127">
        <f>data!D158</f>
        <v>2966435</v>
      </c>
      <c r="G9" s="127">
        <f>data!D157+data!D158</f>
        <v>3103971</v>
      </c>
    </row>
    <row r="10" spans="1:7" ht="20.100000000000001" customHeight="1" x14ac:dyDescent="0.25">
      <c r="A10" s="78" t="s">
        <v>228</v>
      </c>
      <c r="B10" s="127">
        <f>data!E154</f>
        <v>62</v>
      </c>
      <c r="C10" s="127">
        <f>data!E155</f>
        <v>138</v>
      </c>
      <c r="D10" s="127">
        <f>data!E156</f>
        <v>0</v>
      </c>
      <c r="E10" s="127">
        <f>data!E157</f>
        <v>489883</v>
      </c>
      <c r="F10" s="127">
        <f>data!E158</f>
        <v>6699613</v>
      </c>
      <c r="G10" s="127">
        <f>E10+F10</f>
        <v>7189496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844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840</v>
      </c>
      <c r="C14" s="133"/>
      <c r="D14" s="133"/>
      <c r="E14" s="133" t="s">
        <v>348</v>
      </c>
      <c r="F14" s="133"/>
      <c r="G14" s="133"/>
    </row>
    <row r="15" spans="1:7" ht="20.100000000000001" customHeight="1" x14ac:dyDescent="0.25">
      <c r="A15" s="126" t="s">
        <v>841</v>
      </c>
      <c r="B15" s="79" t="s">
        <v>321</v>
      </c>
      <c r="C15" s="79" t="s">
        <v>842</v>
      </c>
      <c r="D15" s="79" t="s">
        <v>344</v>
      </c>
      <c r="E15" s="79" t="s">
        <v>193</v>
      </c>
      <c r="F15" s="79" t="s">
        <v>156</v>
      </c>
      <c r="G15" s="79" t="s">
        <v>228</v>
      </c>
    </row>
    <row r="16" spans="1:7" ht="20.100000000000001" customHeight="1" x14ac:dyDescent="0.25">
      <c r="A16" s="63" t="s">
        <v>342</v>
      </c>
      <c r="B16" s="127">
        <f>data!B160</f>
        <v>54</v>
      </c>
      <c r="C16" s="127">
        <f>data!B161</f>
        <v>667</v>
      </c>
      <c r="D16" s="127">
        <f>data!B162</f>
        <v>0</v>
      </c>
      <c r="E16" s="127">
        <f>data!B163</f>
        <v>709003</v>
      </c>
      <c r="F16" s="127">
        <f>data!B164</f>
        <v>0</v>
      </c>
      <c r="G16" s="127">
        <f>data!B163+data!B164</f>
        <v>709003</v>
      </c>
    </row>
    <row r="17" spans="1:7" ht="20.100000000000001" customHeight="1" x14ac:dyDescent="0.25">
      <c r="A17" s="63" t="s">
        <v>343</v>
      </c>
      <c r="B17" s="127">
        <f>data!C160</f>
        <v>166</v>
      </c>
      <c r="C17" s="127">
        <f>data!C161</f>
        <v>3353</v>
      </c>
      <c r="D17" s="127">
        <f>data!C162</f>
        <v>0</v>
      </c>
      <c r="E17" s="127">
        <f>data!C163</f>
        <v>900208</v>
      </c>
      <c r="F17" s="127">
        <f>data!C164</f>
        <v>0</v>
      </c>
      <c r="G17" s="127">
        <f>data!C163+data!C164</f>
        <v>900208</v>
      </c>
    </row>
    <row r="18" spans="1:7" ht="20.100000000000001" customHeight="1" x14ac:dyDescent="0.25">
      <c r="A18" s="63" t="s">
        <v>843</v>
      </c>
      <c r="B18" s="127">
        <f>data!D160</f>
        <v>118</v>
      </c>
      <c r="C18" s="127">
        <f>data!D161</f>
        <v>2035</v>
      </c>
      <c r="D18" s="127">
        <f>data!D162</f>
        <v>0</v>
      </c>
      <c r="E18" s="127">
        <f>data!D163</f>
        <v>540364</v>
      </c>
      <c r="F18" s="127">
        <f>data!D164</f>
        <v>0</v>
      </c>
      <c r="G18" s="127">
        <f>data!D163+data!D164</f>
        <v>540364</v>
      </c>
    </row>
    <row r="19" spans="1:7" ht="20.100000000000001" customHeight="1" x14ac:dyDescent="0.25">
      <c r="A19" s="78" t="s">
        <v>228</v>
      </c>
      <c r="B19" s="127">
        <f>data!E160</f>
        <v>338</v>
      </c>
      <c r="C19" s="127">
        <f>data!E161</f>
        <v>6055</v>
      </c>
      <c r="D19" s="127">
        <f>data!E162</f>
        <v>0</v>
      </c>
      <c r="E19" s="127">
        <f>data!E163</f>
        <v>2149575</v>
      </c>
      <c r="F19" s="127">
        <f>data!E164</f>
        <v>0</v>
      </c>
      <c r="G19" s="127">
        <f>data!E163+data!E164</f>
        <v>2149575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845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840</v>
      </c>
      <c r="C23" s="74"/>
      <c r="D23" s="74"/>
      <c r="E23" s="74" t="s">
        <v>348</v>
      </c>
      <c r="F23" s="74"/>
      <c r="G23" s="74"/>
    </row>
    <row r="24" spans="1:7" ht="20.100000000000001" customHeight="1" x14ac:dyDescent="0.25">
      <c r="A24" s="126" t="s">
        <v>841</v>
      </c>
      <c r="B24" s="79" t="s">
        <v>321</v>
      </c>
      <c r="C24" s="79" t="s">
        <v>842</v>
      </c>
      <c r="D24" s="79" t="s">
        <v>344</v>
      </c>
      <c r="E24" s="79" t="s">
        <v>193</v>
      </c>
      <c r="F24" s="79" t="s">
        <v>156</v>
      </c>
      <c r="G24" s="79" t="s">
        <v>228</v>
      </c>
    </row>
    <row r="25" spans="1:7" ht="20.100000000000001" customHeight="1" x14ac:dyDescent="0.25">
      <c r="A25" s="63" t="s">
        <v>342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343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843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228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846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847</v>
      </c>
      <c r="C32" s="139">
        <f>data!B173</f>
        <v>981302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848</v>
      </c>
      <c r="C33" s="135">
        <f>data!C173</f>
        <v>482094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32" sqref="C32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7" width="8.77734375" style="1" customWidth="1"/>
    <col min="8" max="16384" width="8.77734375" style="1"/>
  </cols>
  <sheetData>
    <row r="1" spans="1:3" ht="20.100000000000001" customHeight="1" x14ac:dyDescent="0.25">
      <c r="A1" s="141" t="s">
        <v>351</v>
      </c>
      <c r="B1" s="62"/>
      <c r="C1" s="61" t="s">
        <v>849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 xml:space="preserve">Hospital: Garfield County Public Hospital District 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352</v>
      </c>
      <c r="C5" s="123"/>
    </row>
    <row r="6" spans="1:3" ht="20.100000000000001" customHeight="1" x14ac:dyDescent="0.25">
      <c r="A6" s="143">
        <v>2</v>
      </c>
      <c r="B6" s="64" t="s">
        <v>850</v>
      </c>
      <c r="C6" s="63">
        <f>data!C181</f>
        <v>455417</v>
      </c>
    </row>
    <row r="7" spans="1:3" ht="20.100000000000001" customHeight="1" x14ac:dyDescent="0.25">
      <c r="A7" s="144">
        <v>3</v>
      </c>
      <c r="B7" s="83" t="s">
        <v>354</v>
      </c>
      <c r="C7" s="63">
        <f>data!C182</f>
        <v>21678</v>
      </c>
    </row>
    <row r="8" spans="1:3" ht="20.100000000000001" customHeight="1" x14ac:dyDescent="0.25">
      <c r="A8" s="144">
        <v>4</v>
      </c>
      <c r="B8" s="64" t="s">
        <v>355</v>
      </c>
      <c r="C8" s="63">
        <f>data!C183</f>
        <v>67582</v>
      </c>
    </row>
    <row r="9" spans="1:3" ht="20.100000000000001" customHeight="1" x14ac:dyDescent="0.25">
      <c r="A9" s="144">
        <v>5</v>
      </c>
      <c r="B9" s="64" t="s">
        <v>356</v>
      </c>
      <c r="C9" s="63">
        <f>data!C184</f>
        <v>916157</v>
      </c>
    </row>
    <row r="10" spans="1:3" ht="20.100000000000001" customHeight="1" x14ac:dyDescent="0.25">
      <c r="A10" s="144">
        <v>6</v>
      </c>
      <c r="B10" s="64" t="s">
        <v>357</v>
      </c>
      <c r="C10" s="63">
        <f>data!C185</f>
        <v>11456</v>
      </c>
    </row>
    <row r="11" spans="1:3" ht="20.100000000000001" customHeight="1" x14ac:dyDescent="0.25">
      <c r="A11" s="144">
        <v>7</v>
      </c>
      <c r="B11" s="64" t="s">
        <v>358</v>
      </c>
      <c r="C11" s="63">
        <f>data!C186</f>
        <v>96706</v>
      </c>
    </row>
    <row r="12" spans="1:3" ht="20.100000000000001" customHeight="1" x14ac:dyDescent="0.25">
      <c r="A12" s="144">
        <v>8</v>
      </c>
      <c r="B12" s="64" t="s">
        <v>359</v>
      </c>
      <c r="C12" s="63">
        <f>data!C187</f>
        <v>235938</v>
      </c>
    </row>
    <row r="13" spans="1:3" ht="20.100000000000001" customHeight="1" x14ac:dyDescent="0.25">
      <c r="A13" s="144">
        <v>9</v>
      </c>
      <c r="B13" s="64" t="s">
        <v>359</v>
      </c>
      <c r="C13" s="63">
        <f>data!C188</f>
        <v>50097</v>
      </c>
    </row>
    <row r="14" spans="1:3" ht="20.100000000000001" customHeight="1" x14ac:dyDescent="0.25">
      <c r="A14" s="144">
        <v>10</v>
      </c>
      <c r="B14" s="64" t="s">
        <v>851</v>
      </c>
      <c r="C14" s="63">
        <f>data!D189</f>
        <v>1855031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360</v>
      </c>
      <c r="C17" s="77"/>
    </row>
    <row r="18" spans="1:3" ht="20.100000000000001" customHeight="1" x14ac:dyDescent="0.25">
      <c r="A18" s="63">
        <v>12</v>
      </c>
      <c r="B18" s="64" t="s">
        <v>852</v>
      </c>
      <c r="C18" s="63">
        <f>data!C191</f>
        <v>0</v>
      </c>
    </row>
    <row r="19" spans="1:3" ht="20.100000000000001" customHeight="1" x14ac:dyDescent="0.25">
      <c r="A19" s="63">
        <v>13</v>
      </c>
      <c r="B19" s="64" t="s">
        <v>853</v>
      </c>
      <c r="C19" s="63">
        <f>data!C192</f>
        <v>66023</v>
      </c>
    </row>
    <row r="20" spans="1:3" ht="20.100000000000001" customHeight="1" x14ac:dyDescent="0.25">
      <c r="A20" s="63">
        <v>14</v>
      </c>
      <c r="B20" s="64" t="s">
        <v>854</v>
      </c>
      <c r="C20" s="63">
        <f>data!D193</f>
        <v>66023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363</v>
      </c>
      <c r="C23" s="123"/>
    </row>
    <row r="24" spans="1:3" ht="20.100000000000001" customHeight="1" x14ac:dyDescent="0.25">
      <c r="A24" s="63">
        <v>16</v>
      </c>
      <c r="B24" s="75" t="s">
        <v>855</v>
      </c>
      <c r="C24" s="148"/>
    </row>
    <row r="25" spans="1:3" ht="20.100000000000001" customHeight="1" x14ac:dyDescent="0.25">
      <c r="A25" s="63">
        <v>17</v>
      </c>
      <c r="B25" s="64" t="s">
        <v>856</v>
      </c>
      <c r="C25" s="63">
        <f>data!C195</f>
        <v>33112</v>
      </c>
    </row>
    <row r="26" spans="1:3" ht="20.100000000000001" customHeight="1" x14ac:dyDescent="0.25">
      <c r="A26" s="63">
        <v>18</v>
      </c>
      <c r="B26" s="64" t="s">
        <v>365</v>
      </c>
      <c r="C26" s="63">
        <f>data!C196</f>
        <v>132493</v>
      </c>
    </row>
    <row r="27" spans="1:3" ht="20.100000000000001" customHeight="1" x14ac:dyDescent="0.25">
      <c r="A27" s="63">
        <v>19</v>
      </c>
      <c r="B27" s="64" t="s">
        <v>857</v>
      </c>
      <c r="C27" s="63">
        <f>data!D197</f>
        <v>165605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858</v>
      </c>
      <c r="C30" s="133"/>
    </row>
    <row r="31" spans="1:3" ht="20.100000000000001" customHeight="1" x14ac:dyDescent="0.25">
      <c r="A31" s="63">
        <v>21</v>
      </c>
      <c r="B31" s="64" t="s">
        <v>367</v>
      </c>
      <c r="C31" s="63">
        <f>data!C199</f>
        <v>20408</v>
      </c>
    </row>
    <row r="32" spans="1:3" ht="20.100000000000001" customHeight="1" x14ac:dyDescent="0.25">
      <c r="A32" s="63">
        <v>22</v>
      </c>
      <c r="B32" s="64" t="s">
        <v>859</v>
      </c>
      <c r="C32" s="63">
        <f>data!C200</f>
        <v>32651</v>
      </c>
    </row>
    <row r="33" spans="1:3" ht="20.100000000000001" customHeight="1" x14ac:dyDescent="0.25">
      <c r="A33" s="63">
        <v>23</v>
      </c>
      <c r="B33" s="64" t="s">
        <v>157</v>
      </c>
      <c r="C33" s="63">
        <f>data!C201</f>
        <v>131</v>
      </c>
    </row>
    <row r="34" spans="1:3" ht="20.100000000000001" customHeight="1" x14ac:dyDescent="0.25">
      <c r="A34" s="63">
        <v>24</v>
      </c>
      <c r="B34" s="64" t="s">
        <v>860</v>
      </c>
      <c r="C34" s="63">
        <f>data!D202</f>
        <v>53190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369</v>
      </c>
      <c r="C37" s="123"/>
    </row>
    <row r="38" spans="1:3" ht="20.100000000000001" customHeight="1" x14ac:dyDescent="0.25">
      <c r="A38" s="63">
        <v>26</v>
      </c>
      <c r="B38" s="64" t="s">
        <v>861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371</v>
      </c>
      <c r="C39" s="63">
        <f>data!C205</f>
        <v>1784</v>
      </c>
    </row>
    <row r="40" spans="1:3" ht="20.100000000000001" customHeight="1" x14ac:dyDescent="0.25">
      <c r="A40" s="63">
        <v>28</v>
      </c>
      <c r="B40" s="64" t="s">
        <v>862</v>
      </c>
      <c r="C40" s="63">
        <f>data!D206</f>
        <v>1784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4" workbookViewId="0">
      <selection activeCell="E9" sqref="E9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0" width="8.77734375" style="1" customWidth="1"/>
    <col min="11" max="16384" width="8.77734375" style="1"/>
  </cols>
  <sheetData>
    <row r="1" spans="1:6" ht="20.100000000000001" customHeight="1" x14ac:dyDescent="0.25">
      <c r="A1" s="141" t="s">
        <v>372</v>
      </c>
      <c r="B1" s="62"/>
      <c r="C1" s="62"/>
      <c r="D1" s="62"/>
      <c r="E1" s="62"/>
      <c r="F1" s="61" t="s">
        <v>863</v>
      </c>
    </row>
    <row r="3" spans="1:6" ht="20.100000000000001" customHeight="1" x14ac:dyDescent="0.25">
      <c r="A3" s="120" t="str">
        <f>"Hospital: "&amp;data!C98</f>
        <v xml:space="preserve">Hospital: Garfield County Public Hospital District </v>
      </c>
      <c r="F3" s="142" t="str">
        <f>"FYE: "&amp;data!C96</f>
        <v>FYE: 12/31/2024</v>
      </c>
    </row>
    <row r="4" spans="1:6" ht="20.100000000000001" customHeight="1" x14ac:dyDescent="0.25">
      <c r="A4" s="148" t="s">
        <v>373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864</v>
      </c>
      <c r="D5" s="151"/>
      <c r="E5" s="151"/>
      <c r="F5" s="151" t="s">
        <v>865</v>
      </c>
    </row>
    <row r="6" spans="1:6" ht="20.100000000000001" customHeight="1" x14ac:dyDescent="0.25">
      <c r="A6" s="152"/>
      <c r="B6" s="70"/>
      <c r="C6" s="153" t="s">
        <v>866</v>
      </c>
      <c r="D6" s="153" t="s">
        <v>375</v>
      </c>
      <c r="E6" s="153" t="s">
        <v>867</v>
      </c>
      <c r="F6" s="153" t="s">
        <v>866</v>
      </c>
    </row>
    <row r="7" spans="1:6" ht="20.100000000000001" customHeight="1" x14ac:dyDescent="0.25">
      <c r="A7" s="63">
        <v>1</v>
      </c>
      <c r="B7" s="67" t="s">
        <v>378</v>
      </c>
      <c r="C7" s="67">
        <f>data!B211</f>
        <v>83983</v>
      </c>
      <c r="D7" s="67">
        <f>data!C211</f>
        <v>0</v>
      </c>
      <c r="E7" s="67">
        <f>data!D211</f>
        <v>0</v>
      </c>
      <c r="F7" s="67">
        <f>data!E211</f>
        <v>83983</v>
      </c>
    </row>
    <row r="8" spans="1:6" ht="20.100000000000001" customHeight="1" x14ac:dyDescent="0.25">
      <c r="A8" s="63">
        <v>2</v>
      </c>
      <c r="B8" s="67" t="s">
        <v>379</v>
      </c>
      <c r="C8" s="67">
        <f>data!B212</f>
        <v>234472</v>
      </c>
      <c r="D8" s="67">
        <f>data!C212</f>
        <v>0</v>
      </c>
      <c r="E8" s="67">
        <f>data!D212</f>
        <v>0</v>
      </c>
      <c r="F8" s="67">
        <f>data!E212</f>
        <v>234472</v>
      </c>
    </row>
    <row r="9" spans="1:6" ht="20.100000000000001" customHeight="1" x14ac:dyDescent="0.25">
      <c r="A9" s="63">
        <v>3</v>
      </c>
      <c r="B9" s="67" t="s">
        <v>380</v>
      </c>
      <c r="C9" s="67">
        <f>data!B213</f>
        <v>1511534</v>
      </c>
      <c r="D9" s="67">
        <f>data!C213</f>
        <v>16297</v>
      </c>
      <c r="E9" s="67">
        <f>data!D213</f>
        <v>0</v>
      </c>
      <c r="F9" s="67">
        <f>data!E213</f>
        <v>1527831</v>
      </c>
    </row>
    <row r="10" spans="1:6" ht="20.100000000000001" customHeight="1" x14ac:dyDescent="0.25">
      <c r="A10" s="63">
        <v>4</v>
      </c>
      <c r="B10" s="67" t="s">
        <v>868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869</v>
      </c>
      <c r="C11" s="67">
        <f>data!B215</f>
        <v>283418</v>
      </c>
      <c r="D11" s="67">
        <f>data!C215</f>
        <v>0</v>
      </c>
      <c r="E11" s="67">
        <f>data!D215</f>
        <v>0</v>
      </c>
      <c r="F11" s="67">
        <f>data!E215</f>
        <v>283418</v>
      </c>
    </row>
    <row r="12" spans="1:6" ht="20.100000000000001" customHeight="1" x14ac:dyDescent="0.25">
      <c r="A12" s="63">
        <v>6</v>
      </c>
      <c r="B12" s="67" t="s">
        <v>870</v>
      </c>
      <c r="C12" s="67">
        <f>data!B216</f>
        <v>3134474</v>
      </c>
      <c r="D12" s="67">
        <f>data!C216</f>
        <v>23033</v>
      </c>
      <c r="E12" s="67">
        <f>data!D216</f>
        <v>0</v>
      </c>
      <c r="F12" s="67">
        <f>data!E216</f>
        <v>3157507</v>
      </c>
    </row>
    <row r="13" spans="1:6" ht="20.100000000000001" customHeight="1" x14ac:dyDescent="0.25">
      <c r="A13" s="63">
        <v>7</v>
      </c>
      <c r="B13" s="67" t="s">
        <v>871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385</v>
      </c>
      <c r="C14" s="67">
        <f>data!B218</f>
        <v>172145</v>
      </c>
      <c r="D14" s="67">
        <f>data!C218</f>
        <v>0</v>
      </c>
      <c r="E14" s="67">
        <f>data!D218</f>
        <v>0</v>
      </c>
      <c r="F14" s="67">
        <f>data!E218</f>
        <v>172145</v>
      </c>
    </row>
    <row r="15" spans="1:6" ht="20.100000000000001" customHeight="1" x14ac:dyDescent="0.25">
      <c r="A15" s="63">
        <v>9</v>
      </c>
      <c r="B15" s="67" t="s">
        <v>872</v>
      </c>
      <c r="C15" s="67">
        <f>data!B219</f>
        <v>1029813</v>
      </c>
      <c r="D15" s="67">
        <f>data!C219</f>
        <v>935731</v>
      </c>
      <c r="E15" s="67">
        <f>data!D219</f>
        <v>16297</v>
      </c>
      <c r="F15" s="67">
        <f>data!E219</f>
        <v>1949247</v>
      </c>
    </row>
    <row r="16" spans="1:6" ht="20.100000000000001" customHeight="1" x14ac:dyDescent="0.25">
      <c r="A16" s="63">
        <v>10</v>
      </c>
      <c r="B16" s="67" t="s">
        <v>599</v>
      </c>
      <c r="C16" s="67">
        <f>data!B220</f>
        <v>6449839</v>
      </c>
      <c r="D16" s="67">
        <f>data!C220</f>
        <v>975061</v>
      </c>
      <c r="E16" s="67">
        <f>data!D220</f>
        <v>16297</v>
      </c>
      <c r="F16" s="67">
        <f>data!E220</f>
        <v>7408603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387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864</v>
      </c>
      <c r="D21" s="4" t="s">
        <v>228</v>
      </c>
      <c r="E21" s="153"/>
      <c r="F21" s="153" t="s">
        <v>865</v>
      </c>
    </row>
    <row r="22" spans="1:6" ht="20.100000000000001" customHeight="1" x14ac:dyDescent="0.25">
      <c r="A22" s="154"/>
      <c r="B22" s="146"/>
      <c r="C22" s="153" t="s">
        <v>866</v>
      </c>
      <c r="D22" s="153" t="s">
        <v>873</v>
      </c>
      <c r="E22" s="153" t="s">
        <v>867</v>
      </c>
      <c r="F22" s="153" t="s">
        <v>866</v>
      </c>
    </row>
    <row r="23" spans="1:6" ht="20.100000000000001" customHeight="1" x14ac:dyDescent="0.25">
      <c r="A23" s="63">
        <v>11</v>
      </c>
      <c r="B23" s="155" t="s">
        <v>378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379</v>
      </c>
      <c r="C24" s="67">
        <f>data!B225</f>
        <v>234472</v>
      </c>
      <c r="D24" s="67">
        <f>data!C225</f>
        <v>0</v>
      </c>
      <c r="E24" s="67">
        <f>data!D225</f>
        <v>0</v>
      </c>
      <c r="F24" s="67">
        <f>data!E225</f>
        <v>234472</v>
      </c>
    </row>
    <row r="25" spans="1:6" ht="20.100000000000001" customHeight="1" x14ac:dyDescent="0.25">
      <c r="A25" s="63">
        <v>13</v>
      </c>
      <c r="B25" s="67" t="s">
        <v>380</v>
      </c>
      <c r="C25" s="67">
        <f>data!B226</f>
        <v>1360071</v>
      </c>
      <c r="D25" s="67">
        <f>data!C226</f>
        <v>24236</v>
      </c>
      <c r="E25" s="67">
        <f>data!D226</f>
        <v>0</v>
      </c>
      <c r="F25" s="67">
        <f>data!E226</f>
        <v>1384307</v>
      </c>
    </row>
    <row r="26" spans="1:6" ht="20.100000000000001" customHeight="1" x14ac:dyDescent="0.25">
      <c r="A26" s="63">
        <v>14</v>
      </c>
      <c r="B26" s="67" t="s">
        <v>868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869</v>
      </c>
      <c r="C27" s="67">
        <f>data!B228</f>
        <v>147265</v>
      </c>
      <c r="D27" s="67">
        <f>data!C228</f>
        <v>26568</v>
      </c>
      <c r="E27" s="67">
        <f>data!D228</f>
        <v>0</v>
      </c>
      <c r="F27" s="67">
        <f>data!E228</f>
        <v>173833</v>
      </c>
    </row>
    <row r="28" spans="1:6" ht="20.100000000000001" customHeight="1" x14ac:dyDescent="0.25">
      <c r="A28" s="63">
        <v>16</v>
      </c>
      <c r="B28" s="67" t="s">
        <v>870</v>
      </c>
      <c r="C28" s="67">
        <f>data!B229</f>
        <v>2489566</v>
      </c>
      <c r="D28" s="67">
        <f>data!C229</f>
        <v>160243</v>
      </c>
      <c r="E28" s="67">
        <f>data!D229</f>
        <v>0</v>
      </c>
      <c r="F28" s="67">
        <f>data!E229</f>
        <v>2649809</v>
      </c>
    </row>
    <row r="29" spans="1:6" ht="20.100000000000001" customHeight="1" x14ac:dyDescent="0.25">
      <c r="A29" s="63">
        <v>17</v>
      </c>
      <c r="B29" s="67" t="s">
        <v>871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385</v>
      </c>
      <c r="C30" s="67">
        <f>data!B231</f>
        <v>66096</v>
      </c>
      <c r="D30" s="67">
        <f>data!C231</f>
        <v>70039</v>
      </c>
      <c r="E30" s="67">
        <f>data!D231</f>
        <v>0</v>
      </c>
      <c r="F30" s="67">
        <f>data!E231</f>
        <v>136135</v>
      </c>
    </row>
    <row r="31" spans="1:6" ht="20.100000000000001" customHeight="1" x14ac:dyDescent="0.25">
      <c r="A31" s="63">
        <v>19</v>
      </c>
      <c r="B31" s="67" t="s">
        <v>872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599</v>
      </c>
      <c r="C32" s="67">
        <f>data!B233</f>
        <v>4297470</v>
      </c>
      <c r="D32" s="67">
        <f>data!C233</f>
        <v>281086</v>
      </c>
      <c r="E32" s="67">
        <f>data!D233</f>
        <v>0</v>
      </c>
      <c r="F32" s="67">
        <f>data!E233</f>
        <v>4578556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D27" sqref="D27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8" width="8.77734375" style="1" customWidth="1"/>
    <col min="9" max="16384" width="8.77734375" style="1"/>
  </cols>
  <sheetData>
    <row r="1" spans="1:4" ht="20.100000000000001" customHeight="1" x14ac:dyDescent="0.25">
      <c r="A1" s="62" t="s">
        <v>874</v>
      </c>
      <c r="B1" s="62"/>
      <c r="C1" s="62"/>
      <c r="D1" s="61" t="s">
        <v>875</v>
      </c>
    </row>
    <row r="2" spans="1:4" ht="20.100000000000001" customHeight="1" x14ac:dyDescent="0.25">
      <c r="A2" s="120" t="str">
        <f>"Hospital: "&amp;data!C98</f>
        <v xml:space="preserve">Hospital: Garfield County Public Hospital District 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876</v>
      </c>
      <c r="C4" s="156" t="s">
        <v>877</v>
      </c>
      <c r="D4" s="157"/>
    </row>
    <row r="5" spans="1:4" ht="20.100000000000001" customHeight="1" x14ac:dyDescent="0.25">
      <c r="A5" s="124">
        <v>1</v>
      </c>
      <c r="B5" s="158"/>
      <c r="C5" s="80" t="s">
        <v>389</v>
      </c>
      <c r="D5" s="67">
        <f>data!D237</f>
        <v>118614</v>
      </c>
    </row>
    <row r="6" spans="1:4" ht="20.100000000000001" customHeight="1" x14ac:dyDescent="0.25">
      <c r="A6" s="63">
        <v>2</v>
      </c>
      <c r="B6" s="69"/>
      <c r="C6" s="142" t="s">
        <v>485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342</v>
      </c>
      <c r="D7" s="67">
        <f>data!C239</f>
        <v>-3513452</v>
      </c>
    </row>
    <row r="8" spans="1:4" ht="20.100000000000001" customHeight="1" x14ac:dyDescent="0.25">
      <c r="A8" s="63">
        <v>4</v>
      </c>
      <c r="B8" s="158">
        <v>5820</v>
      </c>
      <c r="C8" s="67" t="s">
        <v>343</v>
      </c>
      <c r="D8" s="67">
        <f>data!C240</f>
        <v>-141955</v>
      </c>
    </row>
    <row r="9" spans="1:4" ht="20.100000000000001" customHeight="1" x14ac:dyDescent="0.25">
      <c r="A9" s="63">
        <v>5</v>
      </c>
      <c r="B9" s="158">
        <v>5830</v>
      </c>
      <c r="C9" s="67" t="s">
        <v>355</v>
      </c>
      <c r="D9" s="67">
        <f>data!C241</f>
        <v>0</v>
      </c>
    </row>
    <row r="10" spans="1:4" ht="20.100000000000001" customHeight="1" x14ac:dyDescent="0.25">
      <c r="A10" s="63">
        <v>6</v>
      </c>
      <c r="B10" s="158">
        <v>5840</v>
      </c>
      <c r="C10" s="67" t="s">
        <v>394</v>
      </c>
      <c r="D10" s="67">
        <f>data!C242</f>
        <v>0</v>
      </c>
    </row>
    <row r="11" spans="1:4" ht="20.100000000000001" customHeight="1" x14ac:dyDescent="0.25">
      <c r="A11" s="63">
        <v>7</v>
      </c>
      <c r="B11" s="158">
        <v>5850</v>
      </c>
      <c r="C11" s="67" t="s">
        <v>878</v>
      </c>
      <c r="D11" s="67">
        <f>data!C243</f>
        <v>0</v>
      </c>
    </row>
    <row r="12" spans="1:4" ht="20.100000000000001" customHeight="1" x14ac:dyDescent="0.25">
      <c r="A12" s="63">
        <v>8</v>
      </c>
      <c r="B12" s="158">
        <v>5860</v>
      </c>
      <c r="C12" s="67" t="s">
        <v>157</v>
      </c>
      <c r="D12" s="67">
        <f>data!C244</f>
        <v>628769</v>
      </c>
    </row>
    <row r="13" spans="1:4" ht="20.100000000000001" customHeight="1" x14ac:dyDescent="0.25">
      <c r="A13" s="63">
        <v>9</v>
      </c>
      <c r="B13" s="67"/>
      <c r="C13" s="67" t="s">
        <v>879</v>
      </c>
      <c r="D13" s="67">
        <f>data!D245</f>
        <v>-3026638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398</v>
      </c>
      <c r="D15" s="153"/>
    </row>
    <row r="16" spans="1:4" ht="20.100000000000001" customHeight="1" x14ac:dyDescent="0.25">
      <c r="A16" s="152">
        <v>12</v>
      </c>
      <c r="B16" s="79"/>
      <c r="C16" s="64" t="s">
        <v>880</v>
      </c>
      <c r="D16" s="63">
        <f>data!C247</f>
        <v>48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400</v>
      </c>
      <c r="D18" s="67">
        <f>data!C249</f>
        <v>17768</v>
      </c>
    </row>
    <row r="19" spans="1:4" ht="20.100000000000001" customHeight="1" x14ac:dyDescent="0.25">
      <c r="A19" s="161">
        <v>15</v>
      </c>
      <c r="B19" s="158">
        <v>5910</v>
      </c>
      <c r="C19" s="80" t="s">
        <v>881</v>
      </c>
      <c r="D19" s="67">
        <f>data!C250</f>
        <v>45075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882</v>
      </c>
      <c r="D22" s="67">
        <f>data!D252</f>
        <v>62843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404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883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884</v>
      </c>
      <c r="C27" s="79"/>
      <c r="D27" s="67">
        <f>data!D258</f>
        <v>-2845181</v>
      </c>
    </row>
    <row r="28" spans="1:4" ht="20.100000000000001" customHeight="1" x14ac:dyDescent="0.25">
      <c r="A28" s="72">
        <v>24</v>
      </c>
      <c r="B28" s="138" t="s">
        <v>885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Taylor, Mckenzie (DOH)</cp:lastModifiedBy>
  <cp:lastPrinted>2024-04-17T17:23:16Z</cp:lastPrinted>
  <dcterms:created xsi:type="dcterms:W3CDTF">1999-06-02T22:01:56Z</dcterms:created>
  <dcterms:modified xsi:type="dcterms:W3CDTF">2025-06-30T17:36:17Z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000000MS3520250609223210.xlsx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