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3344AB63-4D76-405C-A7FC-F9F790F2FC5E}" xr6:coauthVersionLast="47" xr6:coauthVersionMax="47" xr10:uidLastSave="{00000000-0000-0000-0000-000000000000}"/>
  <bookViews>
    <workbookView xWindow="-120" yWindow="-120" windowWidth="29040" windowHeight="15720" tabRatio="812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_xlnm._FilterDatabase" localSheetId="2" hidden="1">'Responses-1'!$A$14:$J$94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V88" i="24" l="1"/>
  <c r="AG88" i="24"/>
  <c r="AG87" i="24"/>
  <c r="C317" i="24"/>
  <c r="D216" i="24" l="1"/>
  <c r="C216" i="24"/>
  <c r="C219" i="24"/>
  <c r="C186" i="24" l="1"/>
  <c r="CC47" i="24" l="1"/>
  <c r="N83" i="24"/>
  <c r="U83" i="24"/>
  <c r="CA47" i="24"/>
  <c r="BY47" i="24"/>
  <c r="BX47" i="24"/>
  <c r="BW47" i="24"/>
  <c r="BR47" i="24"/>
  <c r="BN72" i="24"/>
  <c r="BO47" i="24"/>
  <c r="BN47" i="24"/>
  <c r="BF47" i="24" l="1"/>
  <c r="BE47" i="24"/>
  <c r="AZ47" i="24"/>
  <c r="AJ47" i="24"/>
  <c r="AG47" i="24"/>
  <c r="AE47" i="24"/>
  <c r="AC47" i="24"/>
  <c r="AC59" i="24"/>
  <c r="AB47" i="24"/>
  <c r="Y47" i="24"/>
  <c r="X47" i="24"/>
  <c r="W47" i="24"/>
  <c r="U47" i="24"/>
  <c r="S47" i="24"/>
  <c r="Q47" i="24"/>
  <c r="P47" i="24"/>
  <c r="N47" i="24"/>
  <c r="I83" i="24" l="1"/>
  <c r="I72" i="24"/>
  <c r="I47" i="24"/>
  <c r="E47" i="24"/>
  <c r="E47" i="3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H63" i="15" s="1"/>
  <c r="I63" i="15" s="1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F57" i="15" s="1"/>
  <c r="E56" i="15"/>
  <c r="D56" i="15"/>
  <c r="B56" i="15"/>
  <c r="H56" i="15" s="1"/>
  <c r="I56" i="15" s="1"/>
  <c r="E55" i="15"/>
  <c r="D55" i="15"/>
  <c r="B55" i="15"/>
  <c r="F55" i="15" s="1"/>
  <c r="E54" i="15"/>
  <c r="D54" i="15"/>
  <c r="B54" i="15"/>
  <c r="F54" i="15" s="1"/>
  <c r="E53" i="15"/>
  <c r="D53" i="15"/>
  <c r="B53" i="15"/>
  <c r="H53" i="15" s="1"/>
  <c r="I53" i="15" s="1"/>
  <c r="E52" i="15"/>
  <c r="D52" i="15"/>
  <c r="B52" i="15"/>
  <c r="E51" i="15"/>
  <c r="D51" i="15"/>
  <c r="B51" i="15"/>
  <c r="F51" i="15" s="1"/>
  <c r="E50" i="15"/>
  <c r="D50" i="15"/>
  <c r="B50" i="15"/>
  <c r="H50" i="15" s="1"/>
  <c r="I50" i="15" s="1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H39" i="15" s="1"/>
  <c r="I39" i="15" s="1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H34" i="15" s="1"/>
  <c r="I34" i="15" s="1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H27" i="15" s="1"/>
  <c r="I27" i="15" s="1"/>
  <c r="E26" i="15"/>
  <c r="D26" i="15"/>
  <c r="B26" i="15"/>
  <c r="E25" i="15"/>
  <c r="D25" i="15"/>
  <c r="B25" i="15"/>
  <c r="H25" i="15" s="1"/>
  <c r="I25" i="15" s="1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E20" i="15"/>
  <c r="D20" i="15"/>
  <c r="B20" i="15"/>
  <c r="E19" i="15"/>
  <c r="D19" i="15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AZ91" i="24"/>
  <c r="CE91" i="24" s="1"/>
  <c r="I381" i="32" s="1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F39" i="15" l="1"/>
  <c r="F36" i="15"/>
  <c r="F20" i="15"/>
  <c r="F23" i="15"/>
  <c r="D615" i="34"/>
  <c r="D679" i="34" s="1"/>
  <c r="F49" i="15"/>
  <c r="F26" i="15"/>
  <c r="F17" i="15"/>
  <c r="F56" i="15"/>
  <c r="F64" i="15"/>
  <c r="F29" i="15"/>
  <c r="F53" i="15"/>
  <c r="F18" i="15"/>
  <c r="CE48" i="24"/>
  <c r="C363" i="24"/>
  <c r="BN2" i="30" s="1"/>
  <c r="F15" i="15"/>
  <c r="F35" i="15"/>
  <c r="F43" i="15"/>
  <c r="F46" i="15"/>
  <c r="F65" i="15"/>
  <c r="D383" i="24"/>
  <c r="C137" i="8" s="1"/>
  <c r="F38" i="15"/>
  <c r="F50" i="15"/>
  <c r="CE69" i="24"/>
  <c r="I371" i="32" s="1"/>
  <c r="D258" i="24"/>
  <c r="F27" i="15"/>
  <c r="H57" i="15"/>
  <c r="I57" i="15" s="1"/>
  <c r="C62" i="24"/>
  <c r="H2" i="31" s="1"/>
  <c r="F21" i="15"/>
  <c r="F24" i="15"/>
  <c r="F41" i="15"/>
  <c r="F44" i="15"/>
  <c r="F47" i="15"/>
  <c r="H54" i="15"/>
  <c r="I54" i="15" s="1"/>
  <c r="F59" i="15"/>
  <c r="F30" i="15"/>
  <c r="F34" i="15"/>
  <c r="H10" i="31"/>
  <c r="D44" i="32"/>
  <c r="H40" i="31"/>
  <c r="F172" i="32"/>
  <c r="H64" i="31"/>
  <c r="I268" i="32"/>
  <c r="H16" i="31"/>
  <c r="C76" i="32"/>
  <c r="H28" i="31"/>
  <c r="H108" i="32"/>
  <c r="H46" i="31"/>
  <c r="E204" i="32"/>
  <c r="H70" i="31"/>
  <c r="H300" i="32"/>
  <c r="H5" i="31"/>
  <c r="F12" i="32"/>
  <c r="H23" i="31"/>
  <c r="C108" i="32"/>
  <c r="H35" i="31"/>
  <c r="H140" i="32"/>
  <c r="H47" i="31"/>
  <c r="F204" i="32"/>
  <c r="H53" i="31"/>
  <c r="E236" i="32"/>
  <c r="H59" i="31"/>
  <c r="D268" i="32"/>
  <c r="H65" i="31"/>
  <c r="C300" i="32"/>
  <c r="H71" i="31"/>
  <c r="I300" i="32"/>
  <c r="H77" i="31"/>
  <c r="H332" i="32"/>
  <c r="H4" i="31"/>
  <c r="E12" i="32"/>
  <c r="H34" i="31"/>
  <c r="G140" i="32"/>
  <c r="H58" i="31"/>
  <c r="C268" i="32"/>
  <c r="H17" i="31"/>
  <c r="D76" i="32"/>
  <c r="H41" i="31"/>
  <c r="G172" i="32"/>
  <c r="H22" i="31"/>
  <c r="I76" i="32"/>
  <c r="H52" i="31"/>
  <c r="D236" i="32"/>
  <c r="H76" i="31"/>
  <c r="G332" i="32"/>
  <c r="H11" i="31"/>
  <c r="E44" i="32"/>
  <c r="H29" i="31"/>
  <c r="I108" i="32"/>
  <c r="H7" i="31"/>
  <c r="H12" i="32"/>
  <c r="H13" i="31"/>
  <c r="G44" i="32"/>
  <c r="H19" i="31"/>
  <c r="F76" i="32"/>
  <c r="H25" i="31"/>
  <c r="E108" i="32"/>
  <c r="H31" i="31"/>
  <c r="D140" i="32"/>
  <c r="H37" i="31"/>
  <c r="C172" i="32"/>
  <c r="H43" i="31"/>
  <c r="I172" i="32"/>
  <c r="H49" i="31"/>
  <c r="H204" i="32"/>
  <c r="H55" i="31"/>
  <c r="G236" i="32"/>
  <c r="H61" i="31"/>
  <c r="F268" i="32"/>
  <c r="H67" i="31"/>
  <c r="E300" i="32"/>
  <c r="H73" i="31"/>
  <c r="D332" i="32"/>
  <c r="H79" i="31"/>
  <c r="C364" i="32"/>
  <c r="BK2" i="30"/>
  <c r="I362" i="32"/>
  <c r="H48" i="31"/>
  <c r="G204" i="32"/>
  <c r="O4" i="31"/>
  <c r="E19" i="32"/>
  <c r="O10" i="31"/>
  <c r="D51" i="32"/>
  <c r="O16" i="31"/>
  <c r="C83" i="32"/>
  <c r="O22" i="31"/>
  <c r="I83" i="32"/>
  <c r="O28" i="31"/>
  <c r="H115" i="32"/>
  <c r="O34" i="31"/>
  <c r="G147" i="32"/>
  <c r="O40" i="31"/>
  <c r="F179" i="32"/>
  <c r="O46" i="31"/>
  <c r="E211" i="32"/>
  <c r="O52" i="31"/>
  <c r="D243" i="32"/>
  <c r="O58" i="31"/>
  <c r="C275" i="32"/>
  <c r="O64" i="31"/>
  <c r="I275" i="32"/>
  <c r="O70" i="31"/>
  <c r="H307" i="32"/>
  <c r="O76" i="31"/>
  <c r="G339" i="32"/>
  <c r="AE5" i="31"/>
  <c r="F26" i="32"/>
  <c r="AE11" i="31"/>
  <c r="E58" i="32"/>
  <c r="AE17" i="31"/>
  <c r="D90" i="32"/>
  <c r="AE23" i="31"/>
  <c r="C122" i="32"/>
  <c r="AE29" i="31"/>
  <c r="I122" i="32"/>
  <c r="AE35" i="31"/>
  <c r="H154" i="32"/>
  <c r="AE41" i="31"/>
  <c r="G186" i="32"/>
  <c r="AE47" i="31"/>
  <c r="F218" i="32"/>
  <c r="CF91" i="24"/>
  <c r="C113" i="8"/>
  <c r="G28" i="4"/>
  <c r="H38" i="31"/>
  <c r="D172" i="32"/>
  <c r="H74" i="31"/>
  <c r="E332" i="32"/>
  <c r="O5" i="31"/>
  <c r="F19" i="32"/>
  <c r="O11" i="31"/>
  <c r="E51" i="32"/>
  <c r="O17" i="31"/>
  <c r="D83" i="32"/>
  <c r="O23" i="31"/>
  <c r="C115" i="32"/>
  <c r="O29" i="31"/>
  <c r="I115" i="32"/>
  <c r="O35" i="31"/>
  <c r="H147" i="32"/>
  <c r="O41" i="31"/>
  <c r="G179" i="32"/>
  <c r="O47" i="31"/>
  <c r="F211" i="32"/>
  <c r="O53" i="31"/>
  <c r="E243" i="32"/>
  <c r="O59" i="31"/>
  <c r="D275" i="32"/>
  <c r="O65" i="31"/>
  <c r="C307" i="32"/>
  <c r="O71" i="31"/>
  <c r="I307" i="32"/>
  <c r="O77" i="31"/>
  <c r="H339" i="32"/>
  <c r="AE6" i="31"/>
  <c r="G26" i="32"/>
  <c r="AE12" i="31"/>
  <c r="F58" i="32"/>
  <c r="AE18" i="31"/>
  <c r="E90" i="32"/>
  <c r="AE24" i="31"/>
  <c r="D122" i="32"/>
  <c r="AE30" i="31"/>
  <c r="C154" i="32"/>
  <c r="AE36" i="31"/>
  <c r="I154" i="32"/>
  <c r="AE42" i="31"/>
  <c r="H186" i="32"/>
  <c r="CE89" i="24"/>
  <c r="DF2" i="30"/>
  <c r="C170" i="8"/>
  <c r="G612" i="24"/>
  <c r="C615" i="24"/>
  <c r="F42" i="15"/>
  <c r="H42" i="15"/>
  <c r="I42" i="15" s="1"/>
  <c r="H52" i="15"/>
  <c r="I52" i="15" s="1"/>
  <c r="F52" i="15"/>
  <c r="H20" i="31"/>
  <c r="G76" i="32"/>
  <c r="H44" i="31"/>
  <c r="C204" i="32"/>
  <c r="H56" i="31"/>
  <c r="H236" i="32"/>
  <c r="H3" i="31"/>
  <c r="D12" i="32"/>
  <c r="H15" i="31"/>
  <c r="I44" i="32"/>
  <c r="H27" i="31"/>
  <c r="G108" i="32"/>
  <c r="H39" i="31"/>
  <c r="E172" i="32"/>
  <c r="H57" i="31"/>
  <c r="I236" i="32"/>
  <c r="H69" i="31"/>
  <c r="G300" i="32"/>
  <c r="O6" i="31"/>
  <c r="G19" i="32"/>
  <c r="O24" i="31"/>
  <c r="D115" i="32"/>
  <c r="O42" i="31"/>
  <c r="H179" i="32"/>
  <c r="O54" i="31"/>
  <c r="F243" i="32"/>
  <c r="O66" i="31"/>
  <c r="D307" i="32"/>
  <c r="O78" i="31"/>
  <c r="I339" i="32"/>
  <c r="AE7" i="31"/>
  <c r="H26" i="32"/>
  <c r="AE13" i="31"/>
  <c r="G58" i="32"/>
  <c r="AE19" i="31"/>
  <c r="F90" i="32"/>
  <c r="AE25" i="31"/>
  <c r="E122" i="32"/>
  <c r="AE31" i="31"/>
  <c r="D154" i="32"/>
  <c r="AE37" i="31"/>
  <c r="C186" i="32"/>
  <c r="AE43" i="31"/>
  <c r="I186" i="32"/>
  <c r="E19" i="4"/>
  <c r="G19" i="4"/>
  <c r="E220" i="24"/>
  <c r="E233" i="24"/>
  <c r="F32" i="6" s="1"/>
  <c r="C365" i="24"/>
  <c r="F420" i="24"/>
  <c r="H612" i="24"/>
  <c r="H14" i="31"/>
  <c r="H44" i="32"/>
  <c r="H26" i="31"/>
  <c r="F108" i="32"/>
  <c r="H50" i="31"/>
  <c r="I204" i="32"/>
  <c r="H68" i="31"/>
  <c r="F300" i="32"/>
  <c r="H9" i="31"/>
  <c r="C44" i="32"/>
  <c r="H21" i="31"/>
  <c r="H76" i="32"/>
  <c r="H33" i="31"/>
  <c r="F140" i="32"/>
  <c r="H45" i="31"/>
  <c r="D204" i="32"/>
  <c r="C236" i="32"/>
  <c r="H51" i="31"/>
  <c r="H63" i="31"/>
  <c r="H268" i="32"/>
  <c r="H75" i="31"/>
  <c r="F332" i="32"/>
  <c r="O12" i="31"/>
  <c r="F51" i="32"/>
  <c r="O18" i="31"/>
  <c r="E83" i="32"/>
  <c r="O30" i="31"/>
  <c r="C147" i="32"/>
  <c r="O36" i="31"/>
  <c r="I147" i="32"/>
  <c r="O48" i="31"/>
  <c r="G211" i="32"/>
  <c r="O60" i="31"/>
  <c r="E275" i="32"/>
  <c r="O72" i="31"/>
  <c r="C339" i="32"/>
  <c r="O7" i="31"/>
  <c r="H19" i="32"/>
  <c r="O13" i="31"/>
  <c r="G51" i="32"/>
  <c r="O19" i="31"/>
  <c r="F83" i="32"/>
  <c r="O25" i="31"/>
  <c r="E115" i="32"/>
  <c r="O31" i="31"/>
  <c r="D147" i="32"/>
  <c r="O37" i="31"/>
  <c r="C179" i="32"/>
  <c r="O43" i="31"/>
  <c r="I179" i="32"/>
  <c r="O49" i="31"/>
  <c r="H211" i="32"/>
  <c r="O55" i="31"/>
  <c r="G243" i="32"/>
  <c r="O61" i="31"/>
  <c r="F275" i="32"/>
  <c r="O67" i="31"/>
  <c r="E307" i="32"/>
  <c r="O73" i="31"/>
  <c r="D339" i="32"/>
  <c r="O79" i="31"/>
  <c r="C371" i="32"/>
  <c r="AE2" i="31"/>
  <c r="C26" i="32"/>
  <c r="AE8" i="31"/>
  <c r="I26" i="32"/>
  <c r="AE14" i="31"/>
  <c r="H58" i="32"/>
  <c r="AE20" i="31"/>
  <c r="G90" i="32"/>
  <c r="AE26" i="31"/>
  <c r="F122" i="32"/>
  <c r="AE32" i="31"/>
  <c r="E154" i="32"/>
  <c r="AE38" i="31"/>
  <c r="D186" i="32"/>
  <c r="AE44" i="31"/>
  <c r="C218" i="32"/>
  <c r="CF90" i="24"/>
  <c r="G10" i="4"/>
  <c r="D308" i="24"/>
  <c r="D341" i="24"/>
  <c r="I612" i="24"/>
  <c r="H8" i="31"/>
  <c r="I12" i="32"/>
  <c r="H32" i="31"/>
  <c r="E140" i="32"/>
  <c r="H62" i="31"/>
  <c r="G268" i="32"/>
  <c r="I366" i="32"/>
  <c r="F612" i="24"/>
  <c r="O2" i="31"/>
  <c r="C19" i="32"/>
  <c r="O8" i="31"/>
  <c r="I19" i="32"/>
  <c r="O14" i="31"/>
  <c r="H51" i="32"/>
  <c r="O20" i="31"/>
  <c r="G83" i="32"/>
  <c r="O26" i="31"/>
  <c r="F115" i="32"/>
  <c r="O32" i="31"/>
  <c r="E147" i="32"/>
  <c r="O38" i="31"/>
  <c r="D179" i="32"/>
  <c r="O44" i="31"/>
  <c r="C211" i="32"/>
  <c r="O50" i="31"/>
  <c r="I211" i="32"/>
  <c r="O56" i="31"/>
  <c r="H243" i="32"/>
  <c r="O62" i="31"/>
  <c r="G275" i="32"/>
  <c r="O68" i="31"/>
  <c r="F307" i="32"/>
  <c r="O74" i="31"/>
  <c r="E339" i="32"/>
  <c r="D371" i="32"/>
  <c r="O80" i="31"/>
  <c r="AE3" i="31"/>
  <c r="D26" i="32"/>
  <c r="AE9" i="31"/>
  <c r="C58" i="32"/>
  <c r="AE15" i="31"/>
  <c r="I58" i="32"/>
  <c r="AE21" i="31"/>
  <c r="H90" i="32"/>
  <c r="AE27" i="31"/>
  <c r="G122" i="32"/>
  <c r="AE33" i="31"/>
  <c r="F154" i="32"/>
  <c r="AE39" i="31"/>
  <c r="E186" i="32"/>
  <c r="AE45" i="31"/>
  <c r="D218" i="32"/>
  <c r="AH51" i="31"/>
  <c r="C253" i="32"/>
  <c r="I384" i="32"/>
  <c r="L612" i="24"/>
  <c r="CF2" i="28"/>
  <c r="D5" i="7"/>
  <c r="J612" i="24"/>
  <c r="D364" i="32"/>
  <c r="H80" i="31"/>
  <c r="H6" i="31"/>
  <c r="G12" i="32"/>
  <c r="H12" i="31"/>
  <c r="F44" i="32"/>
  <c r="H18" i="31"/>
  <c r="E76" i="32"/>
  <c r="H24" i="31"/>
  <c r="D108" i="32"/>
  <c r="H30" i="31"/>
  <c r="C140" i="32"/>
  <c r="H36" i="31"/>
  <c r="I140" i="32"/>
  <c r="H42" i="31"/>
  <c r="H172" i="32"/>
  <c r="H54" i="31"/>
  <c r="F236" i="32"/>
  <c r="H60" i="31"/>
  <c r="E268" i="32"/>
  <c r="H66" i="31"/>
  <c r="D300" i="32"/>
  <c r="H72" i="31"/>
  <c r="C332" i="32"/>
  <c r="H78" i="31"/>
  <c r="I332" i="32"/>
  <c r="O3" i="31"/>
  <c r="D19" i="32"/>
  <c r="O9" i="31"/>
  <c r="C51" i="32"/>
  <c r="O15" i="31"/>
  <c r="I51" i="32"/>
  <c r="O21" i="31"/>
  <c r="H83" i="32"/>
  <c r="O27" i="31"/>
  <c r="G115" i="32"/>
  <c r="O33" i="31"/>
  <c r="F147" i="32"/>
  <c r="O39" i="31"/>
  <c r="E179" i="32"/>
  <c r="O45" i="31"/>
  <c r="D211" i="32"/>
  <c r="C243" i="32"/>
  <c r="O51" i="31"/>
  <c r="O57" i="31"/>
  <c r="I243" i="32"/>
  <c r="O63" i="31"/>
  <c r="H275" i="32"/>
  <c r="O69" i="31"/>
  <c r="G307" i="32"/>
  <c r="O75" i="31"/>
  <c r="F339" i="32"/>
  <c r="CD85" i="24"/>
  <c r="AE4" i="31"/>
  <c r="E26" i="32"/>
  <c r="AE10" i="31"/>
  <c r="D58" i="32"/>
  <c r="AE16" i="31"/>
  <c r="C90" i="32"/>
  <c r="AE22" i="31"/>
  <c r="I90" i="32"/>
  <c r="AE28" i="31"/>
  <c r="H122" i="32"/>
  <c r="AE34" i="31"/>
  <c r="G154" i="32"/>
  <c r="AE40" i="31"/>
  <c r="F186" i="32"/>
  <c r="AE46" i="31"/>
  <c r="E218" i="32"/>
  <c r="D416" i="24"/>
  <c r="D612" i="24"/>
  <c r="F37" i="15"/>
  <c r="H51" i="15"/>
  <c r="I51" i="15" s="1"/>
  <c r="H55" i="15"/>
  <c r="I55" i="15" s="1"/>
  <c r="F58" i="15"/>
  <c r="F16" i="15"/>
  <c r="F19" i="15"/>
  <c r="F22" i="15"/>
  <c r="F25" i="15"/>
  <c r="F28" i="15"/>
  <c r="F33" i="15"/>
  <c r="F48" i="15"/>
  <c r="F45" i="15"/>
  <c r="F63" i="15"/>
  <c r="F69" i="15"/>
  <c r="C715" i="34"/>
  <c r="C648" i="34"/>
  <c r="M716" i="34" s="1"/>
  <c r="CA52" i="24" l="1"/>
  <c r="CA67" i="24" s="1"/>
  <c r="G52" i="24"/>
  <c r="G67" i="24" s="1"/>
  <c r="BS52" i="24"/>
  <c r="BS67" i="24" s="1"/>
  <c r="BA52" i="24"/>
  <c r="BA67" i="24" s="1"/>
  <c r="AC52" i="24"/>
  <c r="AC67" i="24" s="1"/>
  <c r="E52" i="24"/>
  <c r="E67" i="24" s="1"/>
  <c r="BK52" i="24"/>
  <c r="BK67" i="24" s="1"/>
  <c r="AG52" i="24"/>
  <c r="AG67" i="24" s="1"/>
  <c r="I52" i="24"/>
  <c r="I67" i="24" s="1"/>
  <c r="BZ52" i="24"/>
  <c r="BZ67" i="24" s="1"/>
  <c r="BT52" i="24"/>
  <c r="BT67" i="24" s="1"/>
  <c r="BN52" i="24"/>
  <c r="BN67" i="24" s="1"/>
  <c r="BH52" i="24"/>
  <c r="BH67" i="24" s="1"/>
  <c r="BB52" i="24"/>
  <c r="BB67" i="24" s="1"/>
  <c r="AV52" i="24"/>
  <c r="AV67" i="24" s="1"/>
  <c r="AP52" i="24"/>
  <c r="AP67" i="24" s="1"/>
  <c r="AJ52" i="24"/>
  <c r="AJ67" i="24" s="1"/>
  <c r="AD52" i="24"/>
  <c r="AD67" i="24" s="1"/>
  <c r="X52" i="24"/>
  <c r="X67" i="24" s="1"/>
  <c r="R52" i="24"/>
  <c r="R67" i="24" s="1"/>
  <c r="L52" i="24"/>
  <c r="L67" i="24" s="1"/>
  <c r="F52" i="24"/>
  <c r="F67" i="24" s="1"/>
  <c r="BM52" i="24"/>
  <c r="BM67" i="24" s="1"/>
  <c r="AO52" i="24"/>
  <c r="AO67" i="24" s="1"/>
  <c r="Q52" i="24"/>
  <c r="Q67" i="24" s="1"/>
  <c r="AM52" i="24"/>
  <c r="AM67" i="24" s="1"/>
  <c r="W52" i="24"/>
  <c r="W67" i="24" s="1"/>
  <c r="BW52" i="24"/>
  <c r="BW67" i="24" s="1"/>
  <c r="AY52" i="24"/>
  <c r="AY67" i="24" s="1"/>
  <c r="AA52" i="24"/>
  <c r="AA67" i="24" s="1"/>
  <c r="C52" i="24"/>
  <c r="CD52" i="24"/>
  <c r="BX52" i="24"/>
  <c r="BX67" i="24" s="1"/>
  <c r="BR52" i="24"/>
  <c r="BR67" i="24" s="1"/>
  <c r="BL52" i="24"/>
  <c r="BL67" i="24" s="1"/>
  <c r="BF52" i="24"/>
  <c r="BF67" i="24" s="1"/>
  <c r="AZ52" i="24"/>
  <c r="AZ67" i="24" s="1"/>
  <c r="AT52" i="24"/>
  <c r="AT67" i="24" s="1"/>
  <c r="AN52" i="24"/>
  <c r="AN67" i="24" s="1"/>
  <c r="AH52" i="24"/>
  <c r="AH67" i="24" s="1"/>
  <c r="AB52" i="24"/>
  <c r="AB67" i="24" s="1"/>
  <c r="V52" i="24"/>
  <c r="V67" i="24" s="1"/>
  <c r="P52" i="24"/>
  <c r="P67" i="24" s="1"/>
  <c r="J52" i="24"/>
  <c r="J67" i="24" s="1"/>
  <c r="D52" i="24"/>
  <c r="D67" i="24" s="1"/>
  <c r="CC52" i="24"/>
  <c r="CC67" i="24" s="1"/>
  <c r="BQ52" i="24"/>
  <c r="BQ67" i="24" s="1"/>
  <c r="BE52" i="24"/>
  <c r="BE67" i="24" s="1"/>
  <c r="AS52" i="24"/>
  <c r="AS67" i="24" s="1"/>
  <c r="U52" i="24"/>
  <c r="U67" i="24" s="1"/>
  <c r="CB52" i="24"/>
  <c r="CB67" i="24" s="1"/>
  <c r="BV52" i="24"/>
  <c r="BV67" i="24" s="1"/>
  <c r="BP52" i="24"/>
  <c r="BP67" i="24" s="1"/>
  <c r="BJ52" i="24"/>
  <c r="BJ67" i="24" s="1"/>
  <c r="BD52" i="24"/>
  <c r="BD67" i="24" s="1"/>
  <c r="AX52" i="24"/>
  <c r="AX67" i="24" s="1"/>
  <c r="AR52" i="24"/>
  <c r="AR67" i="24" s="1"/>
  <c r="AL52" i="24"/>
  <c r="AL67" i="24" s="1"/>
  <c r="AF52" i="24"/>
  <c r="AF67" i="24" s="1"/>
  <c r="Z52" i="24"/>
  <c r="Z67" i="24" s="1"/>
  <c r="T52" i="24"/>
  <c r="T67" i="24" s="1"/>
  <c r="N52" i="24"/>
  <c r="N67" i="24" s="1"/>
  <c r="H52" i="24"/>
  <c r="H67" i="24" s="1"/>
  <c r="BU52" i="24"/>
  <c r="BU67" i="24" s="1"/>
  <c r="BO52" i="24"/>
  <c r="BO67" i="24" s="1"/>
  <c r="BI52" i="24"/>
  <c r="BI67" i="24" s="1"/>
  <c r="BC52" i="24"/>
  <c r="BC67" i="24" s="1"/>
  <c r="AW52" i="24"/>
  <c r="AW67" i="24" s="1"/>
  <c r="AQ52" i="24"/>
  <c r="AQ67" i="24" s="1"/>
  <c r="AK52" i="24"/>
  <c r="AK67" i="24" s="1"/>
  <c r="AE52" i="24"/>
  <c r="AE67" i="24" s="1"/>
  <c r="Y52" i="24"/>
  <c r="Y67" i="24" s="1"/>
  <c r="S52" i="24"/>
  <c r="S67" i="24" s="1"/>
  <c r="M52" i="24"/>
  <c r="M67" i="24" s="1"/>
  <c r="BY52" i="24"/>
  <c r="BY67" i="24" s="1"/>
  <c r="BG52" i="24"/>
  <c r="BG67" i="24" s="1"/>
  <c r="AU52" i="24"/>
  <c r="AU67" i="24" s="1"/>
  <c r="AI52" i="24"/>
  <c r="AI67" i="24" s="1"/>
  <c r="K52" i="24"/>
  <c r="K67" i="24" s="1"/>
  <c r="O52" i="24"/>
  <c r="O67" i="24" s="1"/>
  <c r="D639" i="34"/>
  <c r="C12" i="32"/>
  <c r="D711" i="34"/>
  <c r="D672" i="34"/>
  <c r="D670" i="34"/>
  <c r="C117" i="8"/>
  <c r="D643" i="34"/>
  <c r="D699" i="34"/>
  <c r="D668" i="34"/>
  <c r="D703" i="34"/>
  <c r="D634" i="34"/>
  <c r="D619" i="34"/>
  <c r="D366" i="24"/>
  <c r="D367" i="24" s="1"/>
  <c r="D707" i="34"/>
  <c r="D623" i="34"/>
  <c r="D706" i="34"/>
  <c r="D12" i="33"/>
  <c r="E380" i="24"/>
  <c r="D624" i="34"/>
  <c r="D701" i="34"/>
  <c r="D633" i="34"/>
  <c r="D616" i="34"/>
  <c r="D689" i="34"/>
  <c r="D620" i="34"/>
  <c r="D646" i="34"/>
  <c r="D647" i="34"/>
  <c r="D645" i="34"/>
  <c r="D640" i="34"/>
  <c r="D693" i="34"/>
  <c r="D700" i="34"/>
  <c r="D697" i="34"/>
  <c r="D629" i="34"/>
  <c r="D683" i="34"/>
  <c r="D618" i="34"/>
  <c r="D622" i="34"/>
  <c r="D627" i="34"/>
  <c r="D674" i="34"/>
  <c r="D676" i="34"/>
  <c r="D712" i="34"/>
  <c r="D628" i="34"/>
  <c r="D636" i="34"/>
  <c r="D642" i="34"/>
  <c r="D641" i="34"/>
  <c r="D673" i="34"/>
  <c r="D680" i="34"/>
  <c r="D684" i="34"/>
  <c r="D682" i="34"/>
  <c r="D675" i="34"/>
  <c r="D696" i="34"/>
  <c r="D698" i="34"/>
  <c r="D716" i="34"/>
  <c r="D630" i="34"/>
  <c r="D635" i="34"/>
  <c r="D626" i="34"/>
  <c r="D678" i="34"/>
  <c r="D713" i="34"/>
  <c r="D709" i="34"/>
  <c r="D637" i="34"/>
  <c r="D677" i="34"/>
  <c r="D690" i="34"/>
  <c r="D681" i="34"/>
  <c r="D704" i="34"/>
  <c r="D621" i="34"/>
  <c r="D669" i="34"/>
  <c r="D625" i="34"/>
  <c r="D631" i="34"/>
  <c r="D671" i="34"/>
  <c r="D705" i="34"/>
  <c r="D686" i="34"/>
  <c r="D688" i="34"/>
  <c r="D702" i="34"/>
  <c r="D644" i="34"/>
  <c r="D632" i="34"/>
  <c r="D638" i="34"/>
  <c r="D685" i="34"/>
  <c r="D617" i="34"/>
  <c r="D691" i="34"/>
  <c r="D692" i="34"/>
  <c r="D695" i="34"/>
  <c r="D694" i="34"/>
  <c r="D687" i="34"/>
  <c r="D708" i="34"/>
  <c r="D710" i="34"/>
  <c r="CE62" i="24"/>
  <c r="I364" i="32" s="1"/>
  <c r="F16" i="6"/>
  <c r="F234" i="24"/>
  <c r="C50" i="8"/>
  <c r="D352" i="24"/>
  <c r="C103" i="8" s="1"/>
  <c r="F309" i="24"/>
  <c r="I378" i="32"/>
  <c r="K612" i="24"/>
  <c r="C87" i="8"/>
  <c r="D350" i="24"/>
  <c r="BP2" i="30"/>
  <c r="C119" i="8"/>
  <c r="C167" i="8"/>
  <c r="D26" i="33"/>
  <c r="E414" i="24"/>
  <c r="E373" i="32"/>
  <c r="C94" i="15"/>
  <c r="G94" i="15" s="1"/>
  <c r="C120" i="8" l="1"/>
  <c r="M34" i="31"/>
  <c r="AI85" i="24"/>
  <c r="G145" i="32"/>
  <c r="M24" i="31"/>
  <c r="D113" i="32"/>
  <c r="Y85" i="24"/>
  <c r="BI85" i="24"/>
  <c r="M60" i="31"/>
  <c r="E273" i="32"/>
  <c r="Z85" i="24"/>
  <c r="M25" i="31"/>
  <c r="E113" i="32"/>
  <c r="BJ85" i="24"/>
  <c r="M61" i="31"/>
  <c r="F273" i="32"/>
  <c r="BE85" i="24"/>
  <c r="M56" i="31"/>
  <c r="H241" i="32"/>
  <c r="M21" i="31"/>
  <c r="H81" i="32"/>
  <c r="V85" i="24"/>
  <c r="M57" i="31"/>
  <c r="I241" i="32"/>
  <c r="BF85" i="24"/>
  <c r="M26" i="31"/>
  <c r="F113" i="32"/>
  <c r="AA85" i="24"/>
  <c r="AO85" i="24"/>
  <c r="M40" i="31"/>
  <c r="F177" i="32"/>
  <c r="M29" i="31"/>
  <c r="AD85" i="24"/>
  <c r="I113" i="32"/>
  <c r="M65" i="31"/>
  <c r="C305" i="32"/>
  <c r="BN85" i="24"/>
  <c r="M4" i="31"/>
  <c r="E17" i="32"/>
  <c r="E85" i="24"/>
  <c r="E209" i="32"/>
  <c r="AU85" i="24"/>
  <c r="M46" i="31"/>
  <c r="M30" i="31"/>
  <c r="C145" i="32"/>
  <c r="AE85" i="24"/>
  <c r="D305" i="32"/>
  <c r="M66" i="31"/>
  <c r="BO85" i="24"/>
  <c r="M31" i="31"/>
  <c r="D145" i="32"/>
  <c r="AF85" i="24"/>
  <c r="M67" i="31"/>
  <c r="E305" i="32"/>
  <c r="BP85" i="24"/>
  <c r="M68" i="31"/>
  <c r="F305" i="32"/>
  <c r="BQ85" i="24"/>
  <c r="M27" i="31"/>
  <c r="G113" i="32"/>
  <c r="AB85" i="24"/>
  <c r="M63" i="31"/>
  <c r="H273" i="32"/>
  <c r="BL85" i="24"/>
  <c r="M50" i="31"/>
  <c r="I209" i="32"/>
  <c r="AY85" i="24"/>
  <c r="BM85" i="24"/>
  <c r="I273" i="32"/>
  <c r="M64" i="31"/>
  <c r="M35" i="31"/>
  <c r="H145" i="32"/>
  <c r="AJ85" i="24"/>
  <c r="BT85" i="24"/>
  <c r="M71" i="31"/>
  <c r="I305" i="32"/>
  <c r="H113" i="32"/>
  <c r="AC85" i="24"/>
  <c r="M28" i="31"/>
  <c r="M58" i="31"/>
  <c r="C273" i="32"/>
  <c r="BG85" i="24"/>
  <c r="AK85" i="24"/>
  <c r="M36" i="31"/>
  <c r="I145" i="32"/>
  <c r="BU85" i="24"/>
  <c r="M72" i="31"/>
  <c r="C337" i="32"/>
  <c r="AL85" i="24"/>
  <c r="M37" i="31"/>
  <c r="C177" i="32"/>
  <c r="BV85" i="24"/>
  <c r="M73" i="31"/>
  <c r="D337" i="32"/>
  <c r="M80" i="31"/>
  <c r="D369" i="32"/>
  <c r="CC85" i="24"/>
  <c r="AH85" i="24"/>
  <c r="M33" i="31"/>
  <c r="F145" i="32"/>
  <c r="BR85" i="24"/>
  <c r="M69" i="31"/>
  <c r="G305" i="32"/>
  <c r="BW85" i="24"/>
  <c r="M74" i="31"/>
  <c r="E337" i="32"/>
  <c r="F85" i="24"/>
  <c r="M5" i="31"/>
  <c r="F17" i="32"/>
  <c r="M41" i="31"/>
  <c r="G177" i="32"/>
  <c r="AP85" i="24"/>
  <c r="M77" i="31"/>
  <c r="H337" i="32"/>
  <c r="BZ85" i="24"/>
  <c r="M52" i="31"/>
  <c r="BA85" i="24"/>
  <c r="D241" i="32"/>
  <c r="M76" i="31"/>
  <c r="G337" i="32"/>
  <c r="BY85" i="24"/>
  <c r="M42" i="31"/>
  <c r="H177" i="32"/>
  <c r="AQ85" i="24"/>
  <c r="H85" i="24"/>
  <c r="M7" i="31"/>
  <c r="H17" i="32"/>
  <c r="AR85" i="24"/>
  <c r="M43" i="31"/>
  <c r="I177" i="32"/>
  <c r="CB85" i="24"/>
  <c r="M79" i="31"/>
  <c r="C369" i="32"/>
  <c r="D85" i="24"/>
  <c r="M3" i="31"/>
  <c r="D17" i="32"/>
  <c r="M39" i="31"/>
  <c r="E177" i="32"/>
  <c r="AN85" i="24"/>
  <c r="BX85" i="24"/>
  <c r="M75" i="31"/>
  <c r="F337" i="32"/>
  <c r="M22" i="31"/>
  <c r="I81" i="32"/>
  <c r="W85" i="24"/>
  <c r="E49" i="32"/>
  <c r="L85" i="24"/>
  <c r="M11" i="31"/>
  <c r="M47" i="31"/>
  <c r="AV85" i="24"/>
  <c r="F209" i="32"/>
  <c r="M8" i="31"/>
  <c r="I17" i="32"/>
  <c r="I85" i="24"/>
  <c r="BS85" i="24"/>
  <c r="M70" i="31"/>
  <c r="H305" i="32"/>
  <c r="M14" i="31"/>
  <c r="H49" i="32"/>
  <c r="O85" i="24"/>
  <c r="M85" i="24"/>
  <c r="F49" i="32"/>
  <c r="M12" i="31"/>
  <c r="AW85" i="24"/>
  <c r="M48" i="31"/>
  <c r="G209" i="32"/>
  <c r="M13" i="31"/>
  <c r="N85" i="24"/>
  <c r="G49" i="32"/>
  <c r="M49" i="31"/>
  <c r="AX85" i="24"/>
  <c r="H209" i="32"/>
  <c r="U85" i="24"/>
  <c r="M20" i="31"/>
  <c r="G81" i="32"/>
  <c r="M9" i="31"/>
  <c r="C49" i="32"/>
  <c r="J85" i="24"/>
  <c r="M45" i="31"/>
  <c r="D209" i="32"/>
  <c r="AT85" i="24"/>
  <c r="M38" i="31"/>
  <c r="AM85" i="24"/>
  <c r="D177" i="32"/>
  <c r="R85" i="24"/>
  <c r="M17" i="31"/>
  <c r="D81" i="32"/>
  <c r="BB85" i="24"/>
  <c r="M53" i="31"/>
  <c r="E241" i="32"/>
  <c r="M32" i="31"/>
  <c r="E145" i="32"/>
  <c r="AG85" i="24"/>
  <c r="G85" i="24"/>
  <c r="M6" i="31"/>
  <c r="G17" i="32"/>
  <c r="K85" i="24"/>
  <c r="D49" i="32"/>
  <c r="M10" i="31"/>
  <c r="E81" i="32"/>
  <c r="S85" i="24"/>
  <c r="M18" i="31"/>
  <c r="M54" i="31"/>
  <c r="F241" i="32"/>
  <c r="BC85" i="24"/>
  <c r="M19" i="31"/>
  <c r="F81" i="32"/>
  <c r="T85" i="24"/>
  <c r="M55" i="31"/>
  <c r="G241" i="32"/>
  <c r="BD85" i="24"/>
  <c r="M44" i="31"/>
  <c r="C209" i="32"/>
  <c r="AS85" i="24"/>
  <c r="M15" i="31"/>
  <c r="I49" i="32"/>
  <c r="P85" i="24"/>
  <c r="M51" i="31"/>
  <c r="C241" i="32"/>
  <c r="AZ85" i="24"/>
  <c r="CE52" i="24"/>
  <c r="C67" i="24"/>
  <c r="M16" i="31"/>
  <c r="Q85" i="24"/>
  <c r="C81" i="32"/>
  <c r="X85" i="24"/>
  <c r="M23" i="31"/>
  <c r="C113" i="32"/>
  <c r="BH85" i="24"/>
  <c r="M59" i="31"/>
  <c r="D273" i="32"/>
  <c r="M62" i="31"/>
  <c r="G273" i="32"/>
  <c r="BK85" i="24"/>
  <c r="I337" i="32"/>
  <c r="CA85" i="24"/>
  <c r="M78" i="31"/>
  <c r="E623" i="34"/>
  <c r="E612" i="34"/>
  <c r="D715" i="34"/>
  <c r="C121" i="8"/>
  <c r="D384" i="24"/>
  <c r="C647" i="24" l="1"/>
  <c r="C91" i="15"/>
  <c r="G91" i="15" s="1"/>
  <c r="I341" i="32"/>
  <c r="G21" i="32"/>
  <c r="C19" i="15"/>
  <c r="C672" i="24"/>
  <c r="C636" i="24"/>
  <c r="D277" i="32"/>
  <c r="C72" i="15"/>
  <c r="G72" i="15" s="1"/>
  <c r="I53" i="32"/>
  <c r="C28" i="15"/>
  <c r="G28" i="15" s="1"/>
  <c r="H28" i="15" s="1"/>
  <c r="I28" i="15" s="1"/>
  <c r="C681" i="24"/>
  <c r="G245" i="32"/>
  <c r="C68" i="15"/>
  <c r="G68" i="15" s="1"/>
  <c r="C624" i="24"/>
  <c r="C67" i="15"/>
  <c r="G67" i="15" s="1"/>
  <c r="C633" i="24"/>
  <c r="F245" i="32"/>
  <c r="E149" i="32"/>
  <c r="C45" i="15"/>
  <c r="G45" i="15" s="1"/>
  <c r="H45" i="15" s="1"/>
  <c r="I45" i="15" s="1"/>
  <c r="C698" i="24"/>
  <c r="C58" i="15"/>
  <c r="G58" i="15" s="1"/>
  <c r="D213" i="32"/>
  <c r="C711" i="24"/>
  <c r="C35" i="15"/>
  <c r="I85" i="32"/>
  <c r="C688" i="24"/>
  <c r="E181" i="32"/>
  <c r="C52" i="15"/>
  <c r="G52" i="15" s="1"/>
  <c r="C705" i="24"/>
  <c r="G341" i="32"/>
  <c r="C89" i="15"/>
  <c r="G89" i="15" s="1"/>
  <c r="C645" i="24"/>
  <c r="H341" i="32"/>
  <c r="C90" i="15"/>
  <c r="G90" i="15" s="1"/>
  <c r="C646" i="24"/>
  <c r="D373" i="32"/>
  <c r="C620" i="24"/>
  <c r="C93" i="15"/>
  <c r="G93" i="15" s="1"/>
  <c r="H149" i="32"/>
  <c r="C48" i="15"/>
  <c r="G48" i="15" s="1"/>
  <c r="H48" i="15" s="1"/>
  <c r="C701" i="24"/>
  <c r="I213" i="32"/>
  <c r="C63" i="15"/>
  <c r="G63" i="15" s="1"/>
  <c r="C625" i="24"/>
  <c r="C40" i="15"/>
  <c r="G40" i="15" s="1"/>
  <c r="G117" i="32"/>
  <c r="C693" i="24"/>
  <c r="E309" i="32"/>
  <c r="C80" i="15"/>
  <c r="G80" i="15" s="1"/>
  <c r="C621" i="24"/>
  <c r="D309" i="32"/>
  <c r="C79" i="15"/>
  <c r="G79" i="15" s="1"/>
  <c r="C627" i="24"/>
  <c r="C309" i="32"/>
  <c r="C78" i="15"/>
  <c r="G78" i="15" s="1"/>
  <c r="C619" i="24"/>
  <c r="I245" i="32"/>
  <c r="C70" i="15"/>
  <c r="G70" i="15" s="1"/>
  <c r="C629" i="24"/>
  <c r="D117" i="32"/>
  <c r="C37" i="15"/>
  <c r="C690" i="24"/>
  <c r="F213" i="32"/>
  <c r="C60" i="15"/>
  <c r="C713" i="24"/>
  <c r="C41" i="15"/>
  <c r="G41" i="15" s="1"/>
  <c r="H41" i="15" s="1"/>
  <c r="I41" i="15" s="1"/>
  <c r="H117" i="32"/>
  <c r="C694" i="24"/>
  <c r="E213" i="32"/>
  <c r="C59" i="15"/>
  <c r="G59" i="15" s="1"/>
  <c r="C712" i="24"/>
  <c r="C85" i="24"/>
  <c r="M2" i="31"/>
  <c r="C17" i="32"/>
  <c r="CE67" i="24"/>
  <c r="I369" i="32" s="1"/>
  <c r="D53" i="32"/>
  <c r="C676" i="24"/>
  <c r="C23" i="15"/>
  <c r="G23" i="15" s="1"/>
  <c r="D85" i="32"/>
  <c r="C683" i="24"/>
  <c r="C30" i="15"/>
  <c r="G30" i="15" s="1"/>
  <c r="H30" i="15" s="1"/>
  <c r="I30" i="15" s="1"/>
  <c r="C33" i="15"/>
  <c r="G33" i="15" s="1"/>
  <c r="H33" i="15" s="1"/>
  <c r="I33" i="15" s="1"/>
  <c r="G85" i="32"/>
  <c r="C686" i="24"/>
  <c r="F53" i="32"/>
  <c r="C25" i="15"/>
  <c r="G25" i="15" s="1"/>
  <c r="C678" i="24"/>
  <c r="H309" i="32"/>
  <c r="C83" i="15"/>
  <c r="G83" i="15" s="1"/>
  <c r="C639" i="24"/>
  <c r="C373" i="32"/>
  <c r="C92" i="15"/>
  <c r="G92" i="15" s="1"/>
  <c r="C622" i="24"/>
  <c r="C20" i="15"/>
  <c r="H21" i="32"/>
  <c r="C673" i="24"/>
  <c r="C18" i="15"/>
  <c r="G18" i="15" s="1"/>
  <c r="F21" i="32"/>
  <c r="C671" i="24"/>
  <c r="C626" i="24"/>
  <c r="C82" i="15"/>
  <c r="G82" i="15" s="1"/>
  <c r="G309" i="32"/>
  <c r="C181" i="32"/>
  <c r="C50" i="15"/>
  <c r="G50" i="15" s="1"/>
  <c r="C703" i="24"/>
  <c r="C49" i="15"/>
  <c r="C702" i="24"/>
  <c r="I149" i="32"/>
  <c r="F181" i="32"/>
  <c r="C53" i="15"/>
  <c r="G53" i="15" s="1"/>
  <c r="C706" i="24"/>
  <c r="H245" i="32"/>
  <c r="C69" i="15"/>
  <c r="C614" i="24"/>
  <c r="C38" i="15"/>
  <c r="G38" i="15" s="1"/>
  <c r="C691" i="24"/>
  <c r="E117" i="32"/>
  <c r="C32" i="15"/>
  <c r="G32" i="15" s="1"/>
  <c r="F85" i="32"/>
  <c r="C685" i="24"/>
  <c r="I21" i="32"/>
  <c r="C21" i="15"/>
  <c r="G21" i="15" s="1"/>
  <c r="H21" i="15" s="1"/>
  <c r="I21" i="15" s="1"/>
  <c r="C674" i="24"/>
  <c r="H181" i="32"/>
  <c r="C55" i="15"/>
  <c r="G55" i="15" s="1"/>
  <c r="C708" i="24"/>
  <c r="G181" i="32"/>
  <c r="C54" i="15"/>
  <c r="G54" i="15" s="1"/>
  <c r="C707" i="24"/>
  <c r="C277" i="32"/>
  <c r="C71" i="15"/>
  <c r="G71" i="15" s="1"/>
  <c r="C618" i="24"/>
  <c r="H277" i="32"/>
  <c r="C637" i="24"/>
  <c r="C76" i="15"/>
  <c r="G76" i="15" s="1"/>
  <c r="F309" i="32"/>
  <c r="C81" i="15"/>
  <c r="G81" i="15" s="1"/>
  <c r="C623" i="24"/>
  <c r="D149" i="32"/>
  <c r="C697" i="24"/>
  <c r="C44" i="15"/>
  <c r="G44" i="15" s="1"/>
  <c r="C149" i="32"/>
  <c r="C43" i="15"/>
  <c r="C696" i="24"/>
  <c r="C17" i="15"/>
  <c r="G17" i="15" s="1"/>
  <c r="H17" i="15" s="1"/>
  <c r="I17" i="15" s="1"/>
  <c r="E21" i="32"/>
  <c r="C670" i="24"/>
  <c r="F117" i="32"/>
  <c r="C39" i="15"/>
  <c r="G39" i="15" s="1"/>
  <c r="C692" i="24"/>
  <c r="C687" i="24"/>
  <c r="H85" i="32"/>
  <c r="C34" i="15"/>
  <c r="G34" i="15" s="1"/>
  <c r="G53" i="32"/>
  <c r="C679" i="24"/>
  <c r="C26" i="15"/>
  <c r="C689" i="24"/>
  <c r="C36" i="15"/>
  <c r="C117" i="32"/>
  <c r="C628" i="24"/>
  <c r="C245" i="32"/>
  <c r="C64" i="15"/>
  <c r="C213" i="32"/>
  <c r="C57" i="15"/>
  <c r="G57" i="15" s="1"/>
  <c r="C710" i="24"/>
  <c r="C22" i="15"/>
  <c r="G22" i="15" s="1"/>
  <c r="C53" i="32"/>
  <c r="C675" i="24"/>
  <c r="C27" i="15"/>
  <c r="G27" i="15" s="1"/>
  <c r="C680" i="24"/>
  <c r="H53" i="32"/>
  <c r="C31" i="15"/>
  <c r="G31" i="15" s="1"/>
  <c r="E85" i="32"/>
  <c r="C684" i="24"/>
  <c r="D181" i="32"/>
  <c r="C51" i="15"/>
  <c r="G51" i="15" s="1"/>
  <c r="C704" i="24"/>
  <c r="C62" i="15"/>
  <c r="C616" i="24"/>
  <c r="H213" i="32"/>
  <c r="C677" i="24"/>
  <c r="C24" i="15"/>
  <c r="G24" i="15" s="1"/>
  <c r="E53" i="32"/>
  <c r="C65" i="15"/>
  <c r="D245" i="32"/>
  <c r="C630" i="24"/>
  <c r="C42" i="15"/>
  <c r="G42" i="15" s="1"/>
  <c r="C695" i="24"/>
  <c r="I117" i="32"/>
  <c r="C700" i="24"/>
  <c r="G149" i="32"/>
  <c r="C47" i="15"/>
  <c r="G47" i="15" s="1"/>
  <c r="C635" i="24"/>
  <c r="C75" i="15"/>
  <c r="G75" i="15" s="1"/>
  <c r="G277" i="32"/>
  <c r="C682" i="24"/>
  <c r="C29" i="15"/>
  <c r="G29" i="15" s="1"/>
  <c r="H29" i="15" s="1"/>
  <c r="I29" i="15" s="1"/>
  <c r="C85" i="32"/>
  <c r="C632" i="24"/>
  <c r="C66" i="15"/>
  <c r="G66" i="15" s="1"/>
  <c r="E245" i="32"/>
  <c r="C61" i="15"/>
  <c r="G213" i="32"/>
  <c r="C631" i="24"/>
  <c r="C88" i="15"/>
  <c r="G88" i="15" s="1"/>
  <c r="C644" i="24"/>
  <c r="F341" i="32"/>
  <c r="D21" i="32"/>
  <c r="C16" i="15"/>
  <c r="C669" i="24"/>
  <c r="I181" i="32"/>
  <c r="C56" i="15"/>
  <c r="G56" i="15" s="1"/>
  <c r="C709" i="24"/>
  <c r="E341" i="32"/>
  <c r="C87" i="15"/>
  <c r="G87" i="15" s="1"/>
  <c r="C643" i="24"/>
  <c r="F149" i="32"/>
  <c r="C46" i="15"/>
  <c r="G46" i="15" s="1"/>
  <c r="C699" i="24"/>
  <c r="C86" i="15"/>
  <c r="G86" i="15" s="1"/>
  <c r="C642" i="24"/>
  <c r="D341" i="32"/>
  <c r="C341" i="32"/>
  <c r="C85" i="15"/>
  <c r="G85" i="15" s="1"/>
  <c r="C641" i="24"/>
  <c r="I309" i="32"/>
  <c r="C84" i="15"/>
  <c r="G84" i="15" s="1"/>
  <c r="C640" i="24"/>
  <c r="I277" i="32"/>
  <c r="C77" i="15"/>
  <c r="G77" i="15" s="1"/>
  <c r="C638" i="24"/>
  <c r="F277" i="32"/>
  <c r="C74" i="15"/>
  <c r="G74" i="15" s="1"/>
  <c r="C617" i="24"/>
  <c r="C73" i="15"/>
  <c r="G73" i="15" s="1"/>
  <c r="C634" i="24"/>
  <c r="E277" i="32"/>
  <c r="E694" i="34"/>
  <c r="E638" i="34"/>
  <c r="E633" i="34"/>
  <c r="E689" i="34"/>
  <c r="E700" i="34"/>
  <c r="E716" i="34"/>
  <c r="E690" i="34"/>
  <c r="E643" i="34"/>
  <c r="E707" i="34"/>
  <c r="E646" i="34"/>
  <c r="E644" i="34"/>
  <c r="E710" i="34"/>
  <c r="E699" i="34"/>
  <c r="E678" i="34"/>
  <c r="E686" i="34"/>
  <c r="E680" i="34"/>
  <c r="E628" i="34"/>
  <c r="E674" i="34"/>
  <c r="E634" i="34"/>
  <c r="E687" i="34"/>
  <c r="E691" i="34"/>
  <c r="E642" i="34"/>
  <c r="E670" i="34"/>
  <c r="E709" i="34"/>
  <c r="E711" i="34"/>
  <c r="E625" i="34"/>
  <c r="E629" i="34"/>
  <c r="E632" i="34"/>
  <c r="E692" i="34"/>
  <c r="E637" i="34"/>
  <c r="E693" i="34"/>
  <c r="E708" i="34"/>
  <c r="E671" i="34"/>
  <c r="E682" i="34"/>
  <c r="E698" i="34"/>
  <c r="E672" i="34"/>
  <c r="E668" i="34"/>
  <c r="E635" i="34"/>
  <c r="E695" i="34"/>
  <c r="E640" i="34"/>
  <c r="E702" i="34"/>
  <c r="E627" i="34"/>
  <c r="E683" i="34"/>
  <c r="E688" i="34"/>
  <c r="E701" i="34"/>
  <c r="E704" i="34"/>
  <c r="E706" i="34"/>
  <c r="E712" i="34"/>
  <c r="E641" i="34"/>
  <c r="E669" i="34"/>
  <c r="E679" i="34"/>
  <c r="E636" i="34"/>
  <c r="E696" i="34"/>
  <c r="E713" i="34"/>
  <c r="E626" i="34"/>
  <c r="E624" i="34"/>
  <c r="F624" i="34" s="1"/>
  <c r="E647" i="34"/>
  <c r="E684" i="34"/>
  <c r="E681" i="34"/>
  <c r="E685" i="34"/>
  <c r="E639" i="34"/>
  <c r="E645" i="34"/>
  <c r="E697" i="34"/>
  <c r="E705" i="34"/>
  <c r="E631" i="34"/>
  <c r="E675" i="34"/>
  <c r="E673" i="34"/>
  <c r="E630" i="34"/>
  <c r="E677" i="34"/>
  <c r="E676" i="34"/>
  <c r="E703" i="34"/>
  <c r="C138" i="8"/>
  <c r="D417" i="24"/>
  <c r="G26" i="15" l="1"/>
  <c r="H26" i="15"/>
  <c r="I26" i="15" s="1"/>
  <c r="D615" i="24"/>
  <c r="C648" i="24"/>
  <c r="M716" i="24" s="1"/>
  <c r="C668" i="24"/>
  <c r="C715" i="24" s="1"/>
  <c r="CE85" i="24"/>
  <c r="C15" i="15"/>
  <c r="C21" i="32"/>
  <c r="G16" i="15"/>
  <c r="H16" i="15"/>
  <c r="I16" i="15" s="1"/>
  <c r="H43" i="15"/>
  <c r="I43" i="15" s="1"/>
  <c r="G43" i="15"/>
  <c r="G69" i="15"/>
  <c r="H69" i="15" s="1"/>
  <c r="I69" i="15" s="1"/>
  <c r="H36" i="15"/>
  <c r="I36" i="15" s="1"/>
  <c r="G36" i="15"/>
  <c r="H65" i="15"/>
  <c r="I65" i="15" s="1"/>
  <c r="G65" i="15"/>
  <c r="G49" i="15"/>
  <c r="H49" i="15"/>
  <c r="I49" i="15" s="1"/>
  <c r="G20" i="15"/>
  <c r="H20" i="15"/>
  <c r="I20" i="15" s="1"/>
  <c r="G19" i="15"/>
  <c r="H19" i="15"/>
  <c r="I19" i="15" s="1"/>
  <c r="H37" i="15"/>
  <c r="I37" i="15" s="1"/>
  <c r="G37" i="15"/>
  <c r="G64" i="15"/>
  <c r="H64" i="15" s="1"/>
  <c r="I64" i="15" s="1"/>
  <c r="H35" i="15"/>
  <c r="I35" i="15" s="1"/>
  <c r="G35" i="15"/>
  <c r="E715" i="34"/>
  <c r="C168" i="8"/>
  <c r="D421" i="24"/>
  <c r="F711" i="34"/>
  <c r="F705" i="34"/>
  <c r="F699" i="34"/>
  <c r="F712" i="34"/>
  <c r="F706" i="34"/>
  <c r="F700" i="34"/>
  <c r="F708" i="34"/>
  <c r="F702" i="34"/>
  <c r="F696" i="34"/>
  <c r="F710" i="34"/>
  <c r="F704" i="34"/>
  <c r="F698" i="34"/>
  <c r="F703" i="34"/>
  <c r="F689" i="34"/>
  <c r="F683" i="34"/>
  <c r="F677" i="34"/>
  <c r="F671" i="34"/>
  <c r="F642" i="34"/>
  <c r="F639" i="34"/>
  <c r="F707" i="34"/>
  <c r="F695" i="34"/>
  <c r="F690" i="34"/>
  <c r="F684" i="34"/>
  <c r="F678" i="34"/>
  <c r="F672" i="34"/>
  <c r="F647" i="34"/>
  <c r="F629" i="34"/>
  <c r="F628" i="34"/>
  <c r="F716" i="34"/>
  <c r="F701" i="34"/>
  <c r="F692" i="34"/>
  <c r="F686" i="34"/>
  <c r="F680" i="34"/>
  <c r="F674" i="34"/>
  <c r="F668" i="34"/>
  <c r="F646" i="34"/>
  <c r="F713" i="34"/>
  <c r="F694" i="34"/>
  <c r="F688" i="34"/>
  <c r="F682" i="34"/>
  <c r="F676" i="34"/>
  <c r="F670" i="34"/>
  <c r="F645" i="34"/>
  <c r="F681" i="34"/>
  <c r="F627" i="34"/>
  <c r="F685" i="34"/>
  <c r="F638" i="34"/>
  <c r="F635" i="34"/>
  <c r="F632" i="34"/>
  <c r="F697" i="34"/>
  <c r="F693" i="34"/>
  <c r="F675" i="34"/>
  <c r="F637" i="34"/>
  <c r="F636" i="34"/>
  <c r="F634" i="34"/>
  <c r="F633" i="34"/>
  <c r="F631" i="34"/>
  <c r="F679" i="34"/>
  <c r="F643" i="34"/>
  <c r="F630" i="34"/>
  <c r="F625" i="34"/>
  <c r="F691" i="34"/>
  <c r="F673" i="34"/>
  <c r="F641" i="34"/>
  <c r="F640" i="34"/>
  <c r="F709" i="34"/>
  <c r="F687" i="34"/>
  <c r="F669" i="34"/>
  <c r="F644" i="34"/>
  <c r="F626" i="34"/>
  <c r="D683" i="24" l="1"/>
  <c r="D633" i="24"/>
  <c r="D690" i="24"/>
  <c r="D709" i="24"/>
  <c r="D673" i="24"/>
  <c r="D704" i="24"/>
  <c r="D668" i="24"/>
  <c r="D700" i="24"/>
  <c r="D645" i="24"/>
  <c r="D637" i="24"/>
  <c r="D616" i="24"/>
  <c r="D681" i="24"/>
  <c r="D640" i="24"/>
  <c r="D713" i="24"/>
  <c r="D684" i="24"/>
  <c r="D703" i="24"/>
  <c r="D646" i="24"/>
  <c r="D694" i="24"/>
  <c r="D632" i="24"/>
  <c r="D623" i="24"/>
  <c r="D627" i="24"/>
  <c r="D688" i="24"/>
  <c r="D644" i="24"/>
  <c r="D617" i="24"/>
  <c r="D701" i="24"/>
  <c r="D642" i="24"/>
  <c r="D708" i="24"/>
  <c r="D672" i="24"/>
  <c r="D691" i="24"/>
  <c r="D638" i="24"/>
  <c r="D686" i="24"/>
  <c r="D618" i="24"/>
  <c r="D682" i="24"/>
  <c r="D625" i="24"/>
  <c r="D705" i="24"/>
  <c r="D626" i="24"/>
  <c r="D619" i="24"/>
  <c r="D639" i="24"/>
  <c r="D702" i="24"/>
  <c r="D647" i="24"/>
  <c r="D685" i="24"/>
  <c r="D635" i="24"/>
  <c r="D680" i="24"/>
  <c r="D712" i="24"/>
  <c r="D676" i="24"/>
  <c r="D622" i="24"/>
  <c r="D669" i="24"/>
  <c r="D624" i="24"/>
  <c r="D687" i="24"/>
  <c r="D630" i="24"/>
  <c r="D698" i="24"/>
  <c r="D693" i="24"/>
  <c r="D634" i="24"/>
  <c r="D678" i="24"/>
  <c r="D695" i="24"/>
  <c r="D677" i="24"/>
  <c r="D711" i="24"/>
  <c r="D671" i="24"/>
  <c r="D692" i="24"/>
  <c r="D675" i="24"/>
  <c r="D689" i="24"/>
  <c r="D636" i="24"/>
  <c r="D696" i="24"/>
  <c r="D716" i="24"/>
  <c r="D679" i="24"/>
  <c r="D710" i="24"/>
  <c r="D674" i="24"/>
  <c r="D706" i="24"/>
  <c r="D670" i="24"/>
  <c r="D699" i="24"/>
  <c r="D628" i="24"/>
  <c r="D620" i="24"/>
  <c r="D643" i="24"/>
  <c r="D707" i="24"/>
  <c r="D697" i="24"/>
  <c r="D641" i="24"/>
  <c r="D621" i="24"/>
  <c r="D631" i="24"/>
  <c r="D629" i="24"/>
  <c r="H15" i="15"/>
  <c r="I15" i="15" s="1"/>
  <c r="G15" i="15"/>
  <c r="I373" i="32"/>
  <c r="C716" i="24"/>
  <c r="C172" i="8"/>
  <c r="D424" i="24"/>
  <c r="C177" i="8" s="1"/>
  <c r="F715" i="34"/>
  <c r="G625" i="34"/>
  <c r="E612" i="24" l="1"/>
  <c r="D715" i="24"/>
  <c r="E623" i="24"/>
  <c r="G712" i="34"/>
  <c r="G706" i="34"/>
  <c r="G700" i="34"/>
  <c r="G713" i="34"/>
  <c r="G707" i="34"/>
  <c r="G701" i="34"/>
  <c r="G695" i="34"/>
  <c r="G716" i="34"/>
  <c r="G709" i="34"/>
  <c r="G703" i="34"/>
  <c r="G697" i="34"/>
  <c r="G711" i="34"/>
  <c r="G705" i="34"/>
  <c r="G699" i="34"/>
  <c r="G710" i="34"/>
  <c r="G696" i="34"/>
  <c r="G690" i="34"/>
  <c r="G684" i="34"/>
  <c r="G678" i="34"/>
  <c r="G672" i="34"/>
  <c r="G647" i="34"/>
  <c r="G691" i="34"/>
  <c r="G685" i="34"/>
  <c r="G679" i="34"/>
  <c r="G673" i="34"/>
  <c r="G644" i="34"/>
  <c r="G641" i="34"/>
  <c r="G638" i="34"/>
  <c r="G635" i="34"/>
  <c r="G632" i="34"/>
  <c r="G693" i="34"/>
  <c r="G687" i="34"/>
  <c r="G681" i="34"/>
  <c r="G675" i="34"/>
  <c r="G669" i="34"/>
  <c r="G689" i="34"/>
  <c r="G683" i="34"/>
  <c r="G677" i="34"/>
  <c r="G671" i="34"/>
  <c r="G642" i="34"/>
  <c r="G639" i="34"/>
  <c r="G636" i="34"/>
  <c r="G633" i="34"/>
  <c r="G708" i="34"/>
  <c r="G698" i="34"/>
  <c r="G692" i="34"/>
  <c r="G688" i="34"/>
  <c r="G674" i="34"/>
  <c r="G670" i="34"/>
  <c r="G645" i="34"/>
  <c r="G637" i="34"/>
  <c r="G634" i="34"/>
  <c r="G631" i="34"/>
  <c r="G628" i="34"/>
  <c r="G702" i="34"/>
  <c r="G686" i="34"/>
  <c r="G682" i="34"/>
  <c r="G668" i="34"/>
  <c r="G643" i="34"/>
  <c r="G630" i="34"/>
  <c r="G629" i="34"/>
  <c r="G704" i="34"/>
  <c r="G646" i="34"/>
  <c r="G626" i="34"/>
  <c r="G627" i="34"/>
  <c r="G680" i="34"/>
  <c r="G694" i="34"/>
  <c r="G676" i="34"/>
  <c r="G640" i="34"/>
  <c r="E702" i="24" l="1"/>
  <c r="E647" i="24"/>
  <c r="E697" i="24"/>
  <c r="E641" i="24"/>
  <c r="E692" i="24"/>
  <c r="E711" i="24"/>
  <c r="E675" i="24"/>
  <c r="E631" i="24"/>
  <c r="E689" i="24"/>
  <c r="E670" i="24"/>
  <c r="E639" i="24"/>
  <c r="E636" i="24"/>
  <c r="E679" i="24"/>
  <c r="E674" i="24"/>
  <c r="E693" i="24"/>
  <c r="E671" i="24"/>
  <c r="E624" i="24"/>
  <c r="F624" i="24" s="1"/>
  <c r="F635" i="24" s="1"/>
  <c r="E696" i="24"/>
  <c r="E629" i="24"/>
  <c r="E691" i="24"/>
  <c r="E638" i="24"/>
  <c r="E686" i="24"/>
  <c r="E705" i="24"/>
  <c r="E669" i="24"/>
  <c r="E625" i="24"/>
  <c r="E683" i="24"/>
  <c r="E632" i="24"/>
  <c r="E633" i="24"/>
  <c r="E700" i="24"/>
  <c r="E690" i="24"/>
  <c r="E685" i="24"/>
  <c r="E635" i="24"/>
  <c r="E680" i="24"/>
  <c r="E699" i="24"/>
  <c r="E643" i="24"/>
  <c r="E677" i="24"/>
  <c r="E712" i="24"/>
  <c r="E626" i="24"/>
  <c r="E628" i="24"/>
  <c r="E713" i="24"/>
  <c r="E630" i="24"/>
  <c r="E684" i="24"/>
  <c r="E710" i="24"/>
  <c r="E707" i="24"/>
  <c r="E627" i="24"/>
  <c r="E678" i="24"/>
  <c r="E709" i="24"/>
  <c r="E673" i="24"/>
  <c r="E704" i="24"/>
  <c r="E668" i="24"/>
  <c r="E687" i="24"/>
  <c r="E637" i="24"/>
  <c r="E701" i="24"/>
  <c r="E642" i="24"/>
  <c r="E682" i="24"/>
  <c r="E688" i="24"/>
  <c r="E708" i="24"/>
  <c r="E672" i="24"/>
  <c r="E703" i="24"/>
  <c r="E644" i="24"/>
  <c r="E698" i="24"/>
  <c r="E646" i="24"/>
  <c r="E681" i="24"/>
  <c r="E634" i="24"/>
  <c r="E695" i="24"/>
  <c r="E706" i="24"/>
  <c r="E645" i="24"/>
  <c r="E694" i="24"/>
  <c r="E716" i="24"/>
  <c r="E640" i="24"/>
  <c r="E676" i="24"/>
  <c r="H628" i="34"/>
  <c r="G715" i="34"/>
  <c r="F672" i="24" l="1"/>
  <c r="F698" i="24"/>
  <c r="F703" i="24"/>
  <c r="F677" i="24"/>
  <c r="F636" i="24"/>
  <c r="F692" i="24"/>
  <c r="F685" i="24"/>
  <c r="F712" i="24"/>
  <c r="F673" i="24"/>
  <c r="F634" i="24"/>
  <c r="F679" i="24"/>
  <c r="F629" i="24"/>
  <c r="F645" i="24"/>
  <c r="F638" i="24"/>
  <c r="F689" i="24"/>
  <c r="F625" i="24"/>
  <c r="G625" i="24" s="1"/>
  <c r="F678" i="24"/>
  <c r="F688" i="24"/>
  <c r="F670" i="24"/>
  <c r="F641" i="24"/>
  <c r="F668" i="24"/>
  <c r="F704" i="24"/>
  <c r="F707" i="24"/>
  <c r="F701" i="24"/>
  <c r="F683" i="24"/>
  <c r="F647" i="24"/>
  <c r="F640" i="24"/>
  <c r="F699" i="24"/>
  <c r="F696" i="24"/>
  <c r="F702" i="24"/>
  <c r="F637" i="24"/>
  <c r="F693" i="24"/>
  <c r="F680" i="24"/>
  <c r="F706" i="24"/>
  <c r="F676" i="24"/>
  <c r="F691" i="24"/>
  <c r="F682" i="24"/>
  <c r="F697" i="24"/>
  <c r="F687" i="24"/>
  <c r="F639" i="24"/>
  <c r="F710" i="24"/>
  <c r="F684" i="24"/>
  <c r="F632" i="24"/>
  <c r="F627" i="24"/>
  <c r="F669" i="24"/>
  <c r="F705" i="24"/>
  <c r="F630" i="24"/>
  <c r="F675" i="24"/>
  <c r="F671" i="24"/>
  <c r="F681" i="24"/>
  <c r="F633" i="24"/>
  <c r="F674" i="24"/>
  <c r="F626" i="24"/>
  <c r="F709" i="24"/>
  <c r="F700" i="24"/>
  <c r="F716" i="24"/>
  <c r="F642" i="24"/>
  <c r="F686" i="24"/>
  <c r="F695" i="24"/>
  <c r="F711" i="24"/>
  <c r="F628" i="24"/>
  <c r="F646" i="24"/>
  <c r="F708" i="24"/>
  <c r="F644" i="24"/>
  <c r="F694" i="24"/>
  <c r="F713" i="24"/>
  <c r="F643" i="24"/>
  <c r="F631" i="24"/>
  <c r="F690" i="24"/>
  <c r="E715" i="24"/>
  <c r="H713" i="34"/>
  <c r="H707" i="34"/>
  <c r="H701" i="34"/>
  <c r="H708" i="34"/>
  <c r="H702" i="34"/>
  <c r="H696" i="34"/>
  <c r="H710" i="34"/>
  <c r="H704" i="34"/>
  <c r="H698" i="34"/>
  <c r="H712" i="34"/>
  <c r="H706" i="34"/>
  <c r="H700" i="34"/>
  <c r="H695" i="34"/>
  <c r="H691" i="34"/>
  <c r="H685" i="34"/>
  <c r="H679" i="34"/>
  <c r="H673" i="34"/>
  <c r="H644" i="34"/>
  <c r="H641" i="34"/>
  <c r="H638" i="34"/>
  <c r="H711" i="34"/>
  <c r="H697" i="34"/>
  <c r="H692" i="34"/>
  <c r="H686" i="34"/>
  <c r="H680" i="34"/>
  <c r="H674" i="34"/>
  <c r="H668" i="34"/>
  <c r="H646" i="34"/>
  <c r="H709" i="34"/>
  <c r="H705" i="34"/>
  <c r="H694" i="34"/>
  <c r="H688" i="34"/>
  <c r="H682" i="34"/>
  <c r="H676" i="34"/>
  <c r="H670" i="34"/>
  <c r="H645" i="34"/>
  <c r="H703" i="34"/>
  <c r="H699" i="34"/>
  <c r="H690" i="34"/>
  <c r="H684" i="34"/>
  <c r="H678" i="34"/>
  <c r="H672" i="34"/>
  <c r="H647" i="34"/>
  <c r="H637" i="34"/>
  <c r="H635" i="34"/>
  <c r="H634" i="34"/>
  <c r="H632" i="34"/>
  <c r="H631" i="34"/>
  <c r="H693" i="34"/>
  <c r="H689" i="34"/>
  <c r="H675" i="34"/>
  <c r="H671" i="34"/>
  <c r="H643" i="34"/>
  <c r="H642" i="34"/>
  <c r="H636" i="34"/>
  <c r="H633" i="34"/>
  <c r="H630" i="34"/>
  <c r="H629" i="34"/>
  <c r="H716" i="34"/>
  <c r="H687" i="34"/>
  <c r="H683" i="34"/>
  <c r="H669" i="34"/>
  <c r="H640" i="34"/>
  <c r="H639" i="34"/>
  <c r="H681" i="34"/>
  <c r="H677" i="34"/>
  <c r="F715" i="24" l="1"/>
  <c r="G706" i="24"/>
  <c r="G708" i="24"/>
  <c r="G713" i="24"/>
  <c r="G631" i="24"/>
  <c r="G671" i="24"/>
  <c r="G669" i="24"/>
  <c r="G701" i="24"/>
  <c r="G695" i="24"/>
  <c r="G683" i="24"/>
  <c r="G642" i="24"/>
  <c r="G639" i="24"/>
  <c r="G640" i="24"/>
  <c r="G670" i="24"/>
  <c r="G684" i="24"/>
  <c r="G677" i="24"/>
  <c r="G710" i="24"/>
  <c r="G627" i="24"/>
  <c r="G645" i="24"/>
  <c r="G716" i="24"/>
  <c r="G709" i="24"/>
  <c r="G697" i="24"/>
  <c r="G679" i="24"/>
  <c r="G673" i="24"/>
  <c r="G629" i="24"/>
  <c r="G689" i="24"/>
  <c r="G680" i="24"/>
  <c r="G630" i="24"/>
  <c r="G674" i="24"/>
  <c r="G685" i="24"/>
  <c r="G633" i="24"/>
  <c r="G702" i="24"/>
  <c r="G626" i="24"/>
  <c r="G672" i="24"/>
  <c r="G678" i="24"/>
  <c r="G634" i="24"/>
  <c r="G636" i="24"/>
  <c r="G691" i="24"/>
  <c r="G628" i="24"/>
  <c r="G647" i="24"/>
  <c r="G704" i="24"/>
  <c r="G637" i="24"/>
  <c r="G699" i="24"/>
  <c r="G698" i="24"/>
  <c r="G688" i="24"/>
  <c r="G703" i="24"/>
  <c r="G635" i="24"/>
  <c r="G690" i="24"/>
  <c r="G646" i="24"/>
  <c r="G687" i="24"/>
  <c r="G693" i="24"/>
  <c r="G643" i="24"/>
  <c r="G681" i="24"/>
  <c r="G644" i="24"/>
  <c r="G641" i="24"/>
  <c r="G686" i="24"/>
  <c r="G712" i="24"/>
  <c r="G682" i="24"/>
  <c r="G692" i="24"/>
  <c r="G696" i="24"/>
  <c r="G705" i="24"/>
  <c r="G675" i="24"/>
  <c r="G694" i="24"/>
  <c r="G707" i="24"/>
  <c r="G668" i="24"/>
  <c r="G700" i="24"/>
  <c r="G676" i="24"/>
  <c r="G632" i="24"/>
  <c r="G711" i="24"/>
  <c r="G638" i="24"/>
  <c r="H715" i="34"/>
  <c r="I629" i="34"/>
  <c r="G715" i="24" l="1"/>
  <c r="H628" i="24"/>
  <c r="I708" i="34"/>
  <c r="I702" i="34"/>
  <c r="I696" i="34"/>
  <c r="I716" i="34"/>
  <c r="I709" i="34"/>
  <c r="I703" i="34"/>
  <c r="I697" i="34"/>
  <c r="I711" i="34"/>
  <c r="I705" i="34"/>
  <c r="I699" i="34"/>
  <c r="I713" i="34"/>
  <c r="I707" i="34"/>
  <c r="I701" i="34"/>
  <c r="I692" i="34"/>
  <c r="I686" i="34"/>
  <c r="I680" i="34"/>
  <c r="I674" i="34"/>
  <c r="I668" i="34"/>
  <c r="I646" i="34"/>
  <c r="I704" i="34"/>
  <c r="I700" i="34"/>
  <c r="I693" i="34"/>
  <c r="I687" i="34"/>
  <c r="I681" i="34"/>
  <c r="I675" i="34"/>
  <c r="I669" i="34"/>
  <c r="I643" i="34"/>
  <c r="I640" i="34"/>
  <c r="I637" i="34"/>
  <c r="I634" i="34"/>
  <c r="I631" i="34"/>
  <c r="I712" i="34"/>
  <c r="I698" i="34"/>
  <c r="I689" i="34"/>
  <c r="I683" i="34"/>
  <c r="I677" i="34"/>
  <c r="I671" i="34"/>
  <c r="I710" i="34"/>
  <c r="I706" i="34"/>
  <c r="I695" i="34"/>
  <c r="I691" i="34"/>
  <c r="I685" i="34"/>
  <c r="I679" i="34"/>
  <c r="I673" i="34"/>
  <c r="I644" i="34"/>
  <c r="I641" i="34"/>
  <c r="I638" i="34"/>
  <c r="I635" i="34"/>
  <c r="I632" i="34"/>
  <c r="I647" i="34"/>
  <c r="I645" i="34"/>
  <c r="I642" i="34"/>
  <c r="I636" i="34"/>
  <c r="I633" i="34"/>
  <c r="I630" i="34"/>
  <c r="I682" i="34"/>
  <c r="I678" i="34"/>
  <c r="I639" i="34"/>
  <c r="I694" i="34"/>
  <c r="I690" i="34"/>
  <c r="I676" i="34"/>
  <c r="I672" i="34"/>
  <c r="I688" i="34"/>
  <c r="I684" i="34"/>
  <c r="I670" i="34"/>
  <c r="H672" i="24" l="1"/>
  <c r="H707" i="24"/>
  <c r="H644" i="24"/>
  <c r="H701" i="24"/>
  <c r="H638" i="24"/>
  <c r="H639" i="24"/>
  <c r="H699" i="24"/>
  <c r="H684" i="24"/>
  <c r="H640" i="24"/>
  <c r="H698" i="24"/>
  <c r="H703" i="24"/>
  <c r="H694" i="24"/>
  <c r="H647" i="24"/>
  <c r="H687" i="24"/>
  <c r="H692" i="24"/>
  <c r="H671" i="24"/>
  <c r="H635" i="24"/>
  <c r="H642" i="24"/>
  <c r="H705" i="24"/>
  <c r="H690" i="24"/>
  <c r="H643" i="24"/>
  <c r="H704" i="24"/>
  <c r="H700" i="24"/>
  <c r="H646" i="24"/>
  <c r="H681" i="24"/>
  <c r="H675" i="24"/>
  <c r="H637" i="24"/>
  <c r="H691" i="24"/>
  <c r="H702" i="24"/>
  <c r="H711" i="24"/>
  <c r="H696" i="24"/>
  <c r="H669" i="24"/>
  <c r="H710" i="24"/>
  <c r="H706" i="24"/>
  <c r="H668" i="24"/>
  <c r="H645" i="24"/>
  <c r="H685" i="24"/>
  <c r="H712" i="24"/>
  <c r="H686" i="24"/>
  <c r="H716" i="24"/>
  <c r="H670" i="24"/>
  <c r="H683" i="24"/>
  <c r="H682" i="24"/>
  <c r="H634" i="24"/>
  <c r="H697" i="24"/>
  <c r="H673" i="24"/>
  <c r="H676" i="24"/>
  <c r="H689" i="24"/>
  <c r="H633" i="24"/>
  <c r="H674" i="24"/>
  <c r="H679" i="24"/>
  <c r="H713" i="24"/>
  <c r="H631" i="24"/>
  <c r="H695" i="24"/>
  <c r="H636" i="24"/>
  <c r="H678" i="24"/>
  <c r="H677" i="24"/>
  <c r="H641" i="24"/>
  <c r="H708" i="24"/>
  <c r="H688" i="24"/>
  <c r="H680" i="24"/>
  <c r="H630" i="24"/>
  <c r="H693" i="24"/>
  <c r="H709" i="24"/>
  <c r="H632" i="24"/>
  <c r="H629" i="24"/>
  <c r="I629" i="24" s="1"/>
  <c r="I715" i="34"/>
  <c r="J630" i="34"/>
  <c r="I642" i="24" l="1"/>
  <c r="I685" i="24"/>
  <c r="I670" i="24"/>
  <c r="I710" i="24"/>
  <c r="I713" i="24"/>
  <c r="I701" i="24"/>
  <c r="I689" i="24"/>
  <c r="I645" i="24"/>
  <c r="I635" i="24"/>
  <c r="I684" i="24"/>
  <c r="I634" i="24"/>
  <c r="I644" i="24"/>
  <c r="I692" i="24"/>
  <c r="I647" i="24"/>
  <c r="I708" i="24"/>
  <c r="I690" i="24"/>
  <c r="I707" i="24"/>
  <c r="I676" i="24"/>
  <c r="I697" i="24"/>
  <c r="I693" i="24"/>
  <c r="I687" i="24"/>
  <c r="I678" i="24"/>
  <c r="I695" i="24"/>
  <c r="I671" i="24"/>
  <c r="I682" i="24"/>
  <c r="I694" i="24"/>
  <c r="I712" i="24"/>
  <c r="I681" i="24"/>
  <c r="I668" i="24"/>
  <c r="I672" i="24"/>
  <c r="I716" i="24"/>
  <c r="I700" i="24"/>
  <c r="I704" i="24"/>
  <c r="I640" i="24"/>
  <c r="I637" i="24"/>
  <c r="I688" i="24"/>
  <c r="I630" i="24"/>
  <c r="I638" i="24"/>
  <c r="I675" i="24"/>
  <c r="I646" i="24"/>
  <c r="I669" i="24"/>
  <c r="I677" i="24"/>
  <c r="I691" i="24"/>
  <c r="I643" i="24"/>
  <c r="I686" i="24"/>
  <c r="I636" i="24"/>
  <c r="I698" i="24"/>
  <c r="I705" i="24"/>
  <c r="I699" i="24"/>
  <c r="I709" i="24"/>
  <c r="I680" i="24"/>
  <c r="I633" i="24"/>
  <c r="I706" i="24"/>
  <c r="I696" i="24"/>
  <c r="I641" i="24"/>
  <c r="I683" i="24"/>
  <c r="I711" i="24"/>
  <c r="I631" i="24"/>
  <c r="I702" i="24"/>
  <c r="I639" i="24"/>
  <c r="I679" i="24"/>
  <c r="I673" i="24"/>
  <c r="I703" i="24"/>
  <c r="I674" i="24"/>
  <c r="I632" i="24"/>
  <c r="H715" i="24"/>
  <c r="J716" i="34"/>
  <c r="J709" i="34"/>
  <c r="J703" i="34"/>
  <c r="J697" i="34"/>
  <c r="J710" i="34"/>
  <c r="J704" i="34"/>
  <c r="J698" i="34"/>
  <c r="J712" i="34"/>
  <c r="J706" i="34"/>
  <c r="J700" i="34"/>
  <c r="J708" i="34"/>
  <c r="J702" i="34"/>
  <c r="J696" i="34"/>
  <c r="J711" i="34"/>
  <c r="J707" i="34"/>
  <c r="J693" i="34"/>
  <c r="J687" i="34"/>
  <c r="J681" i="34"/>
  <c r="J675" i="34"/>
  <c r="J669" i="34"/>
  <c r="J643" i="34"/>
  <c r="J640" i="34"/>
  <c r="J694" i="34"/>
  <c r="J688" i="34"/>
  <c r="J682" i="34"/>
  <c r="J676" i="34"/>
  <c r="J670" i="34"/>
  <c r="J645" i="34"/>
  <c r="J690" i="34"/>
  <c r="J684" i="34"/>
  <c r="J678" i="34"/>
  <c r="J672" i="34"/>
  <c r="J647" i="34"/>
  <c r="J692" i="34"/>
  <c r="J686" i="34"/>
  <c r="J680" i="34"/>
  <c r="J674" i="34"/>
  <c r="J668" i="34"/>
  <c r="J646" i="34"/>
  <c r="J713" i="34"/>
  <c r="J705" i="34"/>
  <c r="J695" i="34"/>
  <c r="J689" i="34"/>
  <c r="J685" i="34"/>
  <c r="J671" i="34"/>
  <c r="J638" i="34"/>
  <c r="J639" i="34"/>
  <c r="J683" i="34"/>
  <c r="J679" i="34"/>
  <c r="J699" i="34"/>
  <c r="J644" i="34"/>
  <c r="J642" i="34"/>
  <c r="J637" i="34"/>
  <c r="J636" i="34"/>
  <c r="J635" i="34"/>
  <c r="J634" i="34"/>
  <c r="J633" i="34"/>
  <c r="J632" i="34"/>
  <c r="J631" i="34"/>
  <c r="J677" i="34"/>
  <c r="J691" i="34"/>
  <c r="J673" i="34"/>
  <c r="J641" i="34"/>
  <c r="J701" i="34"/>
  <c r="I715" i="24" l="1"/>
  <c r="J630" i="24"/>
  <c r="J715" i="34"/>
  <c r="L647" i="34"/>
  <c r="K644" i="34"/>
  <c r="J632" i="24" l="1"/>
  <c r="J679" i="24"/>
  <c r="J709" i="24"/>
  <c r="J645" i="24"/>
  <c r="J706" i="24"/>
  <c r="J692" i="24"/>
  <c r="J681" i="24"/>
  <c r="J647" i="24"/>
  <c r="J634" i="24"/>
  <c r="J691" i="24"/>
  <c r="J669" i="24"/>
  <c r="J685" i="24"/>
  <c r="J637" i="24"/>
  <c r="J712" i="24"/>
  <c r="J636" i="24"/>
  <c r="J639" i="24"/>
  <c r="J638" i="24"/>
  <c r="J680" i="24"/>
  <c r="J643" i="24"/>
  <c r="J670" i="24"/>
  <c r="J713" i="24"/>
  <c r="J704" i="24"/>
  <c r="J642" i="24"/>
  <c r="J689" i="24"/>
  <c r="J678" i="24"/>
  <c r="J693" i="24"/>
  <c r="J668" i="24"/>
  <c r="J672" i="24"/>
  <c r="J698" i="24"/>
  <c r="J705" i="24"/>
  <c r="J703" i="24"/>
  <c r="J700" i="24"/>
  <c r="J683" i="24"/>
  <c r="J695" i="24"/>
  <c r="J710" i="24"/>
  <c r="J633" i="24"/>
  <c r="J671" i="24"/>
  <c r="J682" i="24"/>
  <c r="J640" i="24"/>
  <c r="J684" i="24"/>
  <c r="J631" i="24"/>
  <c r="J677" i="24"/>
  <c r="J702" i="24"/>
  <c r="J675" i="24"/>
  <c r="J707" i="24"/>
  <c r="J716" i="24"/>
  <c r="J635" i="24"/>
  <c r="J696" i="24"/>
  <c r="J694" i="24"/>
  <c r="J711" i="24"/>
  <c r="J687" i="24"/>
  <c r="J644" i="24"/>
  <c r="J688" i="24"/>
  <c r="J646" i="24"/>
  <c r="J697" i="24"/>
  <c r="J708" i="24"/>
  <c r="J673" i="24"/>
  <c r="J676" i="24"/>
  <c r="J686" i="24"/>
  <c r="J701" i="24"/>
  <c r="J674" i="24"/>
  <c r="J641" i="24"/>
  <c r="J690" i="24"/>
  <c r="J699" i="24"/>
  <c r="L711" i="34"/>
  <c r="L705" i="34"/>
  <c r="L699" i="34"/>
  <c r="L712" i="34"/>
  <c r="L706" i="34"/>
  <c r="L700" i="34"/>
  <c r="L694" i="34"/>
  <c r="L708" i="34"/>
  <c r="L702" i="34"/>
  <c r="L696" i="34"/>
  <c r="L710" i="34"/>
  <c r="L704" i="34"/>
  <c r="L698" i="34"/>
  <c r="L697" i="34"/>
  <c r="L689" i="34"/>
  <c r="L683" i="34"/>
  <c r="L677" i="34"/>
  <c r="L671" i="34"/>
  <c r="L716" i="34"/>
  <c r="L701" i="34"/>
  <c r="L690" i="34"/>
  <c r="L684" i="34"/>
  <c r="L678" i="34"/>
  <c r="L672" i="34"/>
  <c r="L713" i="34"/>
  <c r="L695" i="34"/>
  <c r="L692" i="34"/>
  <c r="L686" i="34"/>
  <c r="L680" i="34"/>
  <c r="L674" i="34"/>
  <c r="L668" i="34"/>
  <c r="L707" i="34"/>
  <c r="L688" i="34"/>
  <c r="L682" i="34"/>
  <c r="L676" i="34"/>
  <c r="L670" i="34"/>
  <c r="L693" i="34"/>
  <c r="L675" i="34"/>
  <c r="L679" i="34"/>
  <c r="L687" i="34"/>
  <c r="L669" i="34"/>
  <c r="L709" i="34"/>
  <c r="L691" i="34"/>
  <c r="L673" i="34"/>
  <c r="L703" i="34"/>
  <c r="L685" i="34"/>
  <c r="L681" i="34"/>
  <c r="K710" i="34"/>
  <c r="K704" i="34"/>
  <c r="K698" i="34"/>
  <c r="K711" i="34"/>
  <c r="K705" i="34"/>
  <c r="K699" i="34"/>
  <c r="K713" i="34"/>
  <c r="K707" i="34"/>
  <c r="K701" i="34"/>
  <c r="K695" i="34"/>
  <c r="K716" i="34"/>
  <c r="K709" i="34"/>
  <c r="K703" i="34"/>
  <c r="K697" i="34"/>
  <c r="K700" i="34"/>
  <c r="K694" i="34"/>
  <c r="K688" i="34"/>
  <c r="K682" i="34"/>
  <c r="K676" i="34"/>
  <c r="K670" i="34"/>
  <c r="K708" i="34"/>
  <c r="K689" i="34"/>
  <c r="K683" i="34"/>
  <c r="K677" i="34"/>
  <c r="K671" i="34"/>
  <c r="K702" i="34"/>
  <c r="K691" i="34"/>
  <c r="K685" i="34"/>
  <c r="K679" i="34"/>
  <c r="K673" i="34"/>
  <c r="K696" i="34"/>
  <c r="K693" i="34"/>
  <c r="K687" i="34"/>
  <c r="K681" i="34"/>
  <c r="K675" i="34"/>
  <c r="K669" i="34"/>
  <c r="K678" i="34"/>
  <c r="K686" i="34"/>
  <c r="K668" i="34"/>
  <c r="K712" i="34"/>
  <c r="K690" i="34"/>
  <c r="K672" i="34"/>
  <c r="K680" i="34"/>
  <c r="K692" i="34"/>
  <c r="K674" i="34"/>
  <c r="K684" i="34"/>
  <c r="K706" i="34"/>
  <c r="L647" i="24" l="1"/>
  <c r="L716" i="24" s="1"/>
  <c r="J715" i="24"/>
  <c r="K644" i="24"/>
  <c r="M681" i="34"/>
  <c r="M670" i="34"/>
  <c r="M704" i="34"/>
  <c r="M710" i="34"/>
  <c r="M706" i="34"/>
  <c r="M676" i="34"/>
  <c r="M709" i="34"/>
  <c r="M674" i="34"/>
  <c r="M672" i="34"/>
  <c r="M671" i="34"/>
  <c r="M700" i="34"/>
  <c r="M678" i="34"/>
  <c r="M685" i="34"/>
  <c r="M687" i="34"/>
  <c r="M682" i="34"/>
  <c r="M686" i="34"/>
  <c r="M684" i="34"/>
  <c r="M683" i="34"/>
  <c r="M696" i="34"/>
  <c r="M712" i="34"/>
  <c r="M703" i="34"/>
  <c r="M679" i="34"/>
  <c r="M688" i="34"/>
  <c r="M692" i="34"/>
  <c r="M690" i="34"/>
  <c r="M689" i="34"/>
  <c r="M702" i="34"/>
  <c r="M699" i="34"/>
  <c r="M669" i="34"/>
  <c r="M680" i="34"/>
  <c r="M677" i="34"/>
  <c r="K715" i="34"/>
  <c r="M673" i="34"/>
  <c r="M675" i="34"/>
  <c r="M707" i="34"/>
  <c r="M695" i="34"/>
  <c r="M701" i="34"/>
  <c r="M697" i="34"/>
  <c r="M708" i="34"/>
  <c r="M705" i="34"/>
  <c r="M691" i="34"/>
  <c r="M693" i="34"/>
  <c r="L715" i="34"/>
  <c r="M668" i="34"/>
  <c r="M713" i="34"/>
  <c r="M698" i="34"/>
  <c r="M694" i="34"/>
  <c r="M711" i="34"/>
  <c r="L698" i="24" l="1"/>
  <c r="L708" i="24"/>
  <c r="L688" i="24"/>
  <c r="L689" i="24"/>
  <c r="L710" i="24"/>
  <c r="L696" i="24"/>
  <c r="L705" i="24"/>
  <c r="L700" i="24"/>
  <c r="L707" i="24"/>
  <c r="L682" i="24"/>
  <c r="L695" i="24"/>
  <c r="L712" i="24"/>
  <c r="L671" i="24"/>
  <c r="L686" i="24"/>
  <c r="L685" i="24"/>
  <c r="L701" i="24"/>
  <c r="L668" i="24"/>
  <c r="L690" i="24"/>
  <c r="L673" i="24"/>
  <c r="L681" i="24"/>
  <c r="L680" i="24"/>
  <c r="L709" i="24"/>
  <c r="L677" i="24"/>
  <c r="L703" i="24"/>
  <c r="L687" i="24"/>
  <c r="L711" i="24"/>
  <c r="L702" i="24"/>
  <c r="L694" i="24"/>
  <c r="L699" i="24"/>
  <c r="L672" i="24"/>
  <c r="L674" i="24"/>
  <c r="L684" i="24"/>
  <c r="L706" i="24"/>
  <c r="L670" i="24"/>
  <c r="L678" i="24"/>
  <c r="L697" i="24"/>
  <c r="L693" i="24"/>
  <c r="L691" i="24"/>
  <c r="L713" i="24"/>
  <c r="L692" i="24"/>
  <c r="L675" i="24"/>
  <c r="L669" i="24"/>
  <c r="L676" i="24"/>
  <c r="L683" i="24"/>
  <c r="L679" i="24"/>
  <c r="L704" i="24"/>
  <c r="K700" i="24"/>
  <c r="K681" i="24"/>
  <c r="K679" i="24"/>
  <c r="K698" i="24"/>
  <c r="K682" i="24"/>
  <c r="K701" i="24"/>
  <c r="K680" i="24"/>
  <c r="K691" i="24"/>
  <c r="K694" i="24"/>
  <c r="K716" i="24"/>
  <c r="K703" i="24"/>
  <c r="K696" i="24"/>
  <c r="K707" i="24"/>
  <c r="K674" i="24"/>
  <c r="K692" i="24"/>
  <c r="K706" i="24"/>
  <c r="K684" i="24"/>
  <c r="K689" i="24"/>
  <c r="K685" i="24"/>
  <c r="K708" i="24"/>
  <c r="K702" i="24"/>
  <c r="K687" i="24"/>
  <c r="K671" i="24"/>
  <c r="K688" i="24"/>
  <c r="K690" i="24"/>
  <c r="K677" i="24"/>
  <c r="K705" i="24"/>
  <c r="K670" i="24"/>
  <c r="K683" i="24"/>
  <c r="K713" i="24"/>
  <c r="K686" i="24"/>
  <c r="K678" i="24"/>
  <c r="K699" i="24"/>
  <c r="K672" i="24"/>
  <c r="K711" i="24"/>
  <c r="K675" i="24"/>
  <c r="K710" i="24"/>
  <c r="K709" i="24"/>
  <c r="K669" i="24"/>
  <c r="K668" i="24"/>
  <c r="K673" i="24"/>
  <c r="K693" i="24"/>
  <c r="K695" i="24"/>
  <c r="K712" i="24"/>
  <c r="M712" i="24" s="1"/>
  <c r="E215" i="32" s="1"/>
  <c r="K704" i="24"/>
  <c r="K697" i="24"/>
  <c r="K676" i="24"/>
  <c r="M715" i="34"/>
  <c r="M705" i="24" l="1"/>
  <c r="E183" i="32" s="1"/>
  <c r="M695" i="24"/>
  <c r="I119" i="32" s="1"/>
  <c r="M698" i="24"/>
  <c r="E151" i="32" s="1"/>
  <c r="M710" i="24"/>
  <c r="C215" i="32" s="1"/>
  <c r="M689" i="24"/>
  <c r="C119" i="32" s="1"/>
  <c r="M688" i="24"/>
  <c r="I87" i="32" s="1"/>
  <c r="M669" i="24"/>
  <c r="D23" i="32" s="1"/>
  <c r="M699" i="24"/>
  <c r="F151" i="32" s="1"/>
  <c r="M704" i="24"/>
  <c r="D183" i="32" s="1"/>
  <c r="M692" i="24"/>
  <c r="F119" i="32" s="1"/>
  <c r="M694" i="24"/>
  <c r="H119" i="32" s="1"/>
  <c r="M706" i="24"/>
  <c r="F183" i="32" s="1"/>
  <c r="M709" i="24"/>
  <c r="I183" i="32" s="1"/>
  <c r="M708" i="24"/>
  <c r="H183" i="32" s="1"/>
  <c r="M707" i="24"/>
  <c r="G183" i="32" s="1"/>
  <c r="M700" i="24"/>
  <c r="G151" i="32" s="1"/>
  <c r="M696" i="24"/>
  <c r="C151" i="32" s="1"/>
  <c r="M682" i="24"/>
  <c r="C87" i="32" s="1"/>
  <c r="M670" i="24"/>
  <c r="E23" i="32" s="1"/>
  <c r="M678" i="24"/>
  <c r="M677" i="24"/>
  <c r="M675" i="24"/>
  <c r="C55" i="32" s="1"/>
  <c r="M711" i="24"/>
  <c r="D215" i="32" s="1"/>
  <c r="M683" i="24"/>
  <c r="D87" i="32" s="1"/>
  <c r="M684" i="24"/>
  <c r="E87" i="32" s="1"/>
  <c r="L715" i="24"/>
  <c r="M697" i="24"/>
  <c r="D151" i="32" s="1"/>
  <c r="M672" i="24"/>
  <c r="G23" i="32" s="1"/>
  <c r="M687" i="24"/>
  <c r="H87" i="32" s="1"/>
  <c r="M690" i="24"/>
  <c r="D119" i="32" s="1"/>
  <c r="M674" i="24"/>
  <c r="I23" i="32" s="1"/>
  <c r="M693" i="24"/>
  <c r="G119" i="32" s="1"/>
  <c r="M676" i="24"/>
  <c r="D55" i="32" s="1"/>
  <c r="M673" i="24"/>
  <c r="H23" i="32" s="1"/>
  <c r="M671" i="24"/>
  <c r="F23" i="32" s="1"/>
  <c r="M703" i="24"/>
  <c r="C183" i="32" s="1"/>
  <c r="M702" i="24"/>
  <c r="I151" i="32" s="1"/>
  <c r="M679" i="24"/>
  <c r="M691" i="24"/>
  <c r="E119" i="32" s="1"/>
  <c r="M681" i="24"/>
  <c r="I55" i="32" s="1"/>
  <c r="M686" i="24"/>
  <c r="G87" i="32" s="1"/>
  <c r="M685" i="24"/>
  <c r="F87" i="32" s="1"/>
  <c r="M680" i="24"/>
  <c r="H55" i="32" s="1"/>
  <c r="M713" i="24"/>
  <c r="F215" i="32" s="1"/>
  <c r="M701" i="24"/>
  <c r="H151" i="32" s="1"/>
  <c r="K715" i="24"/>
  <c r="M668" i="24"/>
  <c r="G55" i="32" l="1"/>
  <c r="F55" i="32"/>
  <c r="E55" i="32"/>
  <c r="C23" i="32"/>
  <c r="M715" i="24"/>
</calcChain>
</file>

<file path=xl/sharedStrings.xml><?xml version="1.0" encoding="utf-8"?>
<sst xmlns="http://schemas.openxmlformats.org/spreadsheetml/2006/main" count="4850" uniqueCount="1377">
  <si>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</si>
  <si>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</si>
  <si>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</si>
  <si>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</si>
  <si>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</si>
  <si>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</si>
  <si>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</si>
  <si>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</si>
  <si>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</si>
  <si>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</si>
  <si>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</si>
  <si>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</si>
  <si>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</si>
  <si>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</si>
  <si>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</si>
  <si>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</si>
  <si>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</si>
  <si>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</si>
  <si>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</si>
  <si>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</si>
  <si>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</si>
  <si>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</si>
  <si>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</si>
  <si>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</si>
  <si>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</si>
  <si>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</si>
  <si>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</si>
  <si>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</si>
  <si>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</si>
  <si>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</si>
  <si>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</si>
  <si>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</si>
  <si>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</si>
  <si>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</si>
  <si>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</si>
  <si>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</si>
  <si>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</si>
  <si>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</si>
  <si>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</si>
  <si>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</si>
  <si>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</si>
  <si>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</si>
  <si>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</si>
  <si>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</si>
  <si>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</si>
  <si>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</si>
  <si>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</si>
  <si>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</si>
  <si>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</si>
  <si>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</si>
  <si>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</si>
  <si>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</si>
  <si>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</si>
  <si>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</si>
  <si>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</si>
  <si>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</si>
  <si>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</si>
  <si>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</si>
  <si>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</si>
  <si>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</si>
  <si>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</si>
  <si>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</si>
  <si>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</si>
  <si>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</si>
  <si>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</si>
  <si>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</si>
  <si>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</si>
  <si>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</si>
  <si>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</si>
  <si>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</si>
  <si>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</si>
  <si>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</si>
  <si>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</si>
  <si>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</si>
  <si>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</si>
  <si>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</si>
  <si>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</si>
  <si>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</si>
  <si>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</si>
  <si>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</si>
  <si>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</si>
  <si>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</si>
  <si>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</si>
  <si>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</si>
  <si>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</si>
  <si>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</si>
  <si>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</si>
  <si>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</si>
  <si>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</si>
  <si>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</si>
  <si>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</si>
  <si>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</si>
  <si>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</si>
  <si>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</si>
  <si>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</si>
  <si>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</si>
  <si>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</si>
  <si>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</si>
  <si>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</si>
  <si>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</si>
  <si>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</si>
  <si>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</si>
  <si>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</si>
  <si>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</si>
  <si>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</si>
  <si>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</si>
  <si>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</si>
  <si>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</si>
  <si>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</si>
  <si>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</si>
  <si>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</si>
  <si>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</si>
  <si>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</si>
  <si>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</si>
  <si>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</si>
  <si>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</si>
  <si>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</si>
  <si>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</si>
  <si>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</si>
  <si>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</si>
  <si>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</si>
  <si>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</si>
  <si>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</si>
  <si>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</si>
  <si>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</si>
  <si>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</si>
  <si>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</si>
  <si>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</si>
  <si>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</si>
  <si>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</si>
  <si>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</si>
  <si>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</si>
  <si>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</si>
  <si>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</si>
  <si>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</si>
  <si>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</si>
  <si>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</si>
  <si>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</si>
  <si>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</si>
  <si>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</si>
  <si>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</si>
  <si>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</si>
  <si>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</si>
  <si>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</si>
  <si>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</si>
  <si>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</si>
  <si>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</si>
  <si>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</si>
  <si>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</si>
  <si>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</si>
  <si>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</si>
  <si>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</si>
  <si>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</si>
  <si>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</si>
  <si>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</si>
  <si>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</si>
  <si>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</si>
  <si>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</si>
  <si>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</si>
  <si>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</si>
  <si>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</si>
  <si>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</si>
  <si>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</si>
  <si>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</si>
  <si>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</si>
  <si>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</si>
  <si>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</si>
  <si>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</si>
  <si>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</si>
  <si>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</si>
  <si>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</si>
  <si>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</si>
  <si>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</si>
  <si>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</si>
  <si>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</si>
  <si>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</si>
  <si>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</si>
  <si>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</si>
  <si>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</si>
  <si>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</si>
  <si>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</si>
  <si>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</si>
  <si>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</si>
  <si>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</si>
  <si>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</si>
  <si>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</si>
  <si>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</si>
  <si>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</si>
  <si>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</si>
  <si>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</si>
  <si>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</si>
  <si>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</si>
  <si>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</si>
  <si>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</si>
  <si>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</si>
  <si>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</si>
  <si>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</si>
  <si>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</si>
  <si>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</si>
  <si>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</si>
  <si>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</si>
  <si>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</si>
  <si>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</si>
  <si>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</si>
  <si>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</si>
  <si>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</si>
  <si>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</si>
  <si>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</si>
  <si>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</si>
  <si>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</si>
  <si>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</si>
  <si>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</si>
  <si>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</si>
  <si>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</si>
  <si>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</si>
  <si>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</si>
  <si>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</si>
  <si>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</si>
  <si>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</si>
  <si>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</si>
  <si>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</si>
  <si>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</si>
  <si>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</si>
  <si>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</si>
  <si>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</si>
  <si>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</si>
  <si>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</si>
  <si>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</si>
  <si>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</si>
  <si>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</si>
  <si>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</si>
  <si>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</si>
  <si>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</si>
  <si>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</si>
  <si>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</si>
  <si>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</si>
  <si>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</si>
  <si>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</si>
  <si>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</si>
  <si>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</si>
  <si>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</si>
  <si>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</si>
  <si>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</si>
  <si>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</si>
  <si>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</si>
  <si>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</si>
  <si>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</si>
  <si>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</si>
  <si>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</si>
  <si>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</si>
  <si>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</si>
  <si>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</si>
  <si>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</si>
  <si>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</si>
  <si>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</si>
  <si>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</si>
  <si>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</si>
  <si>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</si>
  <si>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</si>
  <si>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</si>
  <si>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</si>
  <si>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</si>
  <si>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</si>
  <si>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</si>
  <si>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</si>
  <si>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</si>
  <si>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</si>
  <si>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</si>
  <si>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</si>
  <si>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</si>
  <si>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</si>
  <si>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</si>
  <si>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</si>
  <si>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</si>
  <si>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</si>
  <si>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</si>
  <si>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</si>
  <si>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</si>
  <si>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</si>
  <si>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</si>
  <si>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</si>
  <si>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</si>
  <si>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</si>
  <si>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</si>
  <si>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</si>
  <si>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</si>
  <si>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</si>
  <si>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</si>
  <si>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</si>
  <si>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</si>
  <si>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</si>
  <si>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</si>
  <si>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</si>
  <si>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</si>
  <si>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</si>
  <si>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</si>
  <si>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</si>
  <si>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</si>
  <si>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</si>
  <si>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</si>
  <si>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104</t>
  </si>
  <si>
    <t>Hospital Name</t>
  </si>
  <si>
    <t>EvergreenHealth Monroe</t>
  </si>
  <si>
    <t>Mailing Address</t>
  </si>
  <si>
    <t>14701 179th Ave SE</t>
  </si>
  <si>
    <t>City</t>
  </si>
  <si>
    <t>Monroe</t>
  </si>
  <si>
    <t>State</t>
  </si>
  <si>
    <t>WA</t>
  </si>
  <si>
    <t>Zip</t>
  </si>
  <si>
    <t>County</t>
  </si>
  <si>
    <t>Snohomish</t>
  </si>
  <si>
    <t>Chief Executive Officer</t>
  </si>
  <si>
    <t>Chief Financial Officer</t>
  </si>
  <si>
    <t>Chair of Governing Board</t>
  </si>
  <si>
    <t>Telephone Number</t>
  </si>
  <si>
    <t>360-794-7497</t>
  </si>
  <si>
    <t>Facsimile Number</t>
  </si>
  <si>
    <t>360-863-4672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</si>
  <si>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</si>
  <si>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</si>
  <si>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</si>
  <si>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</si>
  <si>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</si>
  <si>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</si>
  <si>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</si>
  <si>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</si>
  <si>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</si>
  <si>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</si>
  <si>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</si>
  <si>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</si>
  <si>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</si>
  <si>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</si>
  <si>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</si>
  <si>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</si>
  <si>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</si>
  <si>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</si>
  <si>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</si>
  <si>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</si>
  <si>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</si>
  <si>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</si>
  <si>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</si>
  <si>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</si>
  <si>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</si>
  <si>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</si>
  <si>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</si>
  <si>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</si>
  <si>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</si>
  <si>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</si>
  <si>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</si>
  <si>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</si>
  <si>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</si>
  <si>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</si>
  <si>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</si>
  <si>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</si>
  <si>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</si>
  <si>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</si>
  <si>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</si>
  <si>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</si>
  <si>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</si>
  <si>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</si>
  <si>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</si>
  <si>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</si>
  <si>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</si>
  <si>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</si>
  <si>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</si>
  <si>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</si>
  <si>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</si>
  <si>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</si>
  <si>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</si>
  <si>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</si>
  <si>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</si>
  <si>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</si>
  <si>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</si>
  <si>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</si>
  <si>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</si>
  <si>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</si>
  <si>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</si>
  <si>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</si>
  <si>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</si>
  <si>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</si>
  <si>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</si>
  <si>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</si>
  <si>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</si>
  <si>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</si>
  <si>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</si>
  <si>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</si>
  <si>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</si>
  <si>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</si>
  <si>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</si>
  <si>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</si>
  <si>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</si>
  <si>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</si>
  <si>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</si>
  <si>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</si>
  <si>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</si>
  <si>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</si>
  <si>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</si>
  <si>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</si>
  <si>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</si>
  <si>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</si>
  <si>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</si>
  <si>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</si>
  <si>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</si>
  <si>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</si>
  <si>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</si>
  <si>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</si>
  <si>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</si>
  <si>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</si>
  <si>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</si>
  <si>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</si>
  <si>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</si>
  <si>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</si>
  <si>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</si>
  <si>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</si>
  <si>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</si>
  <si>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</si>
  <si>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</si>
  <si>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</si>
  <si>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</si>
  <si>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</si>
  <si>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</si>
  <si>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</si>
  <si>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</si>
  <si>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</si>
  <si>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</si>
  <si>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</si>
  <si>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</si>
  <si>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</si>
  <si>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</si>
  <si>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</si>
  <si>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</si>
  <si>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</si>
  <si>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</si>
  <si>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</si>
  <si>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</si>
  <si>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</si>
  <si>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</si>
  <si>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</si>
  <si>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</si>
  <si>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</si>
  <si>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</si>
  <si>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</si>
  <si>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</si>
  <si>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</si>
  <si>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</si>
  <si>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</si>
  <si>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</si>
  <si>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</si>
  <si>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</si>
  <si>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</si>
  <si>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</si>
  <si>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</si>
  <si>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</si>
  <si>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</si>
  <si>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</si>
  <si>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</si>
  <si>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</si>
  <si>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</si>
  <si>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</si>
  <si>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</si>
  <si>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</si>
  <si>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</si>
  <si>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</si>
  <si>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</si>
  <si>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</si>
  <si>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</si>
  <si>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</si>
  <si>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</si>
  <si>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</si>
  <si>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</si>
  <si>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</si>
  <si>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</si>
  <si>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</si>
  <si>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</si>
  <si>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</si>
  <si>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</si>
  <si>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</si>
  <si>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</si>
  <si>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</si>
  <si>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</si>
  <si>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</si>
  <si>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</si>
  <si>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</si>
  <si>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</si>
  <si>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</si>
  <si>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</si>
  <si>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</si>
  <si>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</si>
  <si>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</si>
  <si>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</si>
  <si>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</si>
  <si>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</si>
  <si>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</si>
  <si>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</si>
  <si>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</si>
  <si>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</si>
  <si>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</si>
  <si>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</si>
  <si>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</si>
  <si>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</si>
  <si>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</si>
  <si>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</si>
  <si>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</si>
  <si>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</si>
  <si>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</si>
  <si>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</si>
  <si>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</si>
  <si>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</si>
  <si>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</si>
  <si>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</si>
  <si>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</si>
  <si>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</si>
  <si>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</si>
  <si>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</si>
  <si>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</si>
  <si>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</si>
  <si>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</si>
  <si>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</si>
  <si>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</si>
  <si>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</si>
  <si>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</si>
  <si>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</si>
  <si>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</si>
  <si>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</si>
  <si>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</si>
  <si>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</si>
  <si>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</si>
  <si>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</si>
  <si>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</si>
  <si>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</si>
  <si>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</si>
  <si>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</si>
  <si>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</si>
  <si>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</si>
  <si>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</si>
  <si>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</si>
  <si>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</si>
  <si>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</si>
  <si>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</si>
  <si>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</si>
  <si>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</si>
  <si>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</si>
  <si>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</si>
  <si>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</si>
  <si>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</si>
  <si>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</si>
  <si>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</si>
  <si>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</si>
  <si>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</si>
  <si>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</si>
  <si>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</si>
  <si>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</si>
  <si>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</si>
  <si>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</si>
  <si>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</si>
  <si>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</si>
  <si>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</si>
  <si>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</si>
  <si>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</si>
  <si>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</si>
  <si>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</si>
  <si>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</si>
  <si>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</si>
  <si>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</si>
  <si>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</si>
  <si>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</si>
  <si>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</si>
  <si>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</si>
  <si>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</si>
  <si>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</si>
  <si>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</si>
  <si>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</si>
  <si>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</si>
  <si>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</si>
  <si>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</si>
  <si>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</si>
  <si>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</si>
  <si>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</si>
  <si>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</si>
  <si>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</si>
  <si>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</si>
  <si>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</si>
  <si>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</si>
  <si>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</si>
  <si>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</si>
  <si>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</si>
  <si>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</si>
  <si>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</si>
  <si>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</si>
  <si>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</si>
  <si>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</si>
  <si>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</si>
  <si>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</si>
  <si>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</si>
  <si>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</si>
  <si>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</si>
  <si>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</si>
  <si>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</si>
  <si>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</si>
  <si>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</si>
  <si>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</si>
  <si>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</si>
  <si>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</si>
  <si>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</si>
  <si>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</si>
  <si>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</si>
  <si>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</si>
  <si>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</si>
  <si>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</si>
  <si>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</si>
  <si>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</si>
  <si>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</si>
  <si>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</si>
  <si>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</si>
  <si>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</si>
  <si>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</si>
  <si>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</si>
  <si>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</si>
  <si>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</si>
  <si>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</si>
  <si>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</si>
  <si>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</si>
  <si>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</si>
  <si>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</si>
  <si>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</si>
  <si>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</si>
  <si>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</si>
  <si>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</si>
  <si>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</si>
  <si>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</si>
  <si>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</si>
  <si>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</si>
  <si>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</si>
  <si>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</si>
  <si>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</si>
  <si>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</si>
  <si>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</si>
  <si>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</si>
  <si>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</si>
  <si>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</si>
  <si>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</si>
  <si>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</si>
  <si>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</si>
  <si>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</si>
  <si>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</si>
  <si>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</si>
  <si>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</si>
  <si>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</si>
  <si>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</si>
  <si>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</si>
  <si>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</si>
  <si>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</si>
  <si>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</si>
  <si>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</si>
  <si>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</si>
  <si>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</si>
  <si>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</si>
  <si>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</si>
  <si>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</si>
  <si>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</si>
  <si>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</si>
  <si>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</si>
  <si>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</si>
  <si>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</si>
  <si>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</si>
  <si>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</si>
  <si>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</si>
  <si>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</si>
  <si>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</si>
  <si>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</si>
  <si>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</si>
  <si>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</si>
  <si>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</si>
  <si>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</si>
  <si>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</si>
  <si>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</si>
  <si>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</si>
  <si>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</si>
  <si>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</si>
  <si>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</si>
  <si>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</si>
  <si>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</si>
  <si>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</si>
  <si>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</si>
  <si>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</si>
  <si>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</si>
  <si>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</si>
  <si>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</si>
  <si>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</si>
  <si>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</si>
  <si>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</si>
  <si>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</si>
  <si>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</si>
  <si>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</si>
  <si>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</si>
  <si>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</si>
  <si>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</si>
  <si>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</si>
  <si>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</si>
  <si>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</si>
  <si>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</si>
  <si>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</si>
  <si>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</si>
  <si>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</si>
  <si>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</si>
  <si>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</si>
  <si>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</si>
  <si>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</si>
  <si>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</si>
  <si>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</si>
  <si>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</si>
  <si>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</si>
  <si>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</si>
  <si>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</si>
  <si>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</si>
  <si>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</si>
  <si>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</si>
  <si>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</si>
  <si>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</si>
  <si>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</si>
  <si>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</si>
  <si>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</si>
  <si>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</si>
  <si>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</si>
  <si>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</si>
  <si>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</si>
  <si>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</si>
  <si>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</si>
  <si>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</si>
  <si>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</si>
  <si>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</si>
  <si>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</si>
  <si>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</si>
  <si>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</si>
  <si>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</si>
  <si>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</si>
  <si>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</si>
  <si>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</si>
  <si>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</si>
  <si>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</si>
  <si>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</si>
  <si>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</si>
  <si>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</si>
  <si>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</si>
  <si>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</si>
  <si>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</si>
  <si>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</si>
  <si>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</si>
  <si>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</si>
  <si>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</si>
  <si>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</si>
  <si>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</si>
  <si>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</si>
  <si>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</si>
  <si>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</si>
  <si>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</si>
  <si>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</si>
  <si>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</si>
  <si>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</si>
  <si>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</si>
  <si>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</si>
  <si>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</si>
  <si>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</si>
  <si>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</si>
  <si>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</si>
  <si>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</si>
  <si>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</si>
  <si>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</si>
  <si>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</si>
  <si>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</si>
  <si>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</si>
  <si>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</si>
  <si>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</si>
  <si>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</si>
  <si>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</si>
  <si>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</si>
  <si>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</si>
  <si>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</si>
  <si>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</si>
  <si>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</si>
  <si>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</si>
  <si>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</si>
  <si>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</si>
  <si>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</si>
  <si>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</si>
  <si>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</si>
  <si>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</si>
  <si>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</si>
  <si>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</si>
  <si>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</si>
  <si>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</si>
  <si>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</si>
  <si>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</si>
  <si>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</si>
  <si>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</si>
  <si>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</si>
  <si>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</si>
  <si>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</si>
  <si>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</si>
  <si>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</si>
  <si>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</si>
  <si>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</si>
  <si>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</si>
  <si>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</si>
  <si>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</si>
  <si>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</si>
  <si>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</si>
  <si>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</si>
  <si>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</si>
  <si>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</si>
  <si>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</si>
  <si>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</si>
  <si>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</si>
  <si>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</si>
  <si>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</si>
  <si>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</si>
  <si>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</si>
  <si>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</si>
  <si>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</si>
  <si>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</si>
  <si>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</si>
  <si>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</si>
  <si>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</si>
  <si>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</si>
  <si>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</si>
  <si>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</si>
  <si>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</si>
  <si>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</si>
  <si>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</si>
  <si>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</si>
  <si>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</si>
  <si>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</si>
  <si>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</si>
  <si>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</si>
  <si>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</si>
  <si>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</si>
  <si>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</si>
  <si>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</si>
  <si>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</si>
  <si>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</si>
  <si>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</si>
  <si>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</si>
  <si>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</si>
  <si>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</si>
  <si>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</si>
  <si>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</si>
  <si>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</si>
  <si>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</si>
  <si>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</si>
  <si>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</si>
  <si>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</si>
  <si>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</si>
  <si>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</si>
  <si>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</si>
  <si>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</si>
  <si>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</si>
  <si>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</si>
  <si>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</si>
  <si>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</si>
  <si>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</si>
  <si>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</si>
  <si>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</si>
  <si>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</si>
  <si>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</si>
  <si>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</si>
  <si>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</si>
  <si>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</si>
  <si>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</si>
  <si>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</si>
  <si>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</si>
  <si>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</si>
  <si>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</si>
  <si>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</si>
  <si>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</si>
  <si>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</si>
  <si>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</si>
  <si>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</si>
  <si>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</si>
  <si>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</si>
  <si>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</si>
  <si>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</si>
  <si>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</si>
  <si>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</si>
  <si>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</si>
  <si>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</si>
  <si>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</si>
  <si>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</si>
  <si>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</si>
  <si>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</si>
  <si>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</si>
  <si>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</si>
  <si>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</si>
  <si>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</si>
  <si>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</si>
  <si>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</si>
  <si>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</si>
  <si>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</si>
  <si>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</si>
  <si>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</si>
  <si>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</si>
  <si>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</si>
  <si>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</si>
  <si>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</si>
  <si>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</si>
  <si>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</si>
  <si>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</si>
  <si>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</si>
  <si>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</si>
  <si>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</si>
  <si>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</si>
  <si>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</si>
  <si>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</si>
  <si>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</si>
  <si>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</si>
  <si>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</si>
  <si>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</si>
  <si>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</si>
  <si>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</si>
  <si>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</si>
  <si>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</si>
  <si>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</si>
  <si>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</si>
  <si>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</si>
  <si>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</si>
  <si>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</si>
  <si>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</si>
  <si>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</si>
  <si>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</si>
  <si>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</si>
  <si>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</si>
  <si>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</si>
  <si>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</si>
  <si>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</si>
  <si>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</si>
  <si>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</si>
  <si>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</si>
  <si>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</si>
  <si>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</si>
  <si>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</si>
  <si>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</si>
  <si>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</si>
  <si>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</si>
  <si>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</si>
  <si>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</si>
  <si>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</si>
  <si>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</si>
  <si>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</si>
  <si>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</si>
  <si>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</si>
  <si>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</si>
  <si>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</si>
  <si>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</si>
  <si>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</si>
  <si>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</si>
  <si>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</si>
  <si>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</si>
  <si>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</si>
  <si>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</si>
  <si>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</si>
  <si>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</si>
  <si>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</si>
  <si>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</si>
  <si>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</si>
  <si>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</si>
  <si>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</si>
  <si>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</si>
  <si>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</si>
  <si>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</si>
  <si>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</si>
  <si>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</si>
  <si>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</si>
  <si>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</si>
  <si>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</si>
  <si>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</si>
  <si>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</si>
  <si>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</si>
  <si>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</si>
  <si>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</si>
  <si>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</si>
  <si>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</si>
  <si>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</si>
  <si>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</si>
  <si>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</si>
  <si>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</si>
  <si>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</si>
  <si>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</si>
  <si>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</si>
  <si>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</si>
  <si>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</si>
  <si>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</si>
  <si>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</si>
  <si>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</si>
  <si>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</si>
  <si>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</si>
  <si>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</si>
  <si>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</si>
  <si>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</si>
  <si>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</si>
  <si>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</si>
  <si>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</si>
  <si>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</si>
  <si>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</si>
  <si>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</si>
  <si>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</si>
  <si>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</si>
  <si>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</si>
  <si>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</si>
  <si>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</si>
  <si>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</si>
  <si>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</si>
  <si>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</si>
  <si>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</si>
  <si>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</si>
  <si>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</si>
  <si>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</si>
  <si>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</si>
  <si>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</si>
  <si>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</si>
  <si>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</si>
  <si>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</si>
  <si>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</si>
  <si>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</si>
  <si>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</si>
  <si>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</si>
  <si>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</si>
  <si>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</si>
  <si>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</si>
  <si>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</si>
  <si>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</si>
  <si>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</si>
  <si>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</si>
  <si>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</si>
  <si>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</si>
  <si>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</si>
  <si>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</si>
  <si>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</si>
  <si>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</si>
  <si>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</si>
  <si>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</si>
  <si>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</si>
  <si>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</si>
  <si>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</si>
  <si>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</si>
  <si>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</si>
  <si>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</si>
  <si>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</si>
  <si>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</si>
  <si>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</si>
  <si>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</si>
  <si>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</si>
  <si>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</si>
  <si>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</si>
  <si>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</si>
  <si>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</si>
  <si>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</si>
  <si>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</si>
  <si>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</si>
  <si>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</si>
  <si>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</si>
  <si>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 xml:space="preserve">Lisa LaPlante </t>
  </si>
  <si>
    <t>Ann Peterson</t>
  </si>
  <si>
    <t>Karen Gahm</t>
  </si>
  <si>
    <t>Rubyann Toledo</t>
  </si>
  <si>
    <t>rtoledo@evergreenhealthmonroe.com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</si>
  <si>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</si>
  <si>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</si>
  <si>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</si>
  <si>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</si>
  <si>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</si>
  <si>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</si>
  <si>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</si>
  <si>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</si>
  <si>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</si>
  <si>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</si>
  <si>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</si>
  <si>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</si>
  <si>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</si>
  <si>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</si>
  <si>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</si>
  <si>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</si>
  <si>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</si>
  <si>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</si>
  <si>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</si>
  <si>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</si>
  <si>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</si>
  <si>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</si>
  <si>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</si>
  <si>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</si>
  <si>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</si>
  <si>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</si>
  <si>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</si>
  <si>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</si>
  <si>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</si>
  <si>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</si>
  <si>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</si>
  <si>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</si>
  <si>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</si>
  <si>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</si>
  <si>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</si>
  <si>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</si>
  <si>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</si>
  <si>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</si>
  <si>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</si>
  <si>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</si>
  <si>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</si>
  <si>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</si>
  <si>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</si>
  <si>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</si>
  <si>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</si>
  <si>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</si>
  <si>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</si>
  <si>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</si>
  <si>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</si>
  <si>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</si>
  <si>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</si>
  <si>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</si>
  <si>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</si>
  <si>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</si>
  <si>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</si>
  <si>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</si>
  <si>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</si>
  <si>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</si>
  <si>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</si>
  <si>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</si>
  <si>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</si>
  <si>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</si>
  <si>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</si>
  <si>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</si>
  <si>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</si>
  <si>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</si>
  <si>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</si>
  <si>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</si>
  <si>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</si>
  <si>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</si>
  <si>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</si>
  <si>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</si>
  <si>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</si>
  <si>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</si>
  <si>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</si>
  <si>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</si>
  <si>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</si>
  <si>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</si>
  <si>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</si>
  <si>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</si>
  <si>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</si>
  <si>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</si>
  <si>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</si>
  <si>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</si>
  <si>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</si>
  <si>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</si>
  <si>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</si>
  <si>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</si>
  <si>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</si>
  <si>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</si>
  <si>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</si>
  <si>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</si>
  <si>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</si>
  <si>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</si>
  <si>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</si>
  <si>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</si>
  <si>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</si>
  <si>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</si>
  <si>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</si>
  <si>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</si>
  <si>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</si>
  <si>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</si>
  <si>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</si>
  <si>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</si>
  <si>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</si>
  <si>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</si>
  <si>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</si>
  <si>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</si>
  <si>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</si>
  <si>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</si>
  <si>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</si>
  <si>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</si>
  <si>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</si>
  <si>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</si>
  <si>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</si>
  <si>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</si>
  <si>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</si>
  <si>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</si>
  <si>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</si>
  <si>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</si>
  <si>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</si>
  <si>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</si>
  <si>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</si>
  <si>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</si>
  <si>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</si>
  <si>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</si>
  <si>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</si>
  <si>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</si>
  <si>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</si>
  <si>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</si>
  <si>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</si>
  <si>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</si>
  <si>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</si>
  <si>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</si>
  <si>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</si>
  <si>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</si>
  <si>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</si>
  <si>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</si>
  <si>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</si>
  <si>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</si>
  <si>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</si>
  <si>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</si>
  <si>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</si>
  <si>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</si>
  <si>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</si>
  <si>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</si>
  <si>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</si>
  <si>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</si>
  <si>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</si>
  <si>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</si>
  <si>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</si>
  <si>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</si>
  <si>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</si>
  <si>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</si>
  <si>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</si>
  <si>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</si>
  <si>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</si>
  <si>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</si>
  <si>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</si>
  <si>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</si>
  <si>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</si>
  <si>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</si>
  <si>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</si>
  <si>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</si>
  <si>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</si>
  <si>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</si>
  <si>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</si>
  <si>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</si>
  <si>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</si>
  <si>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</si>
  <si>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</si>
  <si>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</si>
  <si>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</si>
  <si>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</si>
  <si>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</si>
  <si>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</si>
  <si>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</si>
  <si>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</si>
  <si>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</si>
  <si>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</si>
  <si>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</si>
  <si>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</si>
  <si>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</si>
  <si>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</si>
  <si>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</si>
  <si>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</si>
  <si>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</si>
  <si>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</si>
  <si>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</si>
  <si>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</si>
  <si>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</si>
  <si>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</si>
  <si>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</si>
  <si>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</si>
  <si>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</si>
  <si>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</si>
  <si>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</si>
  <si>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</si>
  <si>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</si>
  <si>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</si>
  <si>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</si>
  <si>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</si>
  <si>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</si>
  <si>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</si>
  <si>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</si>
  <si>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</si>
  <si>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</si>
  <si>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</si>
  <si>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</si>
  <si>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</si>
  <si>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</si>
  <si>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</si>
  <si>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</si>
  <si>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</si>
  <si>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</si>
  <si>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</si>
  <si>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</si>
  <si>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</si>
  <si>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</si>
  <si>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</si>
  <si>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</si>
  <si>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</si>
  <si>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</si>
  <si>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</si>
  <si>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</si>
  <si>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</si>
  <si>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</si>
  <si>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</si>
  <si>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</si>
  <si>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</si>
  <si>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</si>
  <si>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</si>
  <si>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</si>
  <si>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</si>
  <si>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</si>
  <si>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</si>
  <si>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</si>
  <si>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</si>
  <si>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</si>
  <si>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</si>
  <si>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</si>
  <si>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</si>
  <si>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</si>
  <si>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</si>
  <si>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</si>
  <si>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</si>
  <si>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</si>
  <si>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</si>
  <si>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</si>
  <si>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</si>
  <si>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</si>
  <si>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</si>
  <si>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</si>
  <si>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</si>
  <si>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</si>
  <si>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</si>
  <si>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</si>
  <si>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</si>
  <si>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</si>
  <si>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</si>
  <si>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</si>
  <si>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</si>
  <si>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</si>
  <si>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</si>
  <si>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</si>
  <si>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</si>
  <si>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</si>
  <si>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</si>
  <si>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</si>
  <si>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</si>
  <si>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</si>
  <si>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</si>
  <si>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</si>
  <si>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</si>
  <si>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</si>
  <si>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</si>
  <si>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</si>
  <si>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</si>
  <si>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</si>
  <si>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</si>
  <si>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</si>
  <si>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</si>
  <si>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</si>
  <si>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</si>
  <si>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</si>
  <si>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</si>
  <si>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</si>
  <si>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</si>
  <si>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</si>
  <si>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</si>
  <si>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</si>
  <si>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</si>
  <si>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</si>
  <si>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</si>
  <si>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</si>
  <si>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</si>
  <si>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</si>
  <si>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</si>
  <si>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</si>
  <si>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</si>
  <si>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</si>
  <si>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</si>
  <si>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</si>
  <si>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</si>
  <si>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</si>
  <si>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Lisa LaPlante</t>
  </si>
  <si>
    <t>Signature of Director of Financial Reporting</t>
  </si>
  <si>
    <t>Daria Heimerman</t>
  </si>
  <si>
    <t>National Union Insurance (roof repair)</t>
  </si>
  <si>
    <t>Increase in visits from new clinics in 2024 (Multi-Specialty dept).  Wound Center closed in mid-2023, but expenses from contracts continued through 2024</t>
  </si>
  <si>
    <t xml:space="preserve">Rubyann </t>
  </si>
  <si>
    <t>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</si>
</sst>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8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16" fillId="30" borderId="0" xfId="0" applyFont="1" applyFill="1"/>
    <xf numFmtId="37" fontId="52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2" fillId="7" borderId="0" xfId="0" applyFont="1" applyFill="1"/>
    <xf numFmtId="37" fontId="12" fillId="7" borderId="0" xfId="0" applyFont="1" applyFill="1" applyAlignment="1">
      <alignment vertical="center"/>
    </xf>
    <xf numFmtId="2" fontId="12" fillId="7" borderId="0" xfId="0" applyNumberFormat="1" applyFont="1" applyFill="1"/>
    <xf numFmtId="10" fontId="12" fillId="7" borderId="0" xfId="0" applyNumberFormat="1" applyFont="1" applyFill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rtoledo@evergreenhealthmonroe.com" TargetMode="External"/><Relationship Id="rId9" Type="http://schemas.openxmlformats.org/officeDocument/2006/relationships/hyperlink" Target="mailto:doh.information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>
        <v>-863.16</v>
      </c>
      <c r="E47" s="273">
        <f>329560.37+626697.01</f>
        <v>956257.38</v>
      </c>
      <c r="F47" s="273"/>
      <c r="G47" s="273"/>
      <c r="H47" s="273"/>
      <c r="I47" s="273">
        <f>530696.93+299489.97</f>
        <v>830186.9</v>
      </c>
      <c r="J47" s="273"/>
      <c r="K47" s="273"/>
      <c r="L47" s="273"/>
      <c r="M47" s="273"/>
      <c r="N47" s="273">
        <f>23274.23+27204.58</f>
        <v>50478.81</v>
      </c>
      <c r="O47" s="273"/>
      <c r="P47" s="273">
        <f>154417.08+113430.42</f>
        <v>267847.5</v>
      </c>
      <c r="Q47" s="273">
        <f>73374.43+44944.19</f>
        <v>118318.62</v>
      </c>
      <c r="R47" s="273"/>
      <c r="S47" s="273">
        <f>30297.6+19607.83</f>
        <v>49905.43</v>
      </c>
      <c r="T47" s="273"/>
      <c r="U47" s="273">
        <f>150362.81+243019.06</f>
        <v>393381.87</v>
      </c>
      <c r="V47" s="273"/>
      <c r="W47" s="273">
        <f>15494.64+22316.86</f>
        <v>37811.5</v>
      </c>
      <c r="X47" s="273">
        <f>115462.14+95980.78</f>
        <v>211442.91999999998</v>
      </c>
      <c r="Y47" s="273">
        <f>91533.84+53291.86</f>
        <v>144825.70000000001</v>
      </c>
      <c r="Z47" s="273"/>
      <c r="AA47" s="273"/>
      <c r="AB47" s="273">
        <f>118025.85+88491.18</f>
        <v>206517.03</v>
      </c>
      <c r="AC47" s="273">
        <f>82766.88+42992.14</f>
        <v>125759.02</v>
      </c>
      <c r="AD47" s="273"/>
      <c r="AE47" s="273">
        <f>155193.12+93310.91</f>
        <v>248504.03</v>
      </c>
      <c r="AF47" s="273"/>
      <c r="AG47" s="273">
        <f>498283.29+342753.02</f>
        <v>841036.31</v>
      </c>
      <c r="AH47" s="273"/>
      <c r="AI47" s="273"/>
      <c r="AJ47" s="273">
        <f>87495.62+63226.74</f>
        <v>150722.35999999999</v>
      </c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>
        <f>184704.35+81553.95</f>
        <v>266258.3</v>
      </c>
      <c r="BA47" s="273"/>
      <c r="BB47" s="273"/>
      <c r="BC47" s="273"/>
      <c r="BD47" s="273"/>
      <c r="BE47" s="273">
        <f>85615.08+47095.33</f>
        <v>132710.41</v>
      </c>
      <c r="BF47" s="273">
        <f>266396.26+99420.73</f>
        <v>365816.99</v>
      </c>
      <c r="BG47" s="273"/>
      <c r="BH47" s="273"/>
      <c r="BI47" s="273"/>
      <c r="BJ47" s="273"/>
      <c r="BK47" s="273"/>
      <c r="BL47" s="273"/>
      <c r="BM47" s="273"/>
      <c r="BN47" s="273">
        <f>112768.74+348826.81</f>
        <v>461595.55</v>
      </c>
      <c r="BO47" s="273">
        <f>26491.32+8825.75</f>
        <v>35317.07</v>
      </c>
      <c r="BP47" s="273"/>
      <c r="BQ47" s="273"/>
      <c r="BR47" s="273">
        <f>73653.36+40121.88</f>
        <v>113775.23999999999</v>
      </c>
      <c r="BS47" s="273"/>
      <c r="BT47" s="273"/>
      <c r="BU47" s="273"/>
      <c r="BV47" s="273"/>
      <c r="BW47" s="273">
        <f>27563.52+9516.89</f>
        <v>37080.410000000003</v>
      </c>
      <c r="BX47" s="273">
        <f>56064.73+42664.93</f>
        <v>98729.66</v>
      </c>
      <c r="BY47" s="273">
        <f>91512.86+63957.42</f>
        <v>155470.28</v>
      </c>
      <c r="BZ47" s="273"/>
      <c r="CA47" s="273">
        <f>7673.25+6354.94</f>
        <v>14028.189999999999</v>
      </c>
      <c r="CB47" s="273"/>
      <c r="CC47" s="273">
        <f>98962.28+491782.34</f>
        <v>590744.62</v>
      </c>
      <c r="CD47" s="16"/>
      <c r="CE47" s="25">
        <f>SUM(C47:CC47)</f>
        <v>6903658.9400000023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1926249.2899999998</v>
      </c>
      <c r="C51" s="273">
        <v>3180.8</v>
      </c>
      <c r="D51" s="273">
        <v>633.09</v>
      </c>
      <c r="E51" s="273">
        <v>45853.31</v>
      </c>
      <c r="F51" s="273"/>
      <c r="G51" s="273"/>
      <c r="H51" s="273"/>
      <c r="I51" s="273">
        <v>403036.51</v>
      </c>
      <c r="J51" s="273"/>
      <c r="K51" s="273"/>
      <c r="L51" s="273"/>
      <c r="M51" s="273"/>
      <c r="N51" s="273"/>
      <c r="O51" s="273"/>
      <c r="P51" s="273">
        <v>71686.12</v>
      </c>
      <c r="Q51" s="273"/>
      <c r="R51" s="273"/>
      <c r="S51" s="273"/>
      <c r="T51" s="273"/>
      <c r="U51" s="273">
        <v>36053.129999999997</v>
      </c>
      <c r="V51" s="273"/>
      <c r="W51" s="273">
        <v>223104.77</v>
      </c>
      <c r="X51" s="273">
        <v>81607.09</v>
      </c>
      <c r="Y51" s="273">
        <v>36925.630000000005</v>
      </c>
      <c r="Z51" s="273"/>
      <c r="AA51" s="273"/>
      <c r="AB51" s="273"/>
      <c r="AC51" s="273">
        <v>4220.45</v>
      </c>
      <c r="AD51" s="273"/>
      <c r="AE51" s="273">
        <v>73775.81</v>
      </c>
      <c r="AF51" s="273"/>
      <c r="AG51" s="273">
        <v>92991.049999999988</v>
      </c>
      <c r="AH51" s="273"/>
      <c r="AI51" s="273"/>
      <c r="AJ51" s="273">
        <v>3180.8</v>
      </c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>
        <v>863.16</v>
      </c>
      <c r="BA51" s="273"/>
      <c r="BB51" s="273"/>
      <c r="BC51" s="273"/>
      <c r="BD51" s="273"/>
      <c r="BE51" s="273">
        <v>424440.63999999996</v>
      </c>
      <c r="BF51" s="273"/>
      <c r="BG51" s="273"/>
      <c r="BH51" s="273">
        <v>208910.18</v>
      </c>
      <c r="BI51" s="273"/>
      <c r="BJ51" s="273"/>
      <c r="BK51" s="273"/>
      <c r="BL51" s="273"/>
      <c r="BM51" s="273"/>
      <c r="BN51" s="273">
        <v>73093.8</v>
      </c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>
        <v>4187.2700000000004</v>
      </c>
      <c r="CB51" s="273"/>
      <c r="CC51" s="273">
        <v>138505.68</v>
      </c>
      <c r="CD51" s="16"/>
      <c r="CE51" s="25">
        <f>SUM(C51:CD51)</f>
        <v>1926249.2899999998</v>
      </c>
    </row>
    <row r="52" spans="1:83" x14ac:dyDescent="0.25">
      <c r="A52" s="31" t="s">
        <v>234</v>
      </c>
      <c r="B52" s="272">
        <v>770265.48000000021</v>
      </c>
      <c r="C52" s="25">
        <f t="shared" ref="C52:AH52" si="3">IF($B$52,ROUND(($B$52/($CE$90+$CF$90)*C90),0))</f>
        <v>0</v>
      </c>
      <c r="D52" s="25">
        <f t="shared" si="3"/>
        <v>20258</v>
      </c>
      <c r="E52" s="25">
        <f t="shared" si="3"/>
        <v>84944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59382</v>
      </c>
      <c r="Q52" s="25">
        <f t="shared" si="3"/>
        <v>41850</v>
      </c>
      <c r="R52" s="25">
        <f t="shared" si="3"/>
        <v>1676</v>
      </c>
      <c r="S52" s="25">
        <f t="shared" si="3"/>
        <v>0</v>
      </c>
      <c r="T52" s="25">
        <f t="shared" si="3"/>
        <v>0</v>
      </c>
      <c r="U52" s="25">
        <f t="shared" si="3"/>
        <v>11786</v>
      </c>
      <c r="V52" s="25">
        <f t="shared" si="3"/>
        <v>0</v>
      </c>
      <c r="W52" s="25">
        <f t="shared" si="3"/>
        <v>4420</v>
      </c>
      <c r="X52" s="25">
        <f t="shared" si="3"/>
        <v>3729</v>
      </c>
      <c r="Y52" s="25">
        <f t="shared" si="3"/>
        <v>32946</v>
      </c>
      <c r="Z52" s="25">
        <f t="shared" si="3"/>
        <v>0</v>
      </c>
      <c r="AA52" s="25">
        <f t="shared" si="3"/>
        <v>0</v>
      </c>
      <c r="AB52" s="25">
        <f t="shared" si="3"/>
        <v>7468</v>
      </c>
      <c r="AC52" s="25">
        <f t="shared" si="3"/>
        <v>7044</v>
      </c>
      <c r="AD52" s="25">
        <f t="shared" si="3"/>
        <v>0</v>
      </c>
      <c r="AE52" s="25">
        <f t="shared" si="3"/>
        <v>2394</v>
      </c>
      <c r="AF52" s="25">
        <f t="shared" si="3"/>
        <v>0</v>
      </c>
      <c r="AG52" s="25">
        <f t="shared" si="3"/>
        <v>71822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35681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55662</v>
      </c>
      <c r="AW52" s="25">
        <f t="shared" si="4"/>
        <v>0</v>
      </c>
      <c r="AX52" s="25">
        <f t="shared" si="4"/>
        <v>0</v>
      </c>
      <c r="AY52" s="25">
        <f t="shared" si="4"/>
        <v>0</v>
      </c>
      <c r="AZ52" s="25">
        <f t="shared" si="4"/>
        <v>40847</v>
      </c>
      <c r="BA52" s="25">
        <f t="shared" si="4"/>
        <v>3803</v>
      </c>
      <c r="BB52" s="25">
        <f t="shared" si="4"/>
        <v>0</v>
      </c>
      <c r="BC52" s="25">
        <f t="shared" si="4"/>
        <v>0</v>
      </c>
      <c r="BD52" s="25">
        <f t="shared" si="4"/>
        <v>29650</v>
      </c>
      <c r="BE52" s="25">
        <f t="shared" si="4"/>
        <v>96463</v>
      </c>
      <c r="BF52" s="25">
        <f t="shared" si="4"/>
        <v>3545</v>
      </c>
      <c r="BG52" s="25">
        <f t="shared" si="4"/>
        <v>0</v>
      </c>
      <c r="BH52" s="25">
        <f t="shared" si="4"/>
        <v>15746</v>
      </c>
      <c r="BI52" s="25">
        <f t="shared" si="4"/>
        <v>0</v>
      </c>
      <c r="BJ52" s="25">
        <f t="shared" si="4"/>
        <v>0</v>
      </c>
      <c r="BK52" s="25">
        <f t="shared" si="4"/>
        <v>11050</v>
      </c>
      <c r="BL52" s="25">
        <f t="shared" si="4"/>
        <v>3867</v>
      </c>
      <c r="BM52" s="25">
        <f t="shared" si="4"/>
        <v>0</v>
      </c>
      <c r="BN52" s="25">
        <f t="shared" si="4"/>
        <v>76638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25110</v>
      </c>
      <c r="BW52" s="25">
        <f t="shared" si="5"/>
        <v>0</v>
      </c>
      <c r="BX52" s="25">
        <f t="shared" si="5"/>
        <v>0</v>
      </c>
      <c r="BY52" s="25">
        <f t="shared" si="5"/>
        <v>6878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15608</v>
      </c>
      <c r="CD52" s="25">
        <f t="shared" si="5"/>
        <v>0</v>
      </c>
      <c r="CE52" s="25">
        <f>SUM(C52:CD52)</f>
        <v>770267</v>
      </c>
    </row>
    <row r="53" spans="1:83" x14ac:dyDescent="0.25">
      <c r="A53" s="16" t="s">
        <v>232</v>
      </c>
      <c r="B53" s="25">
        <f>B51+B52</f>
        <v>2696514.77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>
        <v>4533.8900000000003</v>
      </c>
      <c r="F59" s="273"/>
      <c r="G59" s="273"/>
      <c r="H59" s="273"/>
      <c r="I59" s="273">
        <v>7039</v>
      </c>
      <c r="J59" s="273"/>
      <c r="K59" s="273"/>
      <c r="L59" s="273"/>
      <c r="M59" s="273"/>
      <c r="N59" s="273"/>
      <c r="O59" s="273"/>
      <c r="P59" s="274">
        <v>111841</v>
      </c>
      <c r="Q59" s="275">
        <v>99732</v>
      </c>
      <c r="R59" s="275">
        <v>120814</v>
      </c>
      <c r="S59" s="263">
        <v>0</v>
      </c>
      <c r="T59" s="263">
        <v>0</v>
      </c>
      <c r="U59" s="276">
        <v>179142</v>
      </c>
      <c r="V59" s="275">
        <v>909</v>
      </c>
      <c r="W59" s="275"/>
      <c r="X59" s="275"/>
      <c r="Y59" s="275"/>
      <c r="Z59" s="275"/>
      <c r="AA59" s="275"/>
      <c r="AB59" s="263">
        <v>0</v>
      </c>
      <c r="AC59" s="275">
        <f>900+691</f>
        <v>1591</v>
      </c>
      <c r="AD59" s="275"/>
      <c r="AE59" s="275"/>
      <c r="AF59" s="275"/>
      <c r="AG59" s="275">
        <v>19970</v>
      </c>
      <c r="AH59" s="275"/>
      <c r="AI59" s="275"/>
      <c r="AJ59" s="275">
        <v>2413</v>
      </c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/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83652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>
        <v>-0.19501617381845246</v>
      </c>
      <c r="E60" s="277">
        <v>31.785799482819488</v>
      </c>
      <c r="F60" s="277"/>
      <c r="G60" s="277"/>
      <c r="H60" s="277"/>
      <c r="I60" s="277">
        <v>28.670283113388486</v>
      </c>
      <c r="J60" s="277"/>
      <c r="K60" s="277"/>
      <c r="L60" s="277"/>
      <c r="M60" s="277"/>
      <c r="N60" s="277">
        <v>1.3692115382780368</v>
      </c>
      <c r="O60" s="277"/>
      <c r="P60" s="274">
        <v>8.351048197024781</v>
      </c>
      <c r="Q60" s="274">
        <v>2.8705283447361136</v>
      </c>
      <c r="R60" s="274"/>
      <c r="S60" s="278">
        <v>1.9473563679042738</v>
      </c>
      <c r="T60" s="278"/>
      <c r="U60" s="279">
        <v>16.923148121642381</v>
      </c>
      <c r="V60" s="274"/>
      <c r="W60" s="274">
        <v>2.7023158617925738</v>
      </c>
      <c r="X60" s="274">
        <v>7.9626475443467966</v>
      </c>
      <c r="Y60" s="274">
        <v>7.6889808108856004</v>
      </c>
      <c r="Z60" s="274"/>
      <c r="AA60" s="274"/>
      <c r="AB60" s="278">
        <v>5.1352780083779423</v>
      </c>
      <c r="AC60" s="274">
        <v>4.7671017853223789</v>
      </c>
      <c r="AD60" s="274"/>
      <c r="AE60" s="274">
        <v>7.8961392761381317</v>
      </c>
      <c r="AF60" s="274"/>
      <c r="AG60" s="274">
        <v>30.11953835437361</v>
      </c>
      <c r="AH60" s="274"/>
      <c r="AI60" s="274"/>
      <c r="AJ60" s="274">
        <v>4.8791734653956622</v>
      </c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8"/>
      <c r="AW60" s="278"/>
      <c r="AX60" s="278"/>
      <c r="AY60" s="274"/>
      <c r="AZ60" s="274">
        <v>15.668484432103361</v>
      </c>
      <c r="BA60" s="278"/>
      <c r="BB60" s="278"/>
      <c r="BC60" s="278"/>
      <c r="BD60" s="278"/>
      <c r="BE60" s="274">
        <v>5.7407895113503002</v>
      </c>
      <c r="BF60" s="278">
        <v>16.584647754272464</v>
      </c>
      <c r="BG60" s="278"/>
      <c r="BH60" s="278"/>
      <c r="BI60" s="278">
        <v>-2.7672019771181021E-2</v>
      </c>
      <c r="BJ60" s="278"/>
      <c r="BK60" s="278"/>
      <c r="BL60" s="278"/>
      <c r="BM60" s="278"/>
      <c r="BN60" s="278">
        <v>6.8050124524088966</v>
      </c>
      <c r="BO60" s="278">
        <v>0.40176432981230731</v>
      </c>
      <c r="BP60" s="278"/>
      <c r="BQ60" s="278"/>
      <c r="BR60" s="278">
        <v>2.9982538001316805</v>
      </c>
      <c r="BS60" s="278"/>
      <c r="BT60" s="278"/>
      <c r="BU60" s="278"/>
      <c r="BV60" s="278"/>
      <c r="BW60" s="278">
        <v>0.80248380232635796</v>
      </c>
      <c r="BX60" s="278">
        <v>3.7955133159667551</v>
      </c>
      <c r="BY60" s="278">
        <v>5.3666972013091723</v>
      </c>
      <c r="BZ60" s="278"/>
      <c r="CA60" s="278">
        <v>0.31469288829091879</v>
      </c>
      <c r="CB60" s="278"/>
      <c r="CC60" s="278">
        <v>1.5376291758509144</v>
      </c>
      <c r="CD60" s="209" t="s">
        <v>247</v>
      </c>
      <c r="CE60" s="227">
        <f t="shared" ref="CE60:CE68" si="6">SUM(C60:CD60)</f>
        <v>222.86183074265972</v>
      </c>
    </row>
    <row r="61" spans="1:83" x14ac:dyDescent="0.25">
      <c r="A61" s="31" t="s">
        <v>262</v>
      </c>
      <c r="B61" s="16"/>
      <c r="C61" s="273"/>
      <c r="D61" s="273">
        <v>-29086.03</v>
      </c>
      <c r="E61" s="273">
        <v>3926762.5400000005</v>
      </c>
      <c r="F61" s="273"/>
      <c r="G61" s="273"/>
      <c r="H61" s="273"/>
      <c r="I61" s="273">
        <v>2916261.1500000004</v>
      </c>
      <c r="J61" s="273"/>
      <c r="K61" s="273"/>
      <c r="L61" s="273"/>
      <c r="M61" s="273"/>
      <c r="N61" s="273">
        <v>109008.88999999998</v>
      </c>
      <c r="O61" s="273"/>
      <c r="P61" s="275">
        <v>1211449.28</v>
      </c>
      <c r="Q61" s="275">
        <v>429912.26</v>
      </c>
      <c r="R61" s="275"/>
      <c r="S61" s="280">
        <v>187780.81</v>
      </c>
      <c r="T61" s="280"/>
      <c r="U61" s="276">
        <v>1498084.55</v>
      </c>
      <c r="V61" s="275"/>
      <c r="W61" s="275">
        <v>574538.02</v>
      </c>
      <c r="X61" s="275">
        <v>1215792.1499999999</v>
      </c>
      <c r="Y61" s="275">
        <v>1269587.1199999999</v>
      </c>
      <c r="Z61" s="275"/>
      <c r="AA61" s="275"/>
      <c r="AB61" s="281">
        <v>816957.85</v>
      </c>
      <c r="AC61" s="275">
        <v>563983.71000000008</v>
      </c>
      <c r="AD61" s="275"/>
      <c r="AE61" s="275">
        <v>806228.96000000008</v>
      </c>
      <c r="AF61" s="275"/>
      <c r="AG61" s="275">
        <v>3546664.11</v>
      </c>
      <c r="AH61" s="275"/>
      <c r="AI61" s="275"/>
      <c r="AJ61" s="275">
        <v>757501.02999999991</v>
      </c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80"/>
      <c r="AW61" s="280"/>
      <c r="AX61" s="280"/>
      <c r="AY61" s="275"/>
      <c r="AZ61" s="275">
        <v>955826.99</v>
      </c>
      <c r="BA61" s="280"/>
      <c r="BB61" s="280"/>
      <c r="BC61" s="280"/>
      <c r="BD61" s="280"/>
      <c r="BE61" s="275">
        <v>532661.88</v>
      </c>
      <c r="BF61" s="280">
        <v>996074.16999999993</v>
      </c>
      <c r="BG61" s="280"/>
      <c r="BH61" s="280"/>
      <c r="BI61" s="280">
        <v>30323.77</v>
      </c>
      <c r="BJ61" s="280"/>
      <c r="BK61" s="280"/>
      <c r="BL61" s="280"/>
      <c r="BM61" s="280"/>
      <c r="BN61" s="280">
        <v>1680452.2400000002</v>
      </c>
      <c r="BO61" s="280">
        <v>59950.43</v>
      </c>
      <c r="BP61" s="280"/>
      <c r="BQ61" s="280"/>
      <c r="BR61" s="280">
        <v>336793.8</v>
      </c>
      <c r="BS61" s="280"/>
      <c r="BT61" s="280"/>
      <c r="BU61" s="280"/>
      <c r="BV61" s="280"/>
      <c r="BW61" s="280">
        <v>87075.12</v>
      </c>
      <c r="BX61" s="280">
        <v>464263.93</v>
      </c>
      <c r="BY61" s="280">
        <v>744315.17999999993</v>
      </c>
      <c r="BZ61" s="280"/>
      <c r="CA61" s="280">
        <v>38757.47</v>
      </c>
      <c r="CB61" s="280"/>
      <c r="CC61" s="280">
        <v>422449.77999999997</v>
      </c>
      <c r="CD61" s="24" t="s">
        <v>247</v>
      </c>
      <c r="CE61" s="25">
        <f t="shared" si="6"/>
        <v>26150371.160000004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-863</v>
      </c>
      <c r="E62" s="25">
        <f t="shared" si="7"/>
        <v>956257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830187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50479</v>
      </c>
      <c r="O62" s="25">
        <f t="shared" si="7"/>
        <v>0</v>
      </c>
      <c r="P62" s="25">
        <f t="shared" si="7"/>
        <v>267848</v>
      </c>
      <c r="Q62" s="25">
        <f t="shared" si="7"/>
        <v>118319</v>
      </c>
      <c r="R62" s="25">
        <f t="shared" si="7"/>
        <v>0</v>
      </c>
      <c r="S62" s="25">
        <f t="shared" si="7"/>
        <v>49905</v>
      </c>
      <c r="T62" s="25">
        <f t="shared" si="7"/>
        <v>0</v>
      </c>
      <c r="U62" s="25">
        <f t="shared" si="7"/>
        <v>393382</v>
      </c>
      <c r="V62" s="25">
        <f t="shared" si="7"/>
        <v>0</v>
      </c>
      <c r="W62" s="25">
        <f t="shared" si="7"/>
        <v>37812</v>
      </c>
      <c r="X62" s="25">
        <f t="shared" si="7"/>
        <v>211443</v>
      </c>
      <c r="Y62" s="25">
        <f t="shared" si="7"/>
        <v>144826</v>
      </c>
      <c r="Z62" s="25">
        <f t="shared" si="7"/>
        <v>0</v>
      </c>
      <c r="AA62" s="25">
        <f t="shared" si="7"/>
        <v>0</v>
      </c>
      <c r="AB62" s="25">
        <f t="shared" si="7"/>
        <v>206517</v>
      </c>
      <c r="AC62" s="25">
        <f t="shared" si="7"/>
        <v>125759</v>
      </c>
      <c r="AD62" s="25">
        <f t="shared" si="7"/>
        <v>0</v>
      </c>
      <c r="AE62" s="25">
        <f t="shared" si="7"/>
        <v>248504</v>
      </c>
      <c r="AF62" s="25">
        <f t="shared" si="7"/>
        <v>0</v>
      </c>
      <c r="AG62" s="25">
        <f t="shared" si="7"/>
        <v>841036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150722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0</v>
      </c>
      <c r="AZ62" s="25">
        <f t="shared" si="8"/>
        <v>266258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132710</v>
      </c>
      <c r="BF62" s="25">
        <f t="shared" si="8"/>
        <v>365817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461596</v>
      </c>
      <c r="BO62" s="25">
        <f t="shared" ref="BO62:CC62" si="9">ROUND(BO47+BO48,0)</f>
        <v>35317</v>
      </c>
      <c r="BP62" s="25">
        <f t="shared" si="9"/>
        <v>0</v>
      </c>
      <c r="BQ62" s="25">
        <f t="shared" si="9"/>
        <v>0</v>
      </c>
      <c r="BR62" s="25">
        <f t="shared" si="9"/>
        <v>113775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37080</v>
      </c>
      <c r="BX62" s="25">
        <f t="shared" si="9"/>
        <v>98730</v>
      </c>
      <c r="BY62" s="25">
        <f t="shared" si="9"/>
        <v>155470</v>
      </c>
      <c r="BZ62" s="25">
        <f t="shared" si="9"/>
        <v>0</v>
      </c>
      <c r="CA62" s="25">
        <f t="shared" si="9"/>
        <v>14028</v>
      </c>
      <c r="CB62" s="25">
        <f t="shared" si="9"/>
        <v>0</v>
      </c>
      <c r="CC62" s="25">
        <f t="shared" si="9"/>
        <v>590745</v>
      </c>
      <c r="CD62" s="24" t="s">
        <v>247</v>
      </c>
      <c r="CE62" s="25">
        <f t="shared" si="6"/>
        <v>6903659</v>
      </c>
    </row>
    <row r="63" spans="1:83" x14ac:dyDescent="0.25">
      <c r="A63" s="31" t="s">
        <v>263</v>
      </c>
      <c r="B63" s="16"/>
      <c r="C63" s="273"/>
      <c r="D63" s="273"/>
      <c r="E63" s="273">
        <v>400</v>
      </c>
      <c r="F63" s="273"/>
      <c r="G63" s="273"/>
      <c r="H63" s="273"/>
      <c r="I63" s="273"/>
      <c r="J63" s="273"/>
      <c r="K63" s="273"/>
      <c r="L63" s="273"/>
      <c r="M63" s="273"/>
      <c r="N63" s="273">
        <v>500</v>
      </c>
      <c r="O63" s="273"/>
      <c r="P63" s="275"/>
      <c r="Q63" s="275"/>
      <c r="R63" s="275"/>
      <c r="S63" s="280"/>
      <c r="T63" s="280"/>
      <c r="U63" s="276">
        <v>8267.24</v>
      </c>
      <c r="V63" s="275"/>
      <c r="W63" s="275"/>
      <c r="X63" s="275"/>
      <c r="Y63" s="275"/>
      <c r="Z63" s="275"/>
      <c r="AA63" s="275"/>
      <c r="AB63" s="281"/>
      <c r="AC63" s="275"/>
      <c r="AD63" s="275"/>
      <c r="AE63" s="275">
        <v>16982.53</v>
      </c>
      <c r="AF63" s="275"/>
      <c r="AG63" s="275">
        <v>663578.44000000006</v>
      </c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>
        <v>108213.69</v>
      </c>
      <c r="BA63" s="280"/>
      <c r="BB63" s="280"/>
      <c r="BC63" s="280"/>
      <c r="BD63" s="280"/>
      <c r="BE63" s="275"/>
      <c r="BF63" s="280"/>
      <c r="BG63" s="280"/>
      <c r="BH63" s="280"/>
      <c r="BI63" s="280">
        <v>6026.5</v>
      </c>
      <c r="BJ63" s="280">
        <v>60902.57</v>
      </c>
      <c r="BK63" s="280">
        <v>112.29</v>
      </c>
      <c r="BL63" s="280"/>
      <c r="BM63" s="280"/>
      <c r="BN63" s="280">
        <v>110042.02</v>
      </c>
      <c r="BO63" s="280">
        <v>0</v>
      </c>
      <c r="BP63" s="280"/>
      <c r="BQ63" s="280"/>
      <c r="BR63" s="280">
        <v>107128.75</v>
      </c>
      <c r="BS63" s="280"/>
      <c r="BT63" s="280"/>
      <c r="BU63" s="280"/>
      <c r="BV63" s="280"/>
      <c r="BW63" s="280">
        <v>660910</v>
      </c>
      <c r="BX63" s="280"/>
      <c r="BY63" s="280"/>
      <c r="BZ63" s="280"/>
      <c r="CA63" s="280"/>
      <c r="CB63" s="280"/>
      <c r="CC63" s="280">
        <v>10989</v>
      </c>
      <c r="CD63" s="24" t="s">
        <v>247</v>
      </c>
      <c r="CE63" s="25">
        <f t="shared" si="6"/>
        <v>1754053.0300000003</v>
      </c>
    </row>
    <row r="64" spans="1:83" x14ac:dyDescent="0.25">
      <c r="A64" s="31" t="s">
        <v>264</v>
      </c>
      <c r="B64" s="16"/>
      <c r="C64" s="273"/>
      <c r="D64" s="273"/>
      <c r="E64" s="273">
        <v>325178.47000000003</v>
      </c>
      <c r="F64" s="273"/>
      <c r="G64" s="273"/>
      <c r="H64" s="273">
        <v>95893.4</v>
      </c>
      <c r="I64" s="273">
        <v>181678.83000000002</v>
      </c>
      <c r="J64" s="273"/>
      <c r="K64" s="273"/>
      <c r="L64" s="273"/>
      <c r="M64" s="273"/>
      <c r="N64" s="273">
        <v>581.4</v>
      </c>
      <c r="O64" s="273"/>
      <c r="P64" s="275">
        <v>3186100.5800000005</v>
      </c>
      <c r="Q64" s="275">
        <v>8912.5</v>
      </c>
      <c r="R64" s="275">
        <v>42799.96</v>
      </c>
      <c r="S64" s="280">
        <v>83014.75</v>
      </c>
      <c r="T64" s="280"/>
      <c r="U64" s="276">
        <v>1145120.71</v>
      </c>
      <c r="V64" s="275"/>
      <c r="W64" s="275">
        <v>28009.749999999996</v>
      </c>
      <c r="X64" s="275">
        <v>3535.18</v>
      </c>
      <c r="Y64" s="275">
        <v>166771.80999999997</v>
      </c>
      <c r="Z64" s="275"/>
      <c r="AA64" s="275"/>
      <c r="AB64" s="281">
        <v>768099.58999999985</v>
      </c>
      <c r="AC64" s="275">
        <v>26335.43</v>
      </c>
      <c r="AD64" s="275"/>
      <c r="AE64" s="275">
        <v>11538.220000000001</v>
      </c>
      <c r="AF64" s="275"/>
      <c r="AG64" s="275">
        <v>607220.75</v>
      </c>
      <c r="AH64" s="275"/>
      <c r="AI64" s="275"/>
      <c r="AJ64" s="275">
        <v>72670.579999999987</v>
      </c>
      <c r="AK64" s="275"/>
      <c r="AL64" s="275"/>
      <c r="AM64" s="275"/>
      <c r="AN64" s="275"/>
      <c r="AO64" s="275"/>
      <c r="AP64" s="275"/>
      <c r="AQ64" s="275"/>
      <c r="AR64" s="275"/>
      <c r="AS64" s="275"/>
      <c r="AT64" s="275"/>
      <c r="AU64" s="275"/>
      <c r="AV64" s="280"/>
      <c r="AW64" s="280"/>
      <c r="AX64" s="280"/>
      <c r="AY64" s="275"/>
      <c r="AZ64" s="275">
        <v>346301.41999999993</v>
      </c>
      <c r="BA64" s="280"/>
      <c r="BB64" s="280"/>
      <c r="BC64" s="280"/>
      <c r="BD64" s="280">
        <v>-1995.12</v>
      </c>
      <c r="BE64" s="275">
        <v>157805.29</v>
      </c>
      <c r="BF64" s="280">
        <v>70364.53</v>
      </c>
      <c r="BG64" s="280">
        <v>49026.479999999996</v>
      </c>
      <c r="BH64" s="280"/>
      <c r="BI64" s="280">
        <v>0</v>
      </c>
      <c r="BJ64" s="280"/>
      <c r="BK64" s="280">
        <v>943.8</v>
      </c>
      <c r="BL64" s="280">
        <v>2903.71</v>
      </c>
      <c r="BM64" s="280"/>
      <c r="BN64" s="280">
        <v>41108.450000000004</v>
      </c>
      <c r="BO64" s="280">
        <v>3882.96</v>
      </c>
      <c r="BP64" s="280">
        <v>1689.63</v>
      </c>
      <c r="BQ64" s="280"/>
      <c r="BR64" s="280">
        <v>1084.18</v>
      </c>
      <c r="BS64" s="280"/>
      <c r="BT64" s="280"/>
      <c r="BU64" s="280"/>
      <c r="BV64" s="280">
        <v>443.24</v>
      </c>
      <c r="BW64" s="280">
        <v>1119.51</v>
      </c>
      <c r="BX64" s="280">
        <v>588.23</v>
      </c>
      <c r="BY64" s="280">
        <v>1015.12</v>
      </c>
      <c r="BZ64" s="280"/>
      <c r="CA64" s="280">
        <v>10503.769999999999</v>
      </c>
      <c r="CB64" s="280"/>
      <c r="CC64" s="280">
        <v>4221.72</v>
      </c>
      <c r="CD64" s="24" t="s">
        <v>247</v>
      </c>
      <c r="CE64" s="25">
        <f t="shared" si="6"/>
        <v>7444468.8299999991</v>
      </c>
    </row>
    <row r="65" spans="1:83" x14ac:dyDescent="0.25">
      <c r="A65" s="31" t="s">
        <v>265</v>
      </c>
      <c r="B65" s="16"/>
      <c r="C65" s="273"/>
      <c r="D65" s="273"/>
      <c r="E65" s="273">
        <v>0</v>
      </c>
      <c r="F65" s="273"/>
      <c r="G65" s="273"/>
      <c r="H65" s="273"/>
      <c r="I65" s="273">
        <v>60190.76</v>
      </c>
      <c r="J65" s="273"/>
      <c r="K65" s="273"/>
      <c r="L65" s="273"/>
      <c r="M65" s="273"/>
      <c r="N65" s="273">
        <v>0</v>
      </c>
      <c r="O65" s="273"/>
      <c r="P65" s="275">
        <v>475.21</v>
      </c>
      <c r="Q65" s="275"/>
      <c r="R65" s="275">
        <v>0</v>
      </c>
      <c r="S65" s="280"/>
      <c r="T65" s="280"/>
      <c r="U65" s="276">
        <v>0</v>
      </c>
      <c r="V65" s="275"/>
      <c r="W65" s="275">
        <v>0</v>
      </c>
      <c r="X65" s="275">
        <v>0</v>
      </c>
      <c r="Y65" s="275">
        <v>0</v>
      </c>
      <c r="Z65" s="275"/>
      <c r="AA65" s="275"/>
      <c r="AB65" s="281">
        <v>0</v>
      </c>
      <c r="AC65" s="275">
        <v>475.21</v>
      </c>
      <c r="AD65" s="275"/>
      <c r="AE65" s="275">
        <v>0</v>
      </c>
      <c r="AF65" s="275"/>
      <c r="AG65" s="275">
        <v>910.37</v>
      </c>
      <c r="AH65" s="275"/>
      <c r="AI65" s="275"/>
      <c r="AJ65" s="275">
        <v>0</v>
      </c>
      <c r="AK65" s="275"/>
      <c r="AL65" s="275"/>
      <c r="AM65" s="275"/>
      <c r="AN65" s="275"/>
      <c r="AO65" s="275"/>
      <c r="AP65" s="275">
        <v>115.89</v>
      </c>
      <c r="AQ65" s="275"/>
      <c r="AR65" s="275"/>
      <c r="AS65" s="275"/>
      <c r="AT65" s="275"/>
      <c r="AU65" s="275"/>
      <c r="AV65" s="280"/>
      <c r="AW65" s="280"/>
      <c r="AX65" s="280"/>
      <c r="AY65" s="275"/>
      <c r="AZ65" s="275">
        <v>0</v>
      </c>
      <c r="BA65" s="280"/>
      <c r="BB65" s="280"/>
      <c r="BC65" s="280"/>
      <c r="BD65" s="280">
        <v>0</v>
      </c>
      <c r="BE65" s="275">
        <v>528062.99000000011</v>
      </c>
      <c r="BF65" s="280">
        <v>-10000</v>
      </c>
      <c r="BG65" s="280">
        <v>2659.34</v>
      </c>
      <c r="BH65" s="280"/>
      <c r="BI65" s="280">
        <v>0</v>
      </c>
      <c r="BJ65" s="280"/>
      <c r="BK65" s="280">
        <v>0</v>
      </c>
      <c r="BL65" s="280"/>
      <c r="BM65" s="280"/>
      <c r="BN65" s="280">
        <v>0</v>
      </c>
      <c r="BO65" s="280">
        <v>0</v>
      </c>
      <c r="BP65" s="280">
        <v>0</v>
      </c>
      <c r="BQ65" s="280"/>
      <c r="BR65" s="280">
        <v>0</v>
      </c>
      <c r="BS65" s="280"/>
      <c r="BT65" s="280"/>
      <c r="BU65" s="280"/>
      <c r="BV65" s="280"/>
      <c r="BW65" s="280">
        <v>0</v>
      </c>
      <c r="BX65" s="280">
        <v>359.32</v>
      </c>
      <c r="BY65" s="280">
        <v>475.21</v>
      </c>
      <c r="BZ65" s="280"/>
      <c r="CA65" s="280"/>
      <c r="CB65" s="280"/>
      <c r="CC65" s="280">
        <v>0</v>
      </c>
      <c r="CD65" s="24" t="s">
        <v>247</v>
      </c>
      <c r="CE65" s="25">
        <f t="shared" si="6"/>
        <v>583724.30000000005</v>
      </c>
    </row>
    <row r="66" spans="1:83" x14ac:dyDescent="0.25">
      <c r="A66" s="31" t="s">
        <v>266</v>
      </c>
      <c r="B66" s="16"/>
      <c r="C66" s="273"/>
      <c r="D66" s="273"/>
      <c r="E66" s="273">
        <v>33682.68</v>
      </c>
      <c r="F66" s="273"/>
      <c r="G66" s="273"/>
      <c r="H66" s="273"/>
      <c r="I66" s="273">
        <v>338861.77</v>
      </c>
      <c r="J66" s="273"/>
      <c r="K66" s="273"/>
      <c r="L66" s="273"/>
      <c r="M66" s="273"/>
      <c r="N66" s="273">
        <v>1574445.43</v>
      </c>
      <c r="O66" s="273"/>
      <c r="P66" s="275">
        <v>192885.4</v>
      </c>
      <c r="Q66" s="275"/>
      <c r="R66" s="275">
        <v>696886.79</v>
      </c>
      <c r="S66" s="280"/>
      <c r="T66" s="280"/>
      <c r="U66" s="276">
        <v>941767.8899999999</v>
      </c>
      <c r="V66" s="275"/>
      <c r="W66" s="275">
        <v>79204.56</v>
      </c>
      <c r="X66" s="275">
        <v>74040.63</v>
      </c>
      <c r="Y66" s="275">
        <v>154186.54999999999</v>
      </c>
      <c r="Z66" s="275"/>
      <c r="AA66" s="275"/>
      <c r="AB66" s="281">
        <v>24913.64</v>
      </c>
      <c r="AC66" s="275">
        <v>187.98</v>
      </c>
      <c r="AD66" s="275"/>
      <c r="AE66" s="275">
        <v>136.5</v>
      </c>
      <c r="AF66" s="275"/>
      <c r="AG66" s="275">
        <v>19181.91</v>
      </c>
      <c r="AH66" s="275"/>
      <c r="AI66" s="275"/>
      <c r="AJ66" s="275">
        <v>90066.31</v>
      </c>
      <c r="AK66" s="275">
        <v>277.62</v>
      </c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80"/>
      <c r="AW66" s="280"/>
      <c r="AX66" s="280">
        <v>69418.81</v>
      </c>
      <c r="AY66" s="275"/>
      <c r="AZ66" s="275">
        <v>18822.38</v>
      </c>
      <c r="BA66" s="280">
        <v>293503.45999999996</v>
      </c>
      <c r="BB66" s="280"/>
      <c r="BC66" s="280"/>
      <c r="BD66" s="280">
        <v>4183.72</v>
      </c>
      <c r="BE66" s="275">
        <v>524579.52</v>
      </c>
      <c r="BF66" s="280">
        <v>121152.44</v>
      </c>
      <c r="BG66" s="280">
        <v>5393.42</v>
      </c>
      <c r="BH66" s="280">
        <v>2256866</v>
      </c>
      <c r="BI66" s="280">
        <v>545.49</v>
      </c>
      <c r="BJ66" s="280"/>
      <c r="BK66" s="280">
        <v>2774394.08</v>
      </c>
      <c r="BL66" s="280"/>
      <c r="BM66" s="280"/>
      <c r="BN66" s="280">
        <v>742916.33000000007</v>
      </c>
      <c r="BO66" s="280">
        <v>78.97</v>
      </c>
      <c r="BP66" s="280">
        <v>120398.63</v>
      </c>
      <c r="BQ66" s="280"/>
      <c r="BR66" s="280">
        <v>113518.23000000001</v>
      </c>
      <c r="BS66" s="280"/>
      <c r="BT66" s="280"/>
      <c r="BU66" s="280"/>
      <c r="BV66" s="280"/>
      <c r="BW66" s="280">
        <v>14486.97</v>
      </c>
      <c r="BX66" s="280">
        <v>143423.64000000001</v>
      </c>
      <c r="BY66" s="280"/>
      <c r="BZ66" s="280"/>
      <c r="CA66" s="280"/>
      <c r="CB66" s="280"/>
      <c r="CC66" s="280">
        <v>2602905.33</v>
      </c>
      <c r="CD66" s="24" t="s">
        <v>247</v>
      </c>
      <c r="CE66" s="25">
        <f t="shared" si="6"/>
        <v>14027313.080000004</v>
      </c>
    </row>
    <row r="67" spans="1:83" x14ac:dyDescent="0.25">
      <c r="A67" s="31" t="s">
        <v>15</v>
      </c>
      <c r="B67" s="16"/>
      <c r="C67" s="25">
        <f t="shared" ref="C67:AH67" si="10">ROUND(C51+C52,0)</f>
        <v>3181</v>
      </c>
      <c r="D67" s="25">
        <f t="shared" si="10"/>
        <v>20891</v>
      </c>
      <c r="E67" s="25">
        <f t="shared" si="10"/>
        <v>130797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403037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131068</v>
      </c>
      <c r="Q67" s="25">
        <f t="shared" si="10"/>
        <v>41850</v>
      </c>
      <c r="R67" s="25">
        <f t="shared" si="10"/>
        <v>1676</v>
      </c>
      <c r="S67" s="25">
        <f t="shared" si="10"/>
        <v>0</v>
      </c>
      <c r="T67" s="25">
        <f t="shared" si="10"/>
        <v>0</v>
      </c>
      <c r="U67" s="25">
        <f t="shared" si="10"/>
        <v>47839</v>
      </c>
      <c r="V67" s="25">
        <f t="shared" si="10"/>
        <v>0</v>
      </c>
      <c r="W67" s="25">
        <f t="shared" si="10"/>
        <v>227525</v>
      </c>
      <c r="X67" s="25">
        <f t="shared" si="10"/>
        <v>85336</v>
      </c>
      <c r="Y67" s="25">
        <f t="shared" si="10"/>
        <v>69872</v>
      </c>
      <c r="Z67" s="25">
        <f t="shared" si="10"/>
        <v>0</v>
      </c>
      <c r="AA67" s="25">
        <f t="shared" si="10"/>
        <v>0</v>
      </c>
      <c r="AB67" s="25">
        <f t="shared" si="10"/>
        <v>7468</v>
      </c>
      <c r="AC67" s="25">
        <f t="shared" si="10"/>
        <v>11264</v>
      </c>
      <c r="AD67" s="25">
        <f t="shared" si="10"/>
        <v>0</v>
      </c>
      <c r="AE67" s="25">
        <f t="shared" si="10"/>
        <v>76170</v>
      </c>
      <c r="AF67" s="25">
        <f t="shared" si="10"/>
        <v>0</v>
      </c>
      <c r="AG67" s="25">
        <f t="shared" si="10"/>
        <v>164813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38862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55662</v>
      </c>
      <c r="AW67" s="25">
        <f t="shared" si="11"/>
        <v>0</v>
      </c>
      <c r="AX67" s="25">
        <f t="shared" si="11"/>
        <v>0</v>
      </c>
      <c r="AY67" s="25">
        <f t="shared" si="11"/>
        <v>0</v>
      </c>
      <c r="AZ67" s="25">
        <f t="shared" si="11"/>
        <v>41710</v>
      </c>
      <c r="BA67" s="25">
        <f t="shared" si="11"/>
        <v>3803</v>
      </c>
      <c r="BB67" s="25">
        <f t="shared" si="11"/>
        <v>0</v>
      </c>
      <c r="BC67" s="25">
        <f t="shared" si="11"/>
        <v>0</v>
      </c>
      <c r="BD67" s="25">
        <f t="shared" si="11"/>
        <v>29650</v>
      </c>
      <c r="BE67" s="25">
        <f t="shared" si="11"/>
        <v>520904</v>
      </c>
      <c r="BF67" s="25">
        <f t="shared" si="11"/>
        <v>3545</v>
      </c>
      <c r="BG67" s="25">
        <f t="shared" si="11"/>
        <v>0</v>
      </c>
      <c r="BH67" s="25">
        <f t="shared" si="11"/>
        <v>224656</v>
      </c>
      <c r="BI67" s="25">
        <f t="shared" si="11"/>
        <v>0</v>
      </c>
      <c r="BJ67" s="25">
        <f t="shared" si="11"/>
        <v>0</v>
      </c>
      <c r="BK67" s="25">
        <f t="shared" si="11"/>
        <v>11050</v>
      </c>
      <c r="BL67" s="25">
        <f t="shared" si="11"/>
        <v>3867</v>
      </c>
      <c r="BM67" s="25">
        <f t="shared" si="11"/>
        <v>0</v>
      </c>
      <c r="BN67" s="25">
        <f t="shared" si="11"/>
        <v>149732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25110</v>
      </c>
      <c r="BW67" s="25">
        <f t="shared" si="12"/>
        <v>0</v>
      </c>
      <c r="BX67" s="25">
        <f t="shared" si="12"/>
        <v>0</v>
      </c>
      <c r="BY67" s="25">
        <f t="shared" si="12"/>
        <v>6878</v>
      </c>
      <c r="BZ67" s="25">
        <f t="shared" si="12"/>
        <v>0</v>
      </c>
      <c r="CA67" s="25">
        <f t="shared" si="12"/>
        <v>4187</v>
      </c>
      <c r="CB67" s="25">
        <f t="shared" si="12"/>
        <v>0</v>
      </c>
      <c r="CC67" s="25">
        <f t="shared" si="12"/>
        <v>154114</v>
      </c>
      <c r="CD67" s="24" t="s">
        <v>247</v>
      </c>
      <c r="CE67" s="25">
        <f t="shared" si="6"/>
        <v>2696517</v>
      </c>
    </row>
    <row r="68" spans="1:83" x14ac:dyDescent="0.25">
      <c r="A68" s="31" t="s">
        <v>267</v>
      </c>
      <c r="B68" s="25"/>
      <c r="C68" s="273"/>
      <c r="D68" s="273"/>
      <c r="E68" s="273">
        <v>6602.77</v>
      </c>
      <c r="F68" s="273"/>
      <c r="G68" s="273"/>
      <c r="H68" s="273"/>
      <c r="I68" s="273">
        <v>3001.72</v>
      </c>
      <c r="J68" s="273"/>
      <c r="K68" s="273"/>
      <c r="L68" s="273"/>
      <c r="M68" s="273"/>
      <c r="N68" s="273"/>
      <c r="O68" s="273"/>
      <c r="P68" s="275">
        <v>126001.38</v>
      </c>
      <c r="Q68" s="275"/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>
        <v>162485.17000000001</v>
      </c>
      <c r="AC68" s="275"/>
      <c r="AD68" s="275"/>
      <c r="AE68" s="275">
        <v>45867.6</v>
      </c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>
        <v>1581.26</v>
      </c>
      <c r="BF68" s="280"/>
      <c r="BG68" s="280"/>
      <c r="BH68" s="280"/>
      <c r="BI68" s="280">
        <v>33264</v>
      </c>
      <c r="BJ68" s="280"/>
      <c r="BK68" s="280"/>
      <c r="BL68" s="280"/>
      <c r="BM68" s="280"/>
      <c r="BN68" s="280">
        <v>45609.24</v>
      </c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>
        <v>86425.2</v>
      </c>
      <c r="CD68" s="24" t="s">
        <v>247</v>
      </c>
      <c r="CE68" s="25">
        <f t="shared" si="6"/>
        <v>510838.34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349.65000000000003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26971.83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2395</v>
      </c>
      <c r="O69" s="25">
        <f t="shared" si="13"/>
        <v>0</v>
      </c>
      <c r="P69" s="25">
        <f t="shared" si="13"/>
        <v>119</v>
      </c>
      <c r="Q69" s="25">
        <f t="shared" si="13"/>
        <v>55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9532.89</v>
      </c>
      <c r="V69" s="25">
        <f t="shared" si="13"/>
        <v>0</v>
      </c>
      <c r="W69" s="25">
        <f t="shared" si="13"/>
        <v>0</v>
      </c>
      <c r="X69" s="25">
        <f t="shared" si="13"/>
        <v>279.95</v>
      </c>
      <c r="Y69" s="25">
        <f t="shared" si="13"/>
        <v>0</v>
      </c>
      <c r="Z69" s="25">
        <f t="shared" si="13"/>
        <v>0</v>
      </c>
      <c r="AA69" s="25">
        <f t="shared" si="13"/>
        <v>0</v>
      </c>
      <c r="AB69" s="25">
        <f t="shared" si="13"/>
        <v>2628</v>
      </c>
      <c r="AC69" s="25">
        <f t="shared" si="13"/>
        <v>0</v>
      </c>
      <c r="AD69" s="25">
        <f t="shared" si="13"/>
        <v>0</v>
      </c>
      <c r="AE69" s="25">
        <f t="shared" si="13"/>
        <v>3010.29</v>
      </c>
      <c r="AF69" s="25">
        <f t="shared" si="13"/>
        <v>0</v>
      </c>
      <c r="AG69" s="25">
        <f t="shared" si="13"/>
        <v>2580.37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5947.34</v>
      </c>
      <c r="AY69" s="25">
        <f t="shared" si="14"/>
        <v>0</v>
      </c>
      <c r="AZ69" s="25">
        <f t="shared" si="14"/>
        <v>1.31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745.49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-126.81000000000002</v>
      </c>
      <c r="BK69" s="25">
        <f t="shared" si="14"/>
        <v>51064.4</v>
      </c>
      <c r="BL69" s="25">
        <f t="shared" si="14"/>
        <v>0</v>
      </c>
      <c r="BM69" s="25">
        <f t="shared" si="14"/>
        <v>0</v>
      </c>
      <c r="BN69" s="25">
        <f t="shared" si="14"/>
        <v>225459.35</v>
      </c>
      <c r="BO69" s="25">
        <f t="shared" ref="BO69:CE69" si="15">SUM(BO70:BO83)</f>
        <v>0</v>
      </c>
      <c r="BP69" s="25">
        <f t="shared" si="15"/>
        <v>5750</v>
      </c>
      <c r="BQ69" s="25">
        <f t="shared" si="15"/>
        <v>0</v>
      </c>
      <c r="BR69" s="25">
        <f t="shared" si="15"/>
        <v>1049.05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2256.42</v>
      </c>
      <c r="BY69" s="25">
        <f t="shared" si="15"/>
        <v>0</v>
      </c>
      <c r="BZ69" s="25">
        <f t="shared" si="15"/>
        <v>0</v>
      </c>
      <c r="CA69" s="25">
        <f t="shared" si="15"/>
        <v>24716</v>
      </c>
      <c r="CB69" s="25">
        <f t="shared" si="15"/>
        <v>0</v>
      </c>
      <c r="CC69" s="25">
        <f t="shared" si="15"/>
        <v>1460</v>
      </c>
      <c r="CD69" s="25">
        <f t="shared" si="15"/>
        <v>1309703.48</v>
      </c>
      <c r="CE69" s="25">
        <f t="shared" si="15"/>
        <v>1675948.0099999998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>
        <f>13237.96</f>
        <v>13237.96</v>
      </c>
      <c r="J72" s="282"/>
      <c r="K72" s="282"/>
      <c r="L72" s="282"/>
      <c r="M72" s="282"/>
      <c r="N72" s="282">
        <v>956</v>
      </c>
      <c r="O72" s="282"/>
      <c r="P72" s="282"/>
      <c r="Q72" s="282"/>
      <c r="R72" s="282"/>
      <c r="S72" s="282"/>
      <c r="T72" s="282"/>
      <c r="U72" s="282">
        <v>4956.8</v>
      </c>
      <c r="V72" s="282"/>
      <c r="W72" s="282"/>
      <c r="X72" s="282"/>
      <c r="Y72" s="282"/>
      <c r="Z72" s="282"/>
      <c r="AA72" s="282"/>
      <c r="AB72" s="282">
        <v>2628</v>
      </c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>
        <v>745.49</v>
      </c>
      <c r="BF72" s="282"/>
      <c r="BG72" s="282"/>
      <c r="BH72" s="282"/>
      <c r="BI72" s="282"/>
      <c r="BJ72" s="282"/>
      <c r="BK72" s="282"/>
      <c r="BL72" s="282"/>
      <c r="BM72" s="282"/>
      <c r="BN72" s="282">
        <f>2794+15853.65</f>
        <v>18647.650000000001</v>
      </c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41171.9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>
        <v>12409.87</v>
      </c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>
        <v>533701.36</v>
      </c>
      <c r="CE73" s="25">
        <f t="shared" si="16"/>
        <v>546111.23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>
        <v>39.799999999999997</v>
      </c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>
        <v>1460</v>
      </c>
      <c r="CD81" s="282">
        <v>734503.97</v>
      </c>
      <c r="CE81" s="25">
        <f t="shared" si="16"/>
        <v>736003.77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>
        <v>349.65000000000003</v>
      </c>
      <c r="F83" s="275"/>
      <c r="G83" s="273"/>
      <c r="H83" s="273"/>
      <c r="I83" s="275">
        <f>174+1150</f>
        <v>1324</v>
      </c>
      <c r="J83" s="275"/>
      <c r="K83" s="275"/>
      <c r="L83" s="275"/>
      <c r="M83" s="273"/>
      <c r="N83" s="273">
        <f>1164+275</f>
        <v>1439</v>
      </c>
      <c r="O83" s="273"/>
      <c r="P83" s="275">
        <v>119</v>
      </c>
      <c r="Q83" s="275">
        <v>55</v>
      </c>
      <c r="R83" s="276"/>
      <c r="S83" s="275"/>
      <c r="T83" s="273"/>
      <c r="U83" s="275">
        <f>4356.09+220</f>
        <v>4576.09</v>
      </c>
      <c r="V83" s="275"/>
      <c r="W83" s="273"/>
      <c r="X83" s="275">
        <v>279.95</v>
      </c>
      <c r="Y83" s="275"/>
      <c r="Z83" s="275"/>
      <c r="AA83" s="275"/>
      <c r="AB83" s="275"/>
      <c r="AC83" s="275"/>
      <c r="AD83" s="275"/>
      <c r="AE83" s="275">
        <v>3010.29</v>
      </c>
      <c r="AF83" s="275"/>
      <c r="AG83" s="275">
        <v>2580.37</v>
      </c>
      <c r="AH83" s="275"/>
      <c r="AI83" s="275"/>
      <c r="AJ83" s="275"/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/>
      <c r="AW83" s="275"/>
      <c r="AX83" s="275">
        <v>5947.34</v>
      </c>
      <c r="AY83" s="275"/>
      <c r="AZ83" s="275">
        <v>1.31</v>
      </c>
      <c r="BA83" s="275"/>
      <c r="BB83" s="275"/>
      <c r="BC83" s="275"/>
      <c r="BD83" s="275"/>
      <c r="BE83" s="275"/>
      <c r="BF83" s="275"/>
      <c r="BG83" s="275"/>
      <c r="BH83" s="276"/>
      <c r="BI83" s="275"/>
      <c r="BJ83" s="275">
        <v>-166.61</v>
      </c>
      <c r="BK83" s="275">
        <v>51064.4</v>
      </c>
      <c r="BL83" s="275"/>
      <c r="BM83" s="275"/>
      <c r="BN83" s="275">
        <v>206811.7</v>
      </c>
      <c r="BO83" s="275"/>
      <c r="BP83" s="275">
        <v>5750</v>
      </c>
      <c r="BQ83" s="275"/>
      <c r="BR83" s="275">
        <v>1049.05</v>
      </c>
      <c r="BS83" s="275"/>
      <c r="BT83" s="275"/>
      <c r="BU83" s="275"/>
      <c r="BV83" s="275"/>
      <c r="BW83" s="275"/>
      <c r="BX83" s="275">
        <v>2256.42</v>
      </c>
      <c r="BY83" s="275"/>
      <c r="BZ83" s="275"/>
      <c r="CA83" s="275">
        <v>24716</v>
      </c>
      <c r="CB83" s="275"/>
      <c r="CC83" s="275"/>
      <c r="CD83" s="282">
        <v>41498.15</v>
      </c>
      <c r="CE83" s="25">
        <f t="shared" si="16"/>
        <v>352661.11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3181</v>
      </c>
      <c r="D85" s="25">
        <f t="shared" si="17"/>
        <v>-9058.0299999999988</v>
      </c>
      <c r="E85" s="25">
        <f t="shared" si="17"/>
        <v>5380030.1100000003</v>
      </c>
      <c r="F85" s="25">
        <f t="shared" si="17"/>
        <v>0</v>
      </c>
      <c r="G85" s="25">
        <f t="shared" si="17"/>
        <v>0</v>
      </c>
      <c r="H85" s="25">
        <f t="shared" si="17"/>
        <v>95893.4</v>
      </c>
      <c r="I85" s="25">
        <f t="shared" si="17"/>
        <v>4760190.0599999996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1737409.72</v>
      </c>
      <c r="O85" s="25">
        <f t="shared" si="17"/>
        <v>0</v>
      </c>
      <c r="P85" s="25">
        <f t="shared" si="17"/>
        <v>5115946.8500000006</v>
      </c>
      <c r="Q85" s="25">
        <f t="shared" si="17"/>
        <v>599048.76</v>
      </c>
      <c r="R85" s="25">
        <f t="shared" si="17"/>
        <v>741362.75</v>
      </c>
      <c r="S85" s="25">
        <f t="shared" si="17"/>
        <v>320700.56</v>
      </c>
      <c r="T85" s="25">
        <f t="shared" si="17"/>
        <v>0</v>
      </c>
      <c r="U85" s="25">
        <f t="shared" si="17"/>
        <v>4043994.28</v>
      </c>
      <c r="V85" s="25">
        <f t="shared" si="17"/>
        <v>0</v>
      </c>
      <c r="W85" s="25">
        <f t="shared" si="17"/>
        <v>947089.33000000007</v>
      </c>
      <c r="X85" s="25">
        <f t="shared" si="17"/>
        <v>1590426.91</v>
      </c>
      <c r="Y85" s="25">
        <f t="shared" si="17"/>
        <v>1805243.48</v>
      </c>
      <c r="Z85" s="25">
        <f t="shared" si="17"/>
        <v>0</v>
      </c>
      <c r="AA85" s="25">
        <f t="shared" si="17"/>
        <v>0</v>
      </c>
      <c r="AB85" s="25">
        <f t="shared" si="17"/>
        <v>1989069.2499999998</v>
      </c>
      <c r="AC85" s="25">
        <f t="shared" si="17"/>
        <v>728005.33000000007</v>
      </c>
      <c r="AD85" s="25">
        <f t="shared" si="17"/>
        <v>0</v>
      </c>
      <c r="AE85" s="25">
        <f t="shared" si="17"/>
        <v>1208438.1000000001</v>
      </c>
      <c r="AF85" s="25">
        <f t="shared" si="17"/>
        <v>0</v>
      </c>
      <c r="AG85" s="25">
        <f t="shared" si="17"/>
        <v>5845984.9500000002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1109821.92</v>
      </c>
      <c r="AK85" s="25">
        <f t="shared" si="18"/>
        <v>277.62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115.89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55662</v>
      </c>
      <c r="AW85" s="25">
        <f t="shared" si="18"/>
        <v>0</v>
      </c>
      <c r="AX85" s="25">
        <f t="shared" si="18"/>
        <v>75366.149999999994</v>
      </c>
      <c r="AY85" s="25">
        <f t="shared" si="18"/>
        <v>0</v>
      </c>
      <c r="AZ85" s="25">
        <f t="shared" si="18"/>
        <v>1737133.7899999998</v>
      </c>
      <c r="BA85" s="25">
        <f t="shared" si="18"/>
        <v>297306.45999999996</v>
      </c>
      <c r="BB85" s="25">
        <f t="shared" si="18"/>
        <v>0</v>
      </c>
      <c r="BC85" s="25">
        <f t="shared" si="18"/>
        <v>0</v>
      </c>
      <c r="BD85" s="25">
        <f t="shared" si="18"/>
        <v>31838.6</v>
      </c>
      <c r="BE85" s="25">
        <f t="shared" si="18"/>
        <v>2399050.4300000002</v>
      </c>
      <c r="BF85" s="25">
        <f t="shared" si="18"/>
        <v>1546953.14</v>
      </c>
      <c r="BG85" s="25">
        <f t="shared" si="18"/>
        <v>57079.239999999991</v>
      </c>
      <c r="BH85" s="25">
        <f t="shared" si="18"/>
        <v>2481522</v>
      </c>
      <c r="BI85" s="25">
        <f t="shared" si="18"/>
        <v>70159.760000000009</v>
      </c>
      <c r="BJ85" s="25">
        <f t="shared" si="18"/>
        <v>60775.76</v>
      </c>
      <c r="BK85" s="25">
        <f t="shared" si="18"/>
        <v>2837564.57</v>
      </c>
      <c r="BL85" s="25">
        <f t="shared" si="18"/>
        <v>6770.71</v>
      </c>
      <c r="BM85" s="25">
        <f t="shared" si="18"/>
        <v>0</v>
      </c>
      <c r="BN85" s="25">
        <f t="shared" si="18"/>
        <v>3456915.6300000008</v>
      </c>
      <c r="BO85" s="25">
        <f t="shared" ref="BO85:CD85" si="19">SUM(BO61:BO69)-BO84</f>
        <v>99229.36</v>
      </c>
      <c r="BP85" s="25">
        <f t="shared" si="19"/>
        <v>127838.26000000001</v>
      </c>
      <c r="BQ85" s="25">
        <f t="shared" si="19"/>
        <v>0</v>
      </c>
      <c r="BR85" s="25">
        <f t="shared" si="19"/>
        <v>673349.01000000013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25553.24</v>
      </c>
      <c r="BW85" s="25">
        <f t="shared" si="19"/>
        <v>800671.6</v>
      </c>
      <c r="BX85" s="25">
        <f t="shared" si="19"/>
        <v>709621.53999999992</v>
      </c>
      <c r="BY85" s="25">
        <f t="shared" si="19"/>
        <v>908153.50999999989</v>
      </c>
      <c r="BZ85" s="25">
        <f t="shared" si="19"/>
        <v>0</v>
      </c>
      <c r="CA85" s="25">
        <f t="shared" si="19"/>
        <v>92192.239999999991</v>
      </c>
      <c r="CB85" s="25">
        <f t="shared" si="19"/>
        <v>0</v>
      </c>
      <c r="CC85" s="25">
        <f t="shared" si="19"/>
        <v>3873310.0300000003</v>
      </c>
      <c r="CD85" s="25">
        <f t="shared" si="19"/>
        <v>1309703.48</v>
      </c>
      <c r="CE85" s="25">
        <f t="shared" si="16"/>
        <v>61746892.75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172</v>
      </c>
      <c r="D87" s="273">
        <v>-12920</v>
      </c>
      <c r="E87" s="273">
        <v>8968751.1699999999</v>
      </c>
      <c r="F87" s="273"/>
      <c r="G87" s="273"/>
      <c r="H87" s="273"/>
      <c r="I87" s="273">
        <v>7692684</v>
      </c>
      <c r="J87" s="273"/>
      <c r="K87" s="273"/>
      <c r="L87" s="273"/>
      <c r="M87" s="273"/>
      <c r="N87" s="273">
        <v>242970</v>
      </c>
      <c r="O87" s="273"/>
      <c r="P87" s="273">
        <v>5668934.25</v>
      </c>
      <c r="Q87" s="273">
        <v>337450</v>
      </c>
      <c r="R87" s="273">
        <v>626418</v>
      </c>
      <c r="S87" s="273"/>
      <c r="T87" s="273"/>
      <c r="U87" s="273">
        <v>5429985</v>
      </c>
      <c r="V87" s="273">
        <v>59059</v>
      </c>
      <c r="W87" s="273">
        <v>608454</v>
      </c>
      <c r="X87" s="273">
        <v>4516237</v>
      </c>
      <c r="Y87" s="273">
        <v>1193475</v>
      </c>
      <c r="Z87" s="273"/>
      <c r="AA87" s="273"/>
      <c r="AB87" s="273">
        <v>5835407.8799999999</v>
      </c>
      <c r="AC87" s="273">
        <v>524250</v>
      </c>
      <c r="AD87" s="273"/>
      <c r="AE87" s="273">
        <v>519376</v>
      </c>
      <c r="AF87" s="273"/>
      <c r="AG87" s="273">
        <f>179000+5072497</f>
        <v>5251497</v>
      </c>
      <c r="AH87" s="273"/>
      <c r="AI87" s="273"/>
      <c r="AJ87" s="273">
        <v>8</v>
      </c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47462208.300000004</v>
      </c>
    </row>
    <row r="88" spans="1:84" x14ac:dyDescent="0.25">
      <c r="A88" s="31" t="s">
        <v>287</v>
      </c>
      <c r="B88" s="16"/>
      <c r="C88" s="273">
        <v>76</v>
      </c>
      <c r="D88" s="273">
        <v>4180</v>
      </c>
      <c r="E88" s="273">
        <v>1672104</v>
      </c>
      <c r="F88" s="273"/>
      <c r="G88" s="273"/>
      <c r="H88" s="273"/>
      <c r="I88" s="273">
        <v>724720</v>
      </c>
      <c r="J88" s="273"/>
      <c r="K88" s="273"/>
      <c r="L88" s="273"/>
      <c r="M88" s="273"/>
      <c r="N88" s="273">
        <v>216404</v>
      </c>
      <c r="O88" s="273"/>
      <c r="P88" s="273">
        <v>22430323.75</v>
      </c>
      <c r="Q88" s="273">
        <v>1862401</v>
      </c>
      <c r="R88" s="273">
        <v>2408934</v>
      </c>
      <c r="S88" s="273"/>
      <c r="T88" s="273"/>
      <c r="U88" s="273">
        <v>23275722.399999999</v>
      </c>
      <c r="V88" s="273">
        <v>250722</v>
      </c>
      <c r="W88" s="273">
        <v>9126149.5</v>
      </c>
      <c r="X88" s="273">
        <v>37937741.5</v>
      </c>
      <c r="Y88" s="273">
        <v>14626040.970000001</v>
      </c>
      <c r="Z88" s="273"/>
      <c r="AA88" s="273"/>
      <c r="AB88" s="273">
        <v>6010529.5499999998</v>
      </c>
      <c r="AC88" s="273">
        <v>315496</v>
      </c>
      <c r="AD88" s="273"/>
      <c r="AE88" s="273">
        <v>3188458</v>
      </c>
      <c r="AF88" s="273"/>
      <c r="AG88" s="273">
        <f>1286000+53498524.5</f>
        <v>54784524.5</v>
      </c>
      <c r="AH88" s="273"/>
      <c r="AI88" s="273"/>
      <c r="AJ88" s="273">
        <v>2673895.0699999998</v>
      </c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>
        <f>3133</f>
        <v>3133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181511555.24000001</v>
      </c>
    </row>
    <row r="89" spans="1:84" x14ac:dyDescent="0.25">
      <c r="A89" s="21" t="s">
        <v>288</v>
      </c>
      <c r="B89" s="16"/>
      <c r="C89" s="25">
        <f t="shared" ref="C89:AV89" si="21">C87+C88</f>
        <v>248</v>
      </c>
      <c r="D89" s="25">
        <f t="shared" si="21"/>
        <v>-8740</v>
      </c>
      <c r="E89" s="25">
        <f t="shared" si="21"/>
        <v>10640855.17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8417404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459374</v>
      </c>
      <c r="O89" s="25">
        <f t="shared" si="21"/>
        <v>0</v>
      </c>
      <c r="P89" s="25">
        <f t="shared" si="21"/>
        <v>28099258</v>
      </c>
      <c r="Q89" s="25">
        <f t="shared" si="21"/>
        <v>2199851</v>
      </c>
      <c r="R89" s="25">
        <f t="shared" si="21"/>
        <v>3035352</v>
      </c>
      <c r="S89" s="25">
        <f t="shared" si="21"/>
        <v>0</v>
      </c>
      <c r="T89" s="25">
        <f t="shared" si="21"/>
        <v>0</v>
      </c>
      <c r="U89" s="25">
        <f t="shared" si="21"/>
        <v>28705707.399999999</v>
      </c>
      <c r="V89" s="25">
        <f t="shared" si="21"/>
        <v>309781</v>
      </c>
      <c r="W89" s="25">
        <f t="shared" si="21"/>
        <v>9734603.5</v>
      </c>
      <c r="X89" s="25">
        <f t="shared" si="21"/>
        <v>42453978.5</v>
      </c>
      <c r="Y89" s="25">
        <f t="shared" si="21"/>
        <v>15819515.970000001</v>
      </c>
      <c r="Z89" s="25">
        <f t="shared" si="21"/>
        <v>0</v>
      </c>
      <c r="AA89" s="25">
        <f t="shared" si="21"/>
        <v>0</v>
      </c>
      <c r="AB89" s="25">
        <f t="shared" si="21"/>
        <v>11845937.43</v>
      </c>
      <c r="AC89" s="25">
        <f t="shared" si="21"/>
        <v>839746</v>
      </c>
      <c r="AD89" s="25">
        <f t="shared" si="21"/>
        <v>0</v>
      </c>
      <c r="AE89" s="25">
        <f t="shared" si="21"/>
        <v>3707834</v>
      </c>
      <c r="AF89" s="25">
        <f t="shared" si="21"/>
        <v>0</v>
      </c>
      <c r="AG89" s="25">
        <f t="shared" si="21"/>
        <v>60036021.5</v>
      </c>
      <c r="AH89" s="25">
        <f t="shared" si="21"/>
        <v>0</v>
      </c>
      <c r="AI89" s="25">
        <f t="shared" si="21"/>
        <v>0</v>
      </c>
      <c r="AJ89" s="25">
        <f t="shared" si="21"/>
        <v>2673903.0699999998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3133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228973763.53999999</v>
      </c>
    </row>
    <row r="90" spans="1:84" x14ac:dyDescent="0.25">
      <c r="A90" s="31" t="s">
        <v>289</v>
      </c>
      <c r="B90" s="25"/>
      <c r="C90" s="273"/>
      <c r="D90" s="273">
        <v>2200</v>
      </c>
      <c r="E90" s="273">
        <v>9225</v>
      </c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>
        <v>6449</v>
      </c>
      <c r="Q90" s="273">
        <v>4545</v>
      </c>
      <c r="R90" s="273">
        <v>182</v>
      </c>
      <c r="S90" s="273"/>
      <c r="T90" s="273"/>
      <c r="U90" s="273">
        <v>1280</v>
      </c>
      <c r="V90" s="273"/>
      <c r="W90" s="273">
        <v>480</v>
      </c>
      <c r="X90" s="273">
        <v>405</v>
      </c>
      <c r="Y90" s="273">
        <v>3578</v>
      </c>
      <c r="Z90" s="273"/>
      <c r="AA90" s="273"/>
      <c r="AB90" s="273">
        <v>811</v>
      </c>
      <c r="AC90" s="273">
        <v>765</v>
      </c>
      <c r="AD90" s="273"/>
      <c r="AE90" s="273">
        <v>260</v>
      </c>
      <c r="AF90" s="273"/>
      <c r="AG90" s="273">
        <v>7800</v>
      </c>
      <c r="AH90" s="273"/>
      <c r="AI90" s="273"/>
      <c r="AJ90" s="273">
        <v>3875</v>
      </c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>
        <v>6045</v>
      </c>
      <c r="AW90" s="273"/>
      <c r="AX90" s="273"/>
      <c r="AY90" s="273"/>
      <c r="AZ90" s="273">
        <v>4436</v>
      </c>
      <c r="BA90" s="273">
        <v>413</v>
      </c>
      <c r="BB90" s="273"/>
      <c r="BC90" s="273"/>
      <c r="BD90" s="273">
        <v>3220</v>
      </c>
      <c r="BE90" s="273">
        <v>10476</v>
      </c>
      <c r="BF90" s="273">
        <v>385</v>
      </c>
      <c r="BG90" s="273"/>
      <c r="BH90" s="273">
        <v>1710</v>
      </c>
      <c r="BI90" s="273"/>
      <c r="BJ90" s="273"/>
      <c r="BK90" s="273">
        <v>1200</v>
      </c>
      <c r="BL90" s="273">
        <v>420</v>
      </c>
      <c r="BM90" s="273"/>
      <c r="BN90" s="273">
        <v>8323</v>
      </c>
      <c r="BO90" s="273"/>
      <c r="BP90" s="273"/>
      <c r="BQ90" s="273"/>
      <c r="BR90" s="273"/>
      <c r="BS90" s="273"/>
      <c r="BT90" s="273"/>
      <c r="BU90" s="273"/>
      <c r="BV90" s="273">
        <v>2727</v>
      </c>
      <c r="BW90" s="273"/>
      <c r="BX90" s="273"/>
      <c r="BY90" s="273">
        <v>747</v>
      </c>
      <c r="BZ90" s="273"/>
      <c r="CA90" s="273"/>
      <c r="CB90" s="273"/>
      <c r="CC90" s="273">
        <v>1695</v>
      </c>
      <c r="CD90" s="224" t="s">
        <v>247</v>
      </c>
      <c r="CE90" s="25">
        <f t="shared" si="20"/>
        <v>83652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>
        <v>2518</v>
      </c>
      <c r="E91" s="273">
        <v>12230</v>
      </c>
      <c r="F91" s="273"/>
      <c r="G91" s="273"/>
      <c r="H91" s="273"/>
      <c r="I91" s="273">
        <v>20818</v>
      </c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>
        <v>918</v>
      </c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36484</v>
      </c>
      <c r="CF91" s="25">
        <f>AY59-CE91</f>
        <v>-36484</v>
      </c>
    </row>
    <row r="92" spans="1:84" x14ac:dyDescent="0.25">
      <c r="A92" s="21" t="s">
        <v>291</v>
      </c>
      <c r="B92" s="16"/>
      <c r="C92" s="273"/>
      <c r="D92" s="273">
        <v>1027</v>
      </c>
      <c r="E92" s="273">
        <v>4306</v>
      </c>
      <c r="F92" s="273"/>
      <c r="G92" s="273"/>
      <c r="H92" s="273"/>
      <c r="I92" s="273">
        <v>7277</v>
      </c>
      <c r="J92" s="273"/>
      <c r="K92" s="273"/>
      <c r="L92" s="273"/>
      <c r="M92" s="273"/>
      <c r="N92" s="273"/>
      <c r="O92" s="273"/>
      <c r="P92" s="273">
        <v>2530</v>
      </c>
      <c r="Q92" s="273">
        <v>280</v>
      </c>
      <c r="R92" s="273">
        <v>85</v>
      </c>
      <c r="S92" s="273"/>
      <c r="T92" s="273"/>
      <c r="U92" s="273">
        <v>598</v>
      </c>
      <c r="V92" s="273"/>
      <c r="W92" s="273">
        <v>224</v>
      </c>
      <c r="X92" s="273">
        <v>188</v>
      </c>
      <c r="Y92" s="273">
        <v>1189</v>
      </c>
      <c r="Z92" s="273"/>
      <c r="AA92" s="273">
        <v>199</v>
      </c>
      <c r="AB92" s="273">
        <v>378</v>
      </c>
      <c r="AC92" s="273">
        <v>356</v>
      </c>
      <c r="AD92" s="273"/>
      <c r="AE92" s="273">
        <v>121</v>
      </c>
      <c r="AF92" s="273"/>
      <c r="AG92" s="273">
        <v>3641</v>
      </c>
      <c r="AH92" s="273"/>
      <c r="AI92" s="273">
        <v>280</v>
      </c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>
        <v>11561</v>
      </c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34240</v>
      </c>
      <c r="CF92" s="16"/>
    </row>
    <row r="93" spans="1:84" x14ac:dyDescent="0.25">
      <c r="A93" s="21" t="s">
        <v>292</v>
      </c>
      <c r="B93" s="16"/>
      <c r="C93" s="273"/>
      <c r="D93" s="273"/>
      <c r="E93" s="273">
        <v>121735</v>
      </c>
      <c r="F93" s="273"/>
      <c r="G93" s="273"/>
      <c r="H93" s="273"/>
      <c r="I93" s="273">
        <v>10487</v>
      </c>
      <c r="J93" s="273"/>
      <c r="K93" s="273"/>
      <c r="L93" s="273"/>
      <c r="M93" s="273"/>
      <c r="N93" s="273"/>
      <c r="O93" s="273"/>
      <c r="P93" s="273">
        <v>55293</v>
      </c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>
        <v>51990</v>
      </c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239505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>
        <v>-0.19501617381845246</v>
      </c>
      <c r="E94" s="277">
        <v>21.769310775866181</v>
      </c>
      <c r="F94" s="277"/>
      <c r="G94" s="277"/>
      <c r="H94" s="277"/>
      <c r="I94" s="277">
        <v>9.3242779034151084</v>
      </c>
      <c r="J94" s="277"/>
      <c r="K94" s="277"/>
      <c r="L94" s="277"/>
      <c r="M94" s="277"/>
      <c r="N94" s="277"/>
      <c r="O94" s="277"/>
      <c r="P94" s="274">
        <v>3.9919703432284659</v>
      </c>
      <c r="Q94" s="274">
        <v>2.8705283447361136</v>
      </c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>
        <v>21.274468267826983</v>
      </c>
      <c r="AH94" s="274"/>
      <c r="AI94" s="274"/>
      <c r="AJ94" s="274">
        <v>4.5757927079456868</v>
      </c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63.611332169200089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98272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/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ht="15.75" x14ac:dyDescent="0.25">
      <c r="A109" s="33" t="s">
        <v>319</v>
      </c>
      <c r="B109" s="32" t="s">
        <v>299</v>
      </c>
      <c r="C109" t="s">
        <v>1375</v>
      </c>
      <c r="D109" t="s">
        <v>1376</v>
      </c>
      <c r="E109" s="285" t="s">
        <v>297</v>
      </c>
      <c r="F109" s="12"/>
    </row>
    <row r="110" spans="1:6" ht="15.75" x14ac:dyDescent="0.25">
      <c r="A110" s="33" t="s">
        <v>320</v>
      </c>
      <c r="B110" s="32" t="s">
        <v>299</v>
      </c>
      <c r="C110" t="s">
        <v>1064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/>
      <c r="D127" s="295"/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/>
      <c r="D130" s="295"/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/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4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22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/>
      <c r="D136" s="16"/>
      <c r="E136" s="16"/>
    </row>
    <row r="137" spans="1:5" x14ac:dyDescent="0.25">
      <c r="A137" s="16" t="s">
        <v>343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36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62</v>
      </c>
    </row>
    <row r="144" spans="1:5" x14ac:dyDescent="0.25">
      <c r="A144" s="16" t="s">
        <v>348</v>
      </c>
      <c r="B144" s="35" t="s">
        <v>299</v>
      </c>
      <c r="C144" s="294">
        <v>112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593</v>
      </c>
      <c r="C154" s="295">
        <v>181</v>
      </c>
      <c r="D154" s="295">
        <v>259</v>
      </c>
      <c r="E154" s="25">
        <f>SUM(B154:D154)</f>
        <v>1033</v>
      </c>
    </row>
    <row r="155" spans="1:6" x14ac:dyDescent="0.25">
      <c r="A155" s="16" t="s">
        <v>241</v>
      </c>
      <c r="B155" s="295">
        <v>2455.1067496976225</v>
      </c>
      <c r="C155" s="295">
        <v>600.48391575221353</v>
      </c>
      <c r="D155" s="295">
        <v>671.40933455016386</v>
      </c>
      <c r="E155" s="25">
        <f>SUM(B155:D155)</f>
        <v>3726.9999999999995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f>SUM(B156:D156)</f>
        <v>0</v>
      </c>
    </row>
    <row r="157" spans="1:6" x14ac:dyDescent="0.25">
      <c r="A157" s="16" t="s">
        <v>286</v>
      </c>
      <c r="B157" s="295">
        <v>22373921</v>
      </c>
      <c r="C157" s="295">
        <v>8113257</v>
      </c>
      <c r="D157" s="295">
        <v>9282347</v>
      </c>
      <c r="E157" s="25">
        <f>SUM(B157:D157)</f>
        <v>39769525</v>
      </c>
      <c r="F157" s="14"/>
    </row>
    <row r="158" spans="1:6" x14ac:dyDescent="0.25">
      <c r="A158" s="16" t="s">
        <v>287</v>
      </c>
      <c r="B158" s="295">
        <v>58007600</v>
      </c>
      <c r="C158" s="295">
        <v>35811501</v>
      </c>
      <c r="D158" s="295">
        <v>86967732</v>
      </c>
      <c r="E158" s="25">
        <f>SUM(B158:D158)</f>
        <v>180786833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68</v>
      </c>
      <c r="C166" s="295">
        <v>449</v>
      </c>
      <c r="D166" s="295">
        <v>268</v>
      </c>
      <c r="E166" s="25">
        <f>SUM(B166:D166)</f>
        <v>785</v>
      </c>
    </row>
    <row r="167" spans="1:5" x14ac:dyDescent="0.25">
      <c r="A167" s="16" t="s">
        <v>241</v>
      </c>
      <c r="B167" s="295">
        <v>814.01475184127025</v>
      </c>
      <c r="C167" s="295">
        <v>4227.7426170420431</v>
      </c>
      <c r="D167" s="295">
        <v>1997.2426311166869</v>
      </c>
      <c r="E167" s="25">
        <f>SUM(B167:D167)</f>
        <v>7039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286</v>
      </c>
      <c r="B169" s="295">
        <v>1059396.3394752112</v>
      </c>
      <c r="C169" s="295">
        <v>4337244.5645674132</v>
      </c>
      <c r="D169" s="295">
        <v>2296043.0959573761</v>
      </c>
      <c r="E169" s="25">
        <f>SUM(B169:D169)</f>
        <v>7692684</v>
      </c>
    </row>
    <row r="170" spans="1:5" x14ac:dyDescent="0.25">
      <c r="A170" s="16" t="s">
        <v>287</v>
      </c>
      <c r="B170" s="295">
        <v>99804.66052478888</v>
      </c>
      <c r="C170" s="295">
        <v>408607.43543258705</v>
      </c>
      <c r="D170" s="295">
        <v>216307.90404262405</v>
      </c>
      <c r="E170" s="25">
        <f>SUM(B170:D170)</f>
        <v>724720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73391.839999999967</v>
      </c>
      <c r="C173" s="272">
        <v>1556481.03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1667075.73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-33872.1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223034.43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/>
      <c r="D184" s="16"/>
      <c r="E184" s="16"/>
    </row>
    <row r="185" spans="1:5" x14ac:dyDescent="0.25">
      <c r="A185" s="16" t="s">
        <v>368</v>
      </c>
      <c r="B185" s="35" t="s">
        <v>299</v>
      </c>
      <c r="C185" s="292"/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f>78008+566567</f>
        <v>644575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521478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3022291.0599999996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180903.76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329934.58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510838.34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/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546111.23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546111.23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41171.9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734503.97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1499.8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777175.67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1878609.67</v>
      </c>
      <c r="C211" s="292"/>
      <c r="D211" s="295"/>
      <c r="E211" s="25">
        <f t="shared" ref="E211:E219" si="22">SUM(B211:C211)-D211</f>
        <v>1878609.67</v>
      </c>
    </row>
    <row r="212" spans="1:5" x14ac:dyDescent="0.25">
      <c r="A212" s="16" t="s">
        <v>390</v>
      </c>
      <c r="B212" s="292">
        <v>1233751.07</v>
      </c>
      <c r="C212" s="292"/>
      <c r="D212" s="295"/>
      <c r="E212" s="25">
        <f t="shared" si="22"/>
        <v>1233751.07</v>
      </c>
    </row>
    <row r="213" spans="1:5" x14ac:dyDescent="0.25">
      <c r="A213" s="16" t="s">
        <v>391</v>
      </c>
      <c r="B213" s="292">
        <v>27306533.529999997</v>
      </c>
      <c r="C213" s="292">
        <v>3057033.2800000003</v>
      </c>
      <c r="D213" s="295"/>
      <c r="E213" s="25">
        <f t="shared" si="22"/>
        <v>30363566.809999999</v>
      </c>
    </row>
    <row r="214" spans="1:5" x14ac:dyDescent="0.25">
      <c r="A214" s="16" t="s">
        <v>393</v>
      </c>
      <c r="B214" s="292">
        <v>2731402.69</v>
      </c>
      <c r="C214" s="292"/>
      <c r="D214" s="295"/>
      <c r="E214" s="25">
        <f t="shared" si="22"/>
        <v>2731402.69</v>
      </c>
    </row>
    <row r="215" spans="1:5" x14ac:dyDescent="0.25">
      <c r="A215" s="16" t="s">
        <v>394</v>
      </c>
      <c r="B215" s="292">
        <v>0</v>
      </c>
      <c r="C215" s="292"/>
      <c r="D215" s="295"/>
      <c r="E215" s="25">
        <f t="shared" si="22"/>
        <v>0</v>
      </c>
    </row>
    <row r="216" spans="1:5" x14ac:dyDescent="0.25">
      <c r="A216" s="16" t="s">
        <v>395</v>
      </c>
      <c r="B216" s="292">
        <v>21310238.100000001</v>
      </c>
      <c r="C216" s="292">
        <f>2760+1212090.01</f>
        <v>1214850.01</v>
      </c>
      <c r="D216" s="295">
        <f>2523+302159.9</f>
        <v>304682.90000000002</v>
      </c>
      <c r="E216" s="25">
        <f t="shared" si="22"/>
        <v>22220405.210000005</v>
      </c>
    </row>
    <row r="217" spans="1:5" x14ac:dyDescent="0.25">
      <c r="A217" s="16" t="s">
        <v>396</v>
      </c>
      <c r="B217" s="292">
        <v>0</v>
      </c>
      <c r="C217" s="292"/>
      <c r="D217" s="295"/>
      <c r="E217" s="25">
        <f t="shared" si="22"/>
        <v>0</v>
      </c>
    </row>
    <row r="218" spans="1:5" x14ac:dyDescent="0.25">
      <c r="A218" s="16" t="s">
        <v>397</v>
      </c>
      <c r="B218" s="292">
        <v>3109130.11</v>
      </c>
      <c r="C218" s="292"/>
      <c r="D218" s="295"/>
      <c r="E218" s="25">
        <f t="shared" si="22"/>
        <v>3109130.11</v>
      </c>
    </row>
    <row r="219" spans="1:5" x14ac:dyDescent="0.25">
      <c r="A219" s="16" t="s">
        <v>398</v>
      </c>
      <c r="B219" s="292">
        <v>1653238.48</v>
      </c>
      <c r="C219" s="292">
        <f>4173295</f>
        <v>4173295</v>
      </c>
      <c r="D219" s="295">
        <v>4383694</v>
      </c>
      <c r="E219" s="25">
        <f t="shared" si="22"/>
        <v>1442839.4800000004</v>
      </c>
    </row>
    <row r="220" spans="1:5" x14ac:dyDescent="0.25">
      <c r="A220" s="16" t="s">
        <v>229</v>
      </c>
      <c r="B220" s="25">
        <f>SUM(B211:B219)</f>
        <v>59222903.649999999</v>
      </c>
      <c r="C220" s="225">
        <f>SUM(C211:C219)</f>
        <v>8445178.2899999991</v>
      </c>
      <c r="D220" s="25">
        <f>SUM(D211:D219)</f>
        <v>4688376.9000000004</v>
      </c>
      <c r="E220" s="25">
        <f>SUM(E211:E219)</f>
        <v>62979705.040000007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-1126152.8</v>
      </c>
      <c r="C225" s="292">
        <v>-62358.79</v>
      </c>
      <c r="D225" s="295"/>
      <c r="E225" s="25">
        <f t="shared" ref="E225:E232" si="23">SUM(B225:C225)-D225</f>
        <v>-1188511.5900000001</v>
      </c>
    </row>
    <row r="226" spans="1:6" x14ac:dyDescent="0.25">
      <c r="A226" s="16" t="s">
        <v>391</v>
      </c>
      <c r="B226" s="292">
        <v>-22605519.669999998</v>
      </c>
      <c r="C226" s="292">
        <v>-879722.90999999992</v>
      </c>
      <c r="D226" s="295"/>
      <c r="E226" s="25">
        <f t="shared" si="23"/>
        <v>-23485242.579999998</v>
      </c>
    </row>
    <row r="227" spans="1:6" x14ac:dyDescent="0.25">
      <c r="A227" s="16" t="s">
        <v>393</v>
      </c>
      <c r="B227" s="292">
        <v>-2573880.8199999998</v>
      </c>
      <c r="C227" s="292">
        <v>-28240.9</v>
      </c>
      <c r="D227" s="295"/>
      <c r="E227" s="25">
        <f t="shared" si="23"/>
        <v>-2602121.7199999997</v>
      </c>
    </row>
    <row r="228" spans="1:6" x14ac:dyDescent="0.25">
      <c r="A228" s="16" t="s">
        <v>394</v>
      </c>
      <c r="B228" s="292">
        <v>0</v>
      </c>
      <c r="C228" s="292"/>
      <c r="D228" s="295"/>
      <c r="E228" s="25">
        <f t="shared" si="23"/>
        <v>0</v>
      </c>
    </row>
    <row r="229" spans="1:6" x14ac:dyDescent="0.25">
      <c r="A229" s="16" t="s">
        <v>395</v>
      </c>
      <c r="B229" s="292">
        <v>-18249388.950000003</v>
      </c>
      <c r="C229" s="292">
        <v>-924401.88000000012</v>
      </c>
      <c r="D229" s="295">
        <v>-296880</v>
      </c>
      <c r="E229" s="25">
        <f t="shared" si="23"/>
        <v>-18876910.830000002</v>
      </c>
    </row>
    <row r="230" spans="1:6" x14ac:dyDescent="0.25">
      <c r="A230" s="16" t="s">
        <v>396</v>
      </c>
      <c r="B230" s="292">
        <v>0</v>
      </c>
      <c r="C230" s="292"/>
      <c r="D230" s="295"/>
      <c r="E230" s="25">
        <f t="shared" si="23"/>
        <v>0</v>
      </c>
    </row>
    <row r="231" spans="1:6" x14ac:dyDescent="0.25">
      <c r="A231" s="16" t="s">
        <v>397</v>
      </c>
      <c r="B231" s="292">
        <v>-2527520.3699999996</v>
      </c>
      <c r="C231" s="292">
        <v>-70132.89</v>
      </c>
      <c r="D231" s="295"/>
      <c r="E231" s="25">
        <f t="shared" si="23"/>
        <v>-2597653.2599999998</v>
      </c>
    </row>
    <row r="232" spans="1:6" x14ac:dyDescent="0.25">
      <c r="A232" s="16" t="s">
        <v>398</v>
      </c>
      <c r="B232" s="292">
        <v>0</v>
      </c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-47082462.609999999</v>
      </c>
      <c r="C233" s="225">
        <f>SUM(C224:C232)</f>
        <v>-1964857.3699999999</v>
      </c>
      <c r="D233" s="25">
        <f>SUM(D224:D232)</f>
        <v>-296880</v>
      </c>
      <c r="E233" s="25">
        <f>SUM(E224:E232)</f>
        <v>-48750439.979999997</v>
      </c>
    </row>
    <row r="234" spans="1:6" x14ac:dyDescent="0.25">
      <c r="A234" s="16"/>
      <c r="B234" s="16"/>
      <c r="C234" s="22"/>
      <c r="D234" s="16"/>
      <c r="E234" s="16"/>
      <c r="F234" s="11">
        <f>E220-E233</f>
        <v>111730145.02000001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5" t="s">
        <v>401</v>
      </c>
      <c r="C236" s="345"/>
      <c r="D236" s="30"/>
      <c r="E236" s="30"/>
    </row>
    <row r="237" spans="1:6" x14ac:dyDescent="0.25">
      <c r="A237" s="43" t="s">
        <v>401</v>
      </c>
      <c r="B237" s="30"/>
      <c r="C237" s="292">
        <v>8475180.4100000001</v>
      </c>
      <c r="D237" s="32">
        <f>C237</f>
        <v>8475180.4100000001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64396451.439999998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36616099.050000004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2738772.83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2966865.3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37867406.340000004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-116056.64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144469538.32000002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640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355566.88538029912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1359808.164619701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1715375.05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1880534.7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1089436.4300000002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2969971.13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157630064.91000003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28350013.199999999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31012867.150000002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21227519.920000002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2001476.27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426665.31000000006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39178.25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899886.69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242583.27999999997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41745150.229999997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221741.35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221741.35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1878609.67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1233751.07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37642488.049999997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/>
      <c r="D286" s="16"/>
      <c r="E286" s="16"/>
    </row>
    <row r="287" spans="1:5" x14ac:dyDescent="0.25">
      <c r="A287" s="16" t="s">
        <v>437</v>
      </c>
      <c r="B287" s="35" t="s">
        <v>299</v>
      </c>
      <c r="C287" s="292"/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25107177.530000001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3109130.11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1442839.4800000004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70413995.910000011</v>
      </c>
      <c r="E291" s="16"/>
    </row>
    <row r="292" spans="1:5" x14ac:dyDescent="0.25">
      <c r="A292" s="16" t="s">
        <v>440</v>
      </c>
      <c r="B292" s="35" t="s">
        <v>299</v>
      </c>
      <c r="C292" s="292">
        <v>48750440.100000001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21663555.81000001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6033421.8399999999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6033421.8399999999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69663869.230000004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69663869.230000004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1637107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1310647.1682214288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3643676.51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f>40633+1249252</f>
        <v>1289885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 t="s">
        <v>392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1364127.9717785714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/>
      <c r="D320" s="16"/>
      <c r="E320" s="16"/>
    </row>
    <row r="321" spans="1:5" x14ac:dyDescent="0.25">
      <c r="A321" s="16" t="s">
        <v>463</v>
      </c>
      <c r="B321" s="35" t="s">
        <v>299</v>
      </c>
      <c r="C321" s="292"/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624146.91999999993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/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9869590.5700000003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5674473.5199999996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5674473.5199999996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/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22064875.18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/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 t="s">
        <v>392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22064875.18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22064875.18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34495761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221741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72326441.269999996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69663869.230000004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47462208.299999997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181511555.24000001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228973763.54000002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8475180.4100000001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144469538.32000002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1715375.0499999998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2969971.13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157630064.91000003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71343698.629999995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16094.08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25750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7400.56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872497.04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331024.56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1624497.03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2877263.27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2877263.27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74220961.899999991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26150371.160000004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6903658.9399999995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1754053.03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7444468.8300000001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583724.29999999993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14027313.08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2696514.77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510838.34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546111.23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777175.67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/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/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/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/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/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352661.11000000004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352661.11000000004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61746890.460000001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12474071.43999999</v>
      </c>
      <c r="E417" s="25"/>
    </row>
    <row r="418" spans="1:13" x14ac:dyDescent="0.25">
      <c r="A418" s="25" t="s">
        <v>532</v>
      </c>
      <c r="B418" s="16"/>
      <c r="C418" s="294">
        <v>4997155.17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1577493.87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6574649.04</v>
      </c>
      <c r="E420" s="25"/>
      <c r="F420" s="11">
        <f>D420-C399</f>
        <v>6574649.04</v>
      </c>
    </row>
    <row r="421" spans="1:13" x14ac:dyDescent="0.25">
      <c r="A421" s="25" t="s">
        <v>535</v>
      </c>
      <c r="B421" s="16"/>
      <c r="C421" s="22"/>
      <c r="D421" s="25">
        <f>D417+D420</f>
        <v>19048720.479999989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19048720.479999989</v>
      </c>
      <c r="E424" s="16"/>
    </row>
    <row r="426" spans="1:13" ht="29.1" customHeight="1" x14ac:dyDescent="0.25">
      <c r="A426" s="346" t="s">
        <v>539</v>
      </c>
      <c r="B426" s="346"/>
      <c r="C426" s="346"/>
      <c r="D426" s="346"/>
      <c r="E426" s="346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73176</v>
      </c>
      <c r="E612" s="219">
        <f>SUM(C624:D647)+SUM(C668:D713)</f>
        <v>53587868.849367283</v>
      </c>
      <c r="F612" s="219">
        <f>CE64-(AX64+BD64+BE64+BG64+BJ64+BN64+BP64+BQ64+CB64+CC64+CD64)</f>
        <v>7192612.379999999</v>
      </c>
      <c r="G612" s="217">
        <f>CE91-(AX91+AY91+BD91+BE91+BG91+BJ91+BN91+BP91+BQ91+CB91+CC91+CD91)</f>
        <v>36484</v>
      </c>
      <c r="H612" s="222">
        <f>CE60-(AX60+AY60+AZ60+BD60+BE60+BG60+BJ60+BN60+BO60+BP60+BQ60+BR60+CB60+CC60+CD60)</f>
        <v>189.70989704100225</v>
      </c>
      <c r="I612" s="217">
        <f>CE92-(AX92+AY92+AZ92+BD92+BE92+BF92+BG92+BJ92+BN92+BO92+BP92+BQ92+BR92+CB92+CC92+CD92)</f>
        <v>34240</v>
      </c>
      <c r="J612" s="217">
        <f>CE93-(AX93+AY93+AZ93+BA93+BD93+BE93+BF93+BG93+BJ93+BN93+BO93+BP93+BQ93+BR93+CB93+CC93+CD93)</f>
        <v>239505</v>
      </c>
      <c r="K612" s="217">
        <f>CE89-(AW89+AX89+AY89+AZ89+BA89+BB89+BC89+BD89+BE89+BF89+BG89+BH89+BI89+BJ89+BK89+BL89+BM89+BN89+BO89+BP89+BQ89+BR89+BS89+BT89+BU89+BV89+BW89+BX89+CB89+CC89+CD89)</f>
        <v>228973763.53999999</v>
      </c>
      <c r="L612" s="223">
        <f>CE94-(AW94+AX94+AY94+AZ94+BA94+BB94+BC94+BD94+BE94+BF94+BG94+BH94+BI94+BJ94+BK94+BL94+BM94+BN94+BO94+BP94+BQ94+BR94+BS94+BT94+BU94+BV94+BW94+BX94+BY94+BZ94+CA94+CB94+CC94+CD94)</f>
        <v>63.611332169200089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2399050.4300000002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1309703.48</v>
      </c>
      <c r="D615" s="217">
        <f>SUM(C614:C615)</f>
        <v>3708753.91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75366.149999999994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60775.76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57079.239999999991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3456915.6300000008</v>
      </c>
      <c r="D619" s="217">
        <f>(D615/D612)*BN90</f>
        <v>421831.73161870014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3873310.0300000003</v>
      </c>
      <c r="D620" s="217">
        <f>(D615/D612)*CC90</f>
        <v>85907.099014020991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127838.26000000001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8159023.9006327223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31838.6</v>
      </c>
      <c r="D624" s="217">
        <f>(D615/D612)*BD90</f>
        <v>163198.1467994971</v>
      </c>
      <c r="E624" s="219">
        <f>(E623/E612)*SUM(C624:D624)</f>
        <v>29695.330544154273</v>
      </c>
      <c r="F624" s="219">
        <f>SUM(C624:E624)</f>
        <v>224732.07734365138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0</v>
      </c>
      <c r="D625" s="217">
        <f>(D615/D612)*AY90</f>
        <v>0</v>
      </c>
      <c r="E625" s="219">
        <f>(E623/E612)*SUM(C625:D625)</f>
        <v>0</v>
      </c>
      <c r="F625" s="219">
        <f>(F624/F612)*AY64</f>
        <v>0</v>
      </c>
      <c r="G625" s="217">
        <f>SUM(C625:F625)</f>
        <v>0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673349.01000000013</v>
      </c>
      <c r="D626" s="217">
        <f>(D615/D612)*BR90</f>
        <v>0</v>
      </c>
      <c r="E626" s="219">
        <f>(E623/E612)*SUM(C626:D626)</f>
        <v>102520.79032104016</v>
      </c>
      <c r="F626" s="219">
        <f>(F624/F612)*BR64</f>
        <v>33.87503882343789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99229.36</v>
      </c>
      <c r="D627" s="217">
        <f>(D615/D612)*BO90</f>
        <v>0</v>
      </c>
      <c r="E627" s="219">
        <f>(E623/E612)*SUM(C627:D627)</f>
        <v>15108.171630416458</v>
      </c>
      <c r="F627" s="219">
        <f>(F624/F612)*BO64</f>
        <v>121.32249326666826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1737133.7899999998</v>
      </c>
      <c r="D628" s="217">
        <f>(D615/D612)*AZ90</f>
        <v>224828.25441073577</v>
      </c>
      <c r="E628" s="219">
        <f>(E623/E612)*SUM(C628:D628)</f>
        <v>298718.63830745406</v>
      </c>
      <c r="F628" s="219">
        <f>(F624/F612)*AZ64</f>
        <v>10820.135076381845</v>
      </c>
      <c r="G628" s="217">
        <f>(G625/G612)*AZ91</f>
        <v>0</v>
      </c>
      <c r="H628" s="219">
        <f>SUM(C626:G628)</f>
        <v>3161863.3472781181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1546953.14</v>
      </c>
      <c r="D629" s="217">
        <f>(D615/D612)*BF90</f>
        <v>19512.82189993987</v>
      </c>
      <c r="E629" s="219">
        <f>(E623/E612)*SUM(C629:D629)</f>
        <v>238502.36064799468</v>
      </c>
      <c r="F629" s="219">
        <f>(F624/F612)*BF64</f>
        <v>2198.5290132108689</v>
      </c>
      <c r="G629" s="217">
        <f>(G625/G612)*BF91</f>
        <v>0</v>
      </c>
      <c r="H629" s="219">
        <f>(H628/H612)*BF60</f>
        <v>276413.56976973568</v>
      </c>
      <c r="I629" s="217">
        <f>SUM(C629:H629)</f>
        <v>2083580.4213308811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297306.45999999996</v>
      </c>
      <c r="D630" s="217">
        <f>(D615/D612)*BA90</f>
        <v>20931.936219935498</v>
      </c>
      <c r="E630" s="219">
        <f>(E623/E612)*SUM(C630:D630)</f>
        <v>48453.404410542011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366691.80063047743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70159.760000000009</v>
      </c>
      <c r="D634" s="217">
        <f>(D615/D612)*BI90</f>
        <v>0</v>
      </c>
      <c r="E634" s="219">
        <f>(E623/E612)*SUM(C634:D634)</f>
        <v>10682.178093548397</v>
      </c>
      <c r="F634" s="219">
        <f>(F624/F612)*BI64</f>
        <v>0</v>
      </c>
      <c r="G634" s="217">
        <f>(G625/G612)*BI91</f>
        <v>0</v>
      </c>
      <c r="H634" s="219">
        <f>(H628/H612)*BI60</f>
        <v>-461.2049578032412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2837564.57</v>
      </c>
      <c r="D635" s="217">
        <f>(D615/D612)*BK90</f>
        <v>60819.185142669732</v>
      </c>
      <c r="E635" s="219">
        <f>(E623/E612)*SUM(C635:D635)</f>
        <v>441293.57705729839</v>
      </c>
      <c r="F635" s="219">
        <f>(F624/F612)*BK64</f>
        <v>29.488887123504103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2481522</v>
      </c>
      <c r="D636" s="217">
        <f>(D615/D612)*BH90</f>
        <v>86667.338828304361</v>
      </c>
      <c r="E636" s="219">
        <f>(E623/E612)*SUM(C636:D636)</f>
        <v>391019.80815379426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6770.71</v>
      </c>
      <c r="D637" s="217">
        <f>(D615/D612)*BL90</f>
        <v>21286.714799934405</v>
      </c>
      <c r="E637" s="219">
        <f>(E623/E612)*SUM(C637:D637)</f>
        <v>4271.8847464592345</v>
      </c>
      <c r="F637" s="219">
        <f>(F624/F612)*BL64</f>
        <v>90.725976297298274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25553.24</v>
      </c>
      <c r="D642" s="217">
        <f>(D615/D612)*BV90</f>
        <v>138211.59823671696</v>
      </c>
      <c r="E642" s="219">
        <f>(E623/E612)*SUM(C642:D642)</f>
        <v>24934.02439668771</v>
      </c>
      <c r="F642" s="219">
        <f>(F624/F612)*BV64</f>
        <v>13.848966230792499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800671.6</v>
      </c>
      <c r="D643" s="217">
        <f>(D615/D612)*BW90</f>
        <v>0</v>
      </c>
      <c r="E643" s="219">
        <f>(E623/E612)*SUM(C643:D643)</f>
        <v>121906.29822060883</v>
      </c>
      <c r="F643" s="219">
        <f>(F624/F612)*BW64</f>
        <v>34.978919287597037</v>
      </c>
      <c r="G643" s="217">
        <f>(G625/G612)*BW91</f>
        <v>0</v>
      </c>
      <c r="H643" s="219">
        <f>(H628/H612)*BW60</f>
        <v>13374.864258197822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709621.53999999992</v>
      </c>
      <c r="D644" s="217">
        <f>(D615/D612)*BX90</f>
        <v>0</v>
      </c>
      <c r="E644" s="219">
        <f>(E623/E612)*SUM(C644:D644)</f>
        <v>108043.46635875145</v>
      </c>
      <c r="F644" s="219">
        <f>(F624/F612)*BX64</f>
        <v>18.379156677960182</v>
      </c>
      <c r="G644" s="217">
        <f>(G625/G612)*BX91</f>
        <v>0</v>
      </c>
      <c r="H644" s="219">
        <f>(H628/H612)*BX60</f>
        <v>63259.190084677255</v>
      </c>
      <c r="I644" s="217">
        <f>(I629/I612)*BX92</f>
        <v>0</v>
      </c>
      <c r="J644" s="217">
        <f>(J630/J612)*BX93</f>
        <v>0</v>
      </c>
      <c r="K644" s="219">
        <f>SUM(C631:J644)</f>
        <v>8417359.7653254624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908153.50999999989</v>
      </c>
      <c r="D645" s="217">
        <f>(D615/D612)*BY90</f>
        <v>37859.942751311908</v>
      </c>
      <c r="E645" s="219">
        <f>(E623/E612)*SUM(C645:D645)</f>
        <v>144035.32995526414</v>
      </c>
      <c r="F645" s="219">
        <f>(F624/F612)*BY64</f>
        <v>31.71726965120946</v>
      </c>
      <c r="G645" s="217">
        <f>(G625/G612)*BY91</f>
        <v>0</v>
      </c>
      <c r="H645" s="219">
        <f>(H628/H612)*BY60</f>
        <v>89445.850962072087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92192.239999999991</v>
      </c>
      <c r="D647" s="217">
        <f>(D615/D612)*CA90</f>
        <v>0</v>
      </c>
      <c r="E647" s="219">
        <f>(E623/E612)*SUM(C647:D647)</f>
        <v>14036.734540185942</v>
      </c>
      <c r="F647" s="219">
        <f>(F624/F612)*CA64</f>
        <v>328.18869241496998</v>
      </c>
      <c r="G647" s="217">
        <f>(G625/G612)*CA91</f>
        <v>0</v>
      </c>
      <c r="H647" s="219">
        <f>(H628/H612)*CA60</f>
        <v>5244.9341054731012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1291328.4482763731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23678058.509999998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3181</v>
      </c>
      <c r="D668" s="217">
        <f>(D615/D612)*C90</f>
        <v>0</v>
      </c>
      <c r="E668" s="219">
        <f>(E623/E612)*SUM(C668:D668)</f>
        <v>484.32332886511364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9.1167878342360531</v>
      </c>
      <c r="L668" s="217">
        <f>(L647/L612)*C94</f>
        <v>0</v>
      </c>
      <c r="M668" s="202">
        <f t="shared" ref="M668:M713" si="24">ROUND(SUM(D668:L668),0)</f>
        <v>493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-9058.0299999999988</v>
      </c>
      <c r="D669" s="217">
        <f>(D615/D612)*D90</f>
        <v>111501.83942822783</v>
      </c>
      <c r="E669" s="219">
        <f>(E623/E612)*SUM(C669:D669)</f>
        <v>15597.587803804658</v>
      </c>
      <c r="F669" s="219">
        <f>(F624/F612)*D64</f>
        <v>0</v>
      </c>
      <c r="G669" s="217">
        <f>(G625/G612)*D91</f>
        <v>0</v>
      </c>
      <c r="H669" s="219">
        <f>(H628/H612)*D60</f>
        <v>-3250.3021810702562</v>
      </c>
      <c r="I669" s="217">
        <f>(I629/I612)*D92</f>
        <v>62495.242193540151</v>
      </c>
      <c r="J669" s="217">
        <f>(J630/J612)*D93</f>
        <v>0</v>
      </c>
      <c r="K669" s="217">
        <f>(K644/K612)*D89</f>
        <v>-321.2932486742867</v>
      </c>
      <c r="L669" s="217">
        <f>(L647/L612)*D94</f>
        <v>-3958.8847543065763</v>
      </c>
      <c r="M669" s="202">
        <f t="shared" si="24"/>
        <v>182064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5380030.1100000003</v>
      </c>
      <c r="D670" s="217">
        <f>(D615/D612)*E90</f>
        <v>467547.48578427354</v>
      </c>
      <c r="E670" s="219">
        <f>(E623/E612)*SUM(C670:D670)</f>
        <v>890323.24645938305</v>
      </c>
      <c r="F670" s="219">
        <f>(F624/F612)*E64</f>
        <v>10160.151723695451</v>
      </c>
      <c r="G670" s="217">
        <f>(G625/G612)*E91</f>
        <v>0</v>
      </c>
      <c r="H670" s="219">
        <f>(H628/H612)*E60</f>
        <v>529768.6410474251</v>
      </c>
      <c r="I670" s="217">
        <f>(I629/I612)*E92</f>
        <v>262029.71069657634</v>
      </c>
      <c r="J670" s="217">
        <f>(J630/J612)*E93</f>
        <v>186381.1876568388</v>
      </c>
      <c r="K670" s="217">
        <f>(K644/K612)*E89</f>
        <v>391171.0441924347</v>
      </c>
      <c r="L670" s="217">
        <f>(L647/L612)*E94</f>
        <v>441923.30746150611</v>
      </c>
      <c r="M670" s="202">
        <f t="shared" si="24"/>
        <v>3179305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95893.4</v>
      </c>
      <c r="D673" s="217">
        <f>(D615/D612)*H90</f>
        <v>0</v>
      </c>
      <c r="E673" s="219">
        <f>(E623/E612)*SUM(C673:D673)</f>
        <v>14600.254858281636</v>
      </c>
      <c r="F673" s="219">
        <f>(F624/F612)*H64</f>
        <v>2996.1746646419033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17596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4760190.0599999996</v>
      </c>
      <c r="D674" s="217">
        <f>(D615/D612)*I90</f>
        <v>0</v>
      </c>
      <c r="E674" s="219">
        <f>(E623/E612)*SUM(C674:D674)</f>
        <v>724762.9977647987</v>
      </c>
      <c r="F674" s="219">
        <f>(F624/F612)*I64</f>
        <v>5676.5273475315662</v>
      </c>
      <c r="G674" s="217">
        <f>(G625/G612)*I91</f>
        <v>0</v>
      </c>
      <c r="H674" s="219">
        <f>(H628/H612)*I60</f>
        <v>477842.84713789698</v>
      </c>
      <c r="I674" s="217">
        <f>(I629/I612)*I92</f>
        <v>442821.69176474359</v>
      </c>
      <c r="J674" s="217">
        <f>(J630/J612)*I93</f>
        <v>16056.019344948194</v>
      </c>
      <c r="K674" s="217">
        <f>(K644/K612)*I89</f>
        <v>309434.21928649145</v>
      </c>
      <c r="L674" s="217">
        <f>(L647/L612)*I94</f>
        <v>189285.53931691882</v>
      </c>
      <c r="M674" s="202">
        <f t="shared" si="24"/>
        <v>2165880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1737409.72</v>
      </c>
      <c r="D679" s="217">
        <f>(D615/D612)*N90</f>
        <v>0</v>
      </c>
      <c r="E679" s="219">
        <f>(E623/E612)*SUM(C679:D679)</f>
        <v>264529.41188085667</v>
      </c>
      <c r="F679" s="219">
        <f>(F624/F612)*N64</f>
        <v>18.165754369151607</v>
      </c>
      <c r="G679" s="217">
        <f>(G625/G612)*N91</f>
        <v>0</v>
      </c>
      <c r="H679" s="219">
        <f>(H628/H612)*N60</f>
        <v>22820.421312104372</v>
      </c>
      <c r="I679" s="217">
        <f>(I629/I612)*N92</f>
        <v>0</v>
      </c>
      <c r="J679" s="217">
        <f>(J630/J612)*N93</f>
        <v>0</v>
      </c>
      <c r="K679" s="217">
        <f>(K644/K612)*N89</f>
        <v>16887.158445824003</v>
      </c>
      <c r="L679" s="217">
        <f>(L647/L612)*N94</f>
        <v>0</v>
      </c>
      <c r="M679" s="202">
        <f t="shared" si="24"/>
        <v>304255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5115946.8500000006</v>
      </c>
      <c r="D681" s="217">
        <f>(D615/D612)*P90</f>
        <v>326852.43748756422</v>
      </c>
      <c r="E681" s="219">
        <f>(E623/E612)*SUM(C681:D681)</f>
        <v>828693.70300554729</v>
      </c>
      <c r="F681" s="219">
        <f>(F624/F612)*P64</f>
        <v>99549.226920693982</v>
      </c>
      <c r="G681" s="217">
        <f>(G625/G612)*P91</f>
        <v>0</v>
      </c>
      <c r="H681" s="219">
        <f>(H628/H612)*P60</f>
        <v>139185.5333716129</v>
      </c>
      <c r="I681" s="217">
        <f>(I629/I612)*P92</f>
        <v>153956.14678642317</v>
      </c>
      <c r="J681" s="217">
        <f>(J630/J612)*P93</f>
        <v>84655.80982551926</v>
      </c>
      <c r="K681" s="217">
        <f>(K644/K612)*P89</f>
        <v>1032963.6027639519</v>
      </c>
      <c r="L681" s="217">
        <f>(L647/L612)*P94</f>
        <v>81038.153000393911</v>
      </c>
      <c r="M681" s="202">
        <f t="shared" si="24"/>
        <v>2746895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599048.76</v>
      </c>
      <c r="D682" s="217">
        <f>(D615/D612)*Q90</f>
        <v>230352.6637278616</v>
      </c>
      <c r="E682" s="219">
        <f>(E623/E612)*SUM(C682:D682)</f>
        <v>126280.55910259119</v>
      </c>
      <c r="F682" s="219">
        <f>(F624/F612)*Q64</f>
        <v>278.4697038442788</v>
      </c>
      <c r="G682" s="217">
        <f>(G625/G612)*Q91</f>
        <v>0</v>
      </c>
      <c r="H682" s="219">
        <f>(H628/H612)*Q60</f>
        <v>47842.619189142191</v>
      </c>
      <c r="I682" s="217">
        <f>(I629/I612)*Q92</f>
        <v>17038.624940789916</v>
      </c>
      <c r="J682" s="217">
        <f>(J630/J612)*Q93</f>
        <v>0</v>
      </c>
      <c r="K682" s="217">
        <f>(K644/K612)*Q89</f>
        <v>80869.253362629097</v>
      </c>
      <c r="L682" s="217">
        <f>(L647/L612)*Q94</f>
        <v>58272.55595405092</v>
      </c>
      <c r="M682" s="202">
        <f t="shared" si="24"/>
        <v>560935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741362.75</v>
      </c>
      <c r="D683" s="217">
        <f>(D615/D612)*R90</f>
        <v>9224.2430799715748</v>
      </c>
      <c r="E683" s="219">
        <f>(E623/E612)*SUM(C683:D683)</f>
        <v>114280.6636565067</v>
      </c>
      <c r="F683" s="219">
        <f>(F624/F612)*R64</f>
        <v>1337.2782256097591</v>
      </c>
      <c r="G683" s="217">
        <f>(G625/G612)*R91</f>
        <v>0</v>
      </c>
      <c r="H683" s="219">
        <f>(H628/H612)*R60</f>
        <v>0</v>
      </c>
      <c r="I683" s="217">
        <f>(I629/I612)*R92</f>
        <v>5172.4397141683667</v>
      </c>
      <c r="J683" s="217">
        <f>(J630/J612)*R93</f>
        <v>0</v>
      </c>
      <c r="K683" s="217">
        <f>(K644/K612)*R89</f>
        <v>111583.30720251641</v>
      </c>
      <c r="L683" s="217">
        <f>(L647/L612)*R94</f>
        <v>0</v>
      </c>
      <c r="M683" s="202">
        <f t="shared" si="24"/>
        <v>241598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320700.56</v>
      </c>
      <c r="D684" s="217">
        <f>(D615/D612)*S90</f>
        <v>0</v>
      </c>
      <c r="E684" s="219">
        <f>(E623/E612)*SUM(C684:D684)</f>
        <v>48828.281291451152</v>
      </c>
      <c r="F684" s="219">
        <f>(F624/F612)*S64</f>
        <v>2593.7832086627595</v>
      </c>
      <c r="G684" s="217">
        <f>(G625/G612)*S91</f>
        <v>0</v>
      </c>
      <c r="H684" s="219">
        <f>(H628/H612)*S60</f>
        <v>32456.265170152852</v>
      </c>
      <c r="I684" s="217">
        <f>(I629/I612)*S92</f>
        <v>0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24"/>
        <v>83878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4043994.28</v>
      </c>
      <c r="D686" s="217">
        <f>(D615/D612)*U90</f>
        <v>64873.797485514377</v>
      </c>
      <c r="E686" s="219">
        <f>(E623/E612)*SUM(C686:D686)</f>
        <v>625595.93371750519</v>
      </c>
      <c r="F686" s="219">
        <f>(F624/F612)*U64</f>
        <v>35779.122017352063</v>
      </c>
      <c r="G686" s="217">
        <f>(G625/G612)*U91</f>
        <v>0</v>
      </c>
      <c r="H686" s="219">
        <f>(H628/H612)*U60</f>
        <v>282055.29917511193</v>
      </c>
      <c r="I686" s="217">
        <f>(I629/I612)*U92</f>
        <v>36389.634694972745</v>
      </c>
      <c r="J686" s="217">
        <f>(J630/J612)*U93</f>
        <v>0</v>
      </c>
      <c r="K686" s="217">
        <f>(K644/K612)*U89</f>
        <v>1055257.4354736283</v>
      </c>
      <c r="L686" s="217">
        <f>(L647/L612)*U94</f>
        <v>0</v>
      </c>
      <c r="M686" s="202">
        <f t="shared" si="24"/>
        <v>2099951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11387.934080957575</v>
      </c>
      <c r="L687" s="217">
        <f>(L647/L612)*V94</f>
        <v>0</v>
      </c>
      <c r="M687" s="202">
        <f t="shared" si="24"/>
        <v>11388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947089.33000000007</v>
      </c>
      <c r="D688" s="217">
        <f>(D615/D612)*W90</f>
        <v>24327.674057067892</v>
      </c>
      <c r="E688" s="219">
        <f>(E623/E612)*SUM(C688:D688)</f>
        <v>147903.14904781349</v>
      </c>
      <c r="F688" s="219">
        <f>(F624/F612)*W64</f>
        <v>875.1603688361613</v>
      </c>
      <c r="G688" s="217">
        <f>(G625/G612)*W91</f>
        <v>0</v>
      </c>
      <c r="H688" s="219">
        <f>(H628/H612)*W60</f>
        <v>45039.049672371686</v>
      </c>
      <c r="I688" s="217">
        <f>(I629/I612)*W92</f>
        <v>13630.899952631931</v>
      </c>
      <c r="J688" s="217">
        <f>(J630/J612)*W93</f>
        <v>0</v>
      </c>
      <c r="K688" s="217">
        <f>(K644/K612)*W89</f>
        <v>357856.10790286976</v>
      </c>
      <c r="L688" s="217">
        <f>(L647/L612)*W94</f>
        <v>0</v>
      </c>
      <c r="M688" s="202">
        <f t="shared" si="24"/>
        <v>589632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1590426.91</v>
      </c>
      <c r="D689" s="217">
        <f>(D615/D612)*X90</f>
        <v>20526.474985651035</v>
      </c>
      <c r="E689" s="219">
        <f>(E623/E612)*SUM(C689:D689)</f>
        <v>245275.79568147546</v>
      </c>
      <c r="F689" s="219">
        <f>(F624/F612)*X64</f>
        <v>110.45616018358682</v>
      </c>
      <c r="G689" s="217">
        <f>(G625/G612)*X91</f>
        <v>0</v>
      </c>
      <c r="H689" s="219">
        <f>(H628/H612)*X60</f>
        <v>132712.12419836351</v>
      </c>
      <c r="I689" s="217">
        <f>(I629/I612)*X92</f>
        <v>11440.219603101799</v>
      </c>
      <c r="J689" s="217">
        <f>(J630/J612)*X93</f>
        <v>0</v>
      </c>
      <c r="K689" s="217">
        <f>(K644/K612)*X89</f>
        <v>1560660.9463859636</v>
      </c>
      <c r="L689" s="217">
        <f>(L647/L612)*X94</f>
        <v>0</v>
      </c>
      <c r="M689" s="202">
        <f t="shared" si="24"/>
        <v>1970726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1805243.48</v>
      </c>
      <c r="D690" s="217">
        <f>(D615/D612)*Y90</f>
        <v>181342.5370337269</v>
      </c>
      <c r="E690" s="219">
        <f>(E623/E612)*SUM(C690:D690)</f>
        <v>302467.76260504936</v>
      </c>
      <c r="F690" s="219">
        <f>(F624/F612)*Y64</f>
        <v>5210.7597801149313</v>
      </c>
      <c r="G690" s="217">
        <f>(G625/G612)*Y91</f>
        <v>0</v>
      </c>
      <c r="H690" s="219">
        <f>(H628/H612)*Y60</f>
        <v>128150.96620188183</v>
      </c>
      <c r="I690" s="217">
        <f>(I629/I612)*Y92</f>
        <v>72353.303766425743</v>
      </c>
      <c r="J690" s="217">
        <f>(J630/J612)*Y93</f>
        <v>0</v>
      </c>
      <c r="K690" s="217">
        <f>(K644/K612)*Y89</f>
        <v>581545.04330160865</v>
      </c>
      <c r="L690" s="217">
        <f>(L647/L612)*Y94</f>
        <v>0</v>
      </c>
      <c r="M690" s="202">
        <f t="shared" si="24"/>
        <v>1271070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12109.594154347118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12110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1989069.2499999998</v>
      </c>
      <c r="D693" s="217">
        <f>(D615/D612)*AB90</f>
        <v>41103.632625587627</v>
      </c>
      <c r="E693" s="219">
        <f>(E623/E612)*SUM(C693:D693)</f>
        <v>309104.08320808178</v>
      </c>
      <c r="F693" s="219">
        <f>(F624/F612)*AB64</f>
        <v>23999.154597499237</v>
      </c>
      <c r="G693" s="217">
        <f>(G625/G612)*AB91</f>
        <v>0</v>
      </c>
      <c r="H693" s="219">
        <f>(H628/H612)*AB60</f>
        <v>85588.82570720205</v>
      </c>
      <c r="I693" s="217">
        <f>(I629/I612)*AB92</f>
        <v>23002.143670066383</v>
      </c>
      <c r="J693" s="217">
        <f>(J630/J612)*AB93</f>
        <v>0</v>
      </c>
      <c r="K693" s="217">
        <f>(K644/K612)*AB89</f>
        <v>435471.36389897374</v>
      </c>
      <c r="L693" s="217">
        <f>(L647/L612)*AB94</f>
        <v>0</v>
      </c>
      <c r="M693" s="202">
        <f t="shared" si="24"/>
        <v>918269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728005.33000000007</v>
      </c>
      <c r="D694" s="217">
        <f>(D615/D612)*AC90</f>
        <v>38772.230528451953</v>
      </c>
      <c r="E694" s="219">
        <f>(E623/E612)*SUM(C694:D694)</f>
        <v>116745.75938830904</v>
      </c>
      <c r="F694" s="219">
        <f>(F624/F612)*AC64</f>
        <v>822.84649567593101</v>
      </c>
      <c r="G694" s="217">
        <f>(G625/G612)*AC91</f>
        <v>0</v>
      </c>
      <c r="H694" s="219">
        <f>(H628/H612)*AC60</f>
        <v>79452.493743629922</v>
      </c>
      <c r="I694" s="217">
        <f>(I629/I612)*AC92</f>
        <v>21663.39456757575</v>
      </c>
      <c r="J694" s="217">
        <f>(J630/J612)*AC93</f>
        <v>0</v>
      </c>
      <c r="K694" s="217">
        <f>(K644/K612)*AC89</f>
        <v>30870.105309066083</v>
      </c>
      <c r="L694" s="217">
        <f>(L647/L612)*AC94</f>
        <v>0</v>
      </c>
      <c r="M694" s="202">
        <f t="shared" si="24"/>
        <v>288327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1208438.1000000001</v>
      </c>
      <c r="D696" s="217">
        <f>(D615/D612)*AE90</f>
        <v>13177.490114245109</v>
      </c>
      <c r="E696" s="219">
        <f>(E623/E612)*SUM(C696:D696)</f>
        <v>185997.14844314725</v>
      </c>
      <c r="F696" s="219">
        <f>(F624/F612)*AE64</f>
        <v>360.50992496944008</v>
      </c>
      <c r="G696" s="217">
        <f>(G625/G612)*AE91</f>
        <v>0</v>
      </c>
      <c r="H696" s="219">
        <f>(H628/H612)*AE60</f>
        <v>131603.64193771229</v>
      </c>
      <c r="I696" s="217">
        <f>(I629/I612)*AE92</f>
        <v>7363.1200636984986</v>
      </c>
      <c r="J696" s="217">
        <f>(J630/J612)*AE93</f>
        <v>0</v>
      </c>
      <c r="K696" s="217">
        <f>(K644/K612)*AE89</f>
        <v>136304.58025228549</v>
      </c>
      <c r="L696" s="217">
        <f>(L647/L612)*AE94</f>
        <v>0</v>
      </c>
      <c r="M696" s="202">
        <f t="shared" si="24"/>
        <v>474806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5845984.9500000002</v>
      </c>
      <c r="D698" s="217">
        <f>(D615/D612)*AG90</f>
        <v>395324.70342735323</v>
      </c>
      <c r="E698" s="219">
        <f>(E623/E612)*SUM(C698:D698)</f>
        <v>950270.94241619122</v>
      </c>
      <c r="F698" s="219">
        <f>(F624/F612)*AG64</f>
        <v>18972.519766687332</v>
      </c>
      <c r="G698" s="217">
        <f>(G625/G612)*AG91</f>
        <v>0</v>
      </c>
      <c r="H698" s="219">
        <f>(H628/H612)*AG60</f>
        <v>501997.34354949533</v>
      </c>
      <c r="I698" s="217">
        <f>(I629/I612)*AG92</f>
        <v>221562.97646220028</v>
      </c>
      <c r="J698" s="217">
        <f>(J630/J612)*AG93</f>
        <v>79598.783803171216</v>
      </c>
      <c r="K698" s="217">
        <f>(K644/K612)*AG89</f>
        <v>2206998.6710771536</v>
      </c>
      <c r="L698" s="217">
        <f>(L647/L612)*AG94</f>
        <v>431877.86137105548</v>
      </c>
      <c r="M698" s="202">
        <f t="shared" si="24"/>
        <v>4806604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17038.624940789916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17039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1109821.92</v>
      </c>
      <c r="D701" s="217">
        <f>(D615/D612)*AJ90</f>
        <v>196395.28535653767</v>
      </c>
      <c r="E701" s="219">
        <f>(E623/E612)*SUM(C701:D701)</f>
        <v>198878.1719959648</v>
      </c>
      <c r="F701" s="219">
        <f>(F624/F612)*AJ64</f>
        <v>2270.5811939177524</v>
      </c>
      <c r="G701" s="217">
        <f>(G625/G612)*AJ91</f>
        <v>0</v>
      </c>
      <c r="H701" s="219">
        <f>(H628/H612)*AJ60</f>
        <v>81320.373822733061</v>
      </c>
      <c r="I701" s="217">
        <f>(I629/I612)*AJ92</f>
        <v>0</v>
      </c>
      <c r="J701" s="217">
        <f>(J630/J612)*AJ93</f>
        <v>0</v>
      </c>
      <c r="K701" s="217">
        <f>(K644/K612)*AJ89</f>
        <v>98295.995881058188</v>
      </c>
      <c r="L701" s="217">
        <f>(L647/L612)*AJ94</f>
        <v>92889.91592675446</v>
      </c>
      <c r="M701" s="202">
        <f t="shared" si="24"/>
        <v>670050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277.62</v>
      </c>
      <c r="D702" s="217">
        <f>(D615/D612)*AK90</f>
        <v>0</v>
      </c>
      <c r="E702" s="219">
        <f>(E623/E612)*SUM(C702:D702)</f>
        <v>42.269048273980779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42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115.89</v>
      </c>
      <c r="D707" s="217">
        <f>(D615/D612)*AP90</f>
        <v>0</v>
      </c>
      <c r="E707" s="219">
        <f>(E623/E612)*SUM(C707:D707)</f>
        <v>17.644838284243328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18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55662</v>
      </c>
      <c r="D713" s="217">
        <f>(D615/D612)*AV90</f>
        <v>306376.64515619876</v>
      </c>
      <c r="E713" s="219">
        <f>(E623/E612)*SUM(C713:D713)</f>
        <v>55122.213706339462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703512.65335882932</v>
      </c>
      <c r="J713" s="217">
        <f>(J630/J612)*AV93</f>
        <v>0</v>
      </c>
      <c r="K713" s="217">
        <f>(K644/K612)*AV89</f>
        <v>115.17296888976432</v>
      </c>
      <c r="L713" s="217">
        <f>(L647/L612)*AV94</f>
        <v>0</v>
      </c>
      <c r="M713" s="202">
        <f t="shared" si="24"/>
        <v>1065127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61746892.75</v>
      </c>
      <c r="D715" s="202">
        <f>SUM(D616:D647)+SUM(D668:D713)</f>
        <v>3708753.9099999997</v>
      </c>
      <c r="E715" s="202">
        <f>SUM(E624:E647)+SUM(E668:E713)</f>
        <v>8159023.9006327223</v>
      </c>
      <c r="F715" s="202">
        <f>SUM(F625:F648)+SUM(F668:F713)</f>
        <v>224732.07734365144</v>
      </c>
      <c r="G715" s="202">
        <f>SUM(G626:G647)+SUM(G668:G713)</f>
        <v>0</v>
      </c>
      <c r="H715" s="202">
        <f>SUM(H629:H647)+SUM(H668:H713)</f>
        <v>3161863.3472781186</v>
      </c>
      <c r="I715" s="202">
        <f>SUM(I630:I647)+SUM(I668:I713)</f>
        <v>2083580.4213308813</v>
      </c>
      <c r="J715" s="202">
        <f>SUM(J631:J647)+SUM(J668:J713)</f>
        <v>366691.80063047749</v>
      </c>
      <c r="K715" s="202">
        <f>SUM(K668:K713)</f>
        <v>8417359.7653254624</v>
      </c>
      <c r="L715" s="202">
        <f>SUM(L668:L713)</f>
        <v>1291328.4482763731</v>
      </c>
      <c r="M715" s="202">
        <f>SUM(M668:M713)</f>
        <v>23678058</v>
      </c>
      <c r="N715" s="211" t="s">
        <v>694</v>
      </c>
    </row>
    <row r="716" spans="1:14" s="202" customFormat="1" ht="12.6" customHeight="1" x14ac:dyDescent="0.2">
      <c r="C716" s="214">
        <f>CE85</f>
        <v>61746892.75</v>
      </c>
      <c r="D716" s="202">
        <f>D615</f>
        <v>3708753.91</v>
      </c>
      <c r="E716" s="202">
        <f>E623</f>
        <v>8159023.9006327223</v>
      </c>
      <c r="F716" s="202">
        <f>F624</f>
        <v>224732.07734365138</v>
      </c>
      <c r="G716" s="202">
        <f>G625</f>
        <v>0</v>
      </c>
      <c r="H716" s="202">
        <f>H628</f>
        <v>3161863.3472781181</v>
      </c>
      <c r="I716" s="202">
        <f>I629</f>
        <v>2083580.4213308811</v>
      </c>
      <c r="J716" s="202">
        <f>J630</f>
        <v>366691.80063047743</v>
      </c>
      <c r="K716" s="202">
        <f>K644</f>
        <v>8417359.7653254624</v>
      </c>
      <c r="L716" s="202">
        <f>L647</f>
        <v>1291328.4482763731</v>
      </c>
      <c r="M716" s="202">
        <f>C648</f>
        <v>23678058.509999998</v>
      </c>
      <c r="N716" s="211" t="s">
        <v>695</v>
      </c>
    </row>
  </sheetData>
  <sheetProtection algorithmName="SHA-512" hashValue="asVh5SC1oN2dTLoYiSw92GMxNuUt1EaQW/JTYntcKzhZrzfsnDpHI4b7abPL/QK8LnXZK6kvSDSpTDfcPBDHOg==" saltValue="aaA7yn72DsI1nj1y2AdX2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EvergreenHealth Monroe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28350013.199999999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31012867.150000002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21227519.920000002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2001476.27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426665.31000000006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39178.25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899886.69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242583.27999999997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41745150.229999997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221741.35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221741.35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1878609.67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1233751.07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37642488.049999997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25107177.530000001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3109130.11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1442839.4800000004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48750440.100000001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21663555.81000001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6033421.8399999999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6033421.8399999999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69663869.230000004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EvergreenHealth Monroe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1637107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1310647.1682214288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3643676.51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1289885</v>
      </c>
    </row>
    <row r="62" spans="1:3" ht="20.100000000000001" customHeight="1" x14ac:dyDescent="0.25">
      <c r="A62" s="174">
        <v>6</v>
      </c>
      <c r="B62" s="176" t="s">
        <v>928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1364127.9717785714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624146.91999999993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9869590.5700000003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5674473.5199999996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5674473.5199999996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477</v>
      </c>
      <c r="C81" s="176">
        <f>data!C335</f>
        <v>22064875.18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 t="str">
        <f>data!C338</f>
        <v xml:space="preserve"> 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22064875.18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22064875.18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34495761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221741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34717502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69663869.230000004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EvergreenHealth Monroe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47462208.299999997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181511555.24000001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228973763.54000002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8475180.4100000001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144469538.32000002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1715375.0499999998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2969971.13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157630064.91000003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71343698.629999995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957</v>
      </c>
      <c r="B125" s="192" t="s">
        <v>503</v>
      </c>
      <c r="C125" s="191">
        <f>data!C370</f>
        <v>16094.08</v>
      </c>
    </row>
    <row r="126" spans="1:3" ht="20.100000000000001" customHeight="1" x14ac:dyDescent="0.25">
      <c r="A126" s="195" t="s">
        <v>958</v>
      </c>
      <c r="B126" s="192" t="s">
        <v>504</v>
      </c>
      <c r="C126" s="191">
        <f>data!C371</f>
        <v>25750</v>
      </c>
    </row>
    <row r="127" spans="1:3" ht="20.100000000000001" customHeight="1" x14ac:dyDescent="0.25">
      <c r="A127" s="195" t="s">
        <v>959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507</v>
      </c>
      <c r="C129" s="191">
        <f>data!C374</f>
        <v>7400.56</v>
      </c>
    </row>
    <row r="130" spans="1:3" ht="20.100000000000001" customHeight="1" x14ac:dyDescent="0.25">
      <c r="A130" s="195" t="s">
        <v>962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511</v>
      </c>
      <c r="C133" s="191">
        <f>data!C378</f>
        <v>872497.04</v>
      </c>
    </row>
    <row r="134" spans="1:3" ht="20.100000000000001" customHeight="1" x14ac:dyDescent="0.25">
      <c r="A134" s="195" t="s">
        <v>966</v>
      </c>
      <c r="B134" s="192" t="s">
        <v>512</v>
      </c>
      <c r="C134" s="191">
        <f>data!C379</f>
        <v>331024.56</v>
      </c>
    </row>
    <row r="135" spans="1:3" ht="20.100000000000001" customHeight="1" x14ac:dyDescent="0.25">
      <c r="A135" s="195" t="s">
        <v>967</v>
      </c>
      <c r="B135" s="192" t="s">
        <v>513</v>
      </c>
      <c r="C135" s="191">
        <f>data!C380</f>
        <v>1624497.03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2877263.27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74220961.899999991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26150371.160000004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6903658.9399999995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1754053.03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7444468.8300000001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583724.29999999993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14027313.08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2696514.77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510838.34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546111.23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777175.67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352661.11000000004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61746890.460000001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12474071.43999999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6574649.04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19048720.479999989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19048720.479999989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EvergreenHealth Monroe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4533.8900000000003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7039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-0.19501617381845246</v>
      </c>
      <c r="E10" s="245">
        <f>data!E60</f>
        <v>31.785799482819488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28.670283113388486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-29086.03</v>
      </c>
      <c r="E11" s="238">
        <f>data!E61</f>
        <v>3926762.5400000005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2916261.1500000004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-863</v>
      </c>
      <c r="E12" s="238">
        <f>data!E62</f>
        <v>956257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830187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400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325178.47000000003</v>
      </c>
      <c r="F14" s="238">
        <f>data!F64</f>
        <v>0</v>
      </c>
      <c r="G14" s="238">
        <f>data!G64</f>
        <v>0</v>
      </c>
      <c r="H14" s="238">
        <f>data!H64</f>
        <v>95893.4</v>
      </c>
      <c r="I14" s="238">
        <f>data!I64</f>
        <v>181678.83000000002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60190.76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0</v>
      </c>
      <c r="D16" s="238">
        <f>data!D66</f>
        <v>0</v>
      </c>
      <c r="E16" s="238">
        <f>data!E66</f>
        <v>33682.68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338861.77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3181</v>
      </c>
      <c r="D17" s="238">
        <f>data!D67</f>
        <v>20891</v>
      </c>
      <c r="E17" s="238">
        <f>data!E67</f>
        <v>130797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403037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6602.77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3001.72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0</v>
      </c>
      <c r="D19" s="238">
        <f>data!D69</f>
        <v>0</v>
      </c>
      <c r="E19" s="238">
        <f>data!E69</f>
        <v>349.65000000000003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26971.83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3181</v>
      </c>
      <c r="D21" s="238">
        <f>data!D85</f>
        <v>-9058.0299999999988</v>
      </c>
      <c r="E21" s="238">
        <f>data!E85</f>
        <v>5380030.1100000003</v>
      </c>
      <c r="F21" s="238">
        <f>data!F85</f>
        <v>0</v>
      </c>
      <c r="G21" s="238">
        <f>data!G85</f>
        <v>0</v>
      </c>
      <c r="H21" s="238">
        <f>data!H85</f>
        <v>95893.4</v>
      </c>
      <c r="I21" s="238">
        <f>data!I85</f>
        <v>4760190.0599999996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>
        <f>+data!M668</f>
        <v>493</v>
      </c>
      <c r="D23" s="246">
        <f>+data!M669</f>
        <v>182064</v>
      </c>
      <c r="E23" s="246">
        <f>+data!M670</f>
        <v>3179305</v>
      </c>
      <c r="F23" s="246">
        <f>+data!M671</f>
        <v>0</v>
      </c>
      <c r="G23" s="246">
        <f>+data!M672</f>
        <v>0</v>
      </c>
      <c r="H23" s="246">
        <f>+data!M673</f>
        <v>17596</v>
      </c>
      <c r="I23" s="246">
        <f>+data!M674</f>
        <v>2165880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172</v>
      </c>
      <c r="D24" s="238">
        <f>data!D87</f>
        <v>-12920</v>
      </c>
      <c r="E24" s="238">
        <f>data!E87</f>
        <v>8968751.1699999999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7692684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76</v>
      </c>
      <c r="D25" s="238">
        <f>data!D88</f>
        <v>4180</v>
      </c>
      <c r="E25" s="238">
        <f>data!E88</f>
        <v>1672104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724720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248</v>
      </c>
      <c r="D26" s="238">
        <f>data!D89</f>
        <v>-8740</v>
      </c>
      <c r="E26" s="238">
        <f>data!E89</f>
        <v>10640855.17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8417404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2200</v>
      </c>
      <c r="E28" s="238">
        <f>data!E90</f>
        <v>9225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2518</v>
      </c>
      <c r="E29" s="238">
        <f>data!E91</f>
        <v>12230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20818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1027</v>
      </c>
      <c r="E30" s="238">
        <f>data!E92</f>
        <v>4306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7277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121735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10487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-0.19501617381845246</v>
      </c>
      <c r="E32" s="245">
        <f>data!E94</f>
        <v>21.769310775866181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9.3242779034151084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EvergreenHealth Monroe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111841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1.3692115382780368</v>
      </c>
      <c r="H42" s="245">
        <f>data!O60</f>
        <v>0</v>
      </c>
      <c r="I42" s="245">
        <f>data!P60</f>
        <v>8.351048197024781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109008.88999999998</v>
      </c>
      <c r="H43" s="238">
        <f>data!O61</f>
        <v>0</v>
      </c>
      <c r="I43" s="238">
        <f>data!P61</f>
        <v>1211449.28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50479</v>
      </c>
      <c r="H44" s="238">
        <f>data!O62</f>
        <v>0</v>
      </c>
      <c r="I44" s="238">
        <f>data!P62</f>
        <v>267848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500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581.4</v>
      </c>
      <c r="H46" s="238">
        <f>data!O64</f>
        <v>0</v>
      </c>
      <c r="I46" s="238">
        <f>data!P64</f>
        <v>3186100.5800000005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475.21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1574445.43</v>
      </c>
      <c r="H48" s="238">
        <f>data!O66</f>
        <v>0</v>
      </c>
      <c r="I48" s="238">
        <f>data!P66</f>
        <v>192885.4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131068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126001.38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2395</v>
      </c>
      <c r="H51" s="238">
        <f>data!O69</f>
        <v>0</v>
      </c>
      <c r="I51" s="238">
        <f>data!P69</f>
        <v>119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1737409.72</v>
      </c>
      <c r="H53" s="238">
        <f>data!O85</f>
        <v>0</v>
      </c>
      <c r="I53" s="238">
        <f>data!P85</f>
        <v>5115946.8500000006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>
        <f>+data!M675</f>
        <v>0</v>
      </c>
      <c r="D55" s="246">
        <f>+data!M676</f>
        <v>0</v>
      </c>
      <c r="E55" s="246">
        <f>+data!M691</f>
        <v>0</v>
      </c>
      <c r="F55" s="246">
        <f>+data!M692</f>
        <v>12110</v>
      </c>
      <c r="G55" s="246">
        <f>+data!M693</f>
        <v>918269</v>
      </c>
      <c r="H55" s="246">
        <f>+data!M680</f>
        <v>0</v>
      </c>
      <c r="I55" s="246">
        <f>+data!M681</f>
        <v>2746895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242970</v>
      </c>
      <c r="H56" s="238">
        <f>data!O87</f>
        <v>0</v>
      </c>
      <c r="I56" s="238">
        <f>data!P87</f>
        <v>5668934.25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216404</v>
      </c>
      <c r="H57" s="238">
        <f>data!O88</f>
        <v>0</v>
      </c>
      <c r="I57" s="238">
        <f>data!P88</f>
        <v>22430323.75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459374</v>
      </c>
      <c r="H58" s="238">
        <f>data!O89</f>
        <v>0</v>
      </c>
      <c r="I58" s="238">
        <f>data!P89</f>
        <v>28099258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6449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2530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55293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3.9919703432284659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EvergreenHealth Monroe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99732</v>
      </c>
      <c r="D73" s="246">
        <f>data!R59</f>
        <v>120814</v>
      </c>
      <c r="E73" s="250"/>
      <c r="F73" s="250"/>
      <c r="G73" s="238">
        <f>data!U59</f>
        <v>179142</v>
      </c>
      <c r="H73" s="238">
        <f>data!V59</f>
        <v>909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2.8705283447361136</v>
      </c>
      <c r="D74" s="245">
        <f>data!R60</f>
        <v>0</v>
      </c>
      <c r="E74" s="245">
        <f>data!S60</f>
        <v>1.9473563679042738</v>
      </c>
      <c r="F74" s="245">
        <f>data!T60</f>
        <v>0</v>
      </c>
      <c r="G74" s="245">
        <f>data!U60</f>
        <v>16.923148121642381</v>
      </c>
      <c r="H74" s="245">
        <f>data!V60</f>
        <v>0</v>
      </c>
      <c r="I74" s="245">
        <f>data!W60</f>
        <v>2.7023158617925738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429912.26</v>
      </c>
      <c r="D75" s="238">
        <f>data!R61</f>
        <v>0</v>
      </c>
      <c r="E75" s="238">
        <f>data!S61</f>
        <v>187780.81</v>
      </c>
      <c r="F75" s="238">
        <f>data!T61</f>
        <v>0</v>
      </c>
      <c r="G75" s="238">
        <f>data!U61</f>
        <v>1498084.55</v>
      </c>
      <c r="H75" s="238">
        <f>data!V61</f>
        <v>0</v>
      </c>
      <c r="I75" s="238">
        <f>data!W61</f>
        <v>574538.02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118319</v>
      </c>
      <c r="D76" s="238">
        <f>data!R62</f>
        <v>0</v>
      </c>
      <c r="E76" s="238">
        <f>data!S62</f>
        <v>49905</v>
      </c>
      <c r="F76" s="238">
        <f>data!T62</f>
        <v>0</v>
      </c>
      <c r="G76" s="238">
        <f>data!U62</f>
        <v>393382</v>
      </c>
      <c r="H76" s="238">
        <f>data!V62</f>
        <v>0</v>
      </c>
      <c r="I76" s="238">
        <f>data!W62</f>
        <v>37812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8267.24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8912.5</v>
      </c>
      <c r="D78" s="238">
        <f>data!R64</f>
        <v>42799.96</v>
      </c>
      <c r="E78" s="238">
        <f>data!S64</f>
        <v>83014.75</v>
      </c>
      <c r="F78" s="238">
        <f>data!T64</f>
        <v>0</v>
      </c>
      <c r="G78" s="238">
        <f>data!U64</f>
        <v>1145120.71</v>
      </c>
      <c r="H78" s="238">
        <f>data!V64</f>
        <v>0</v>
      </c>
      <c r="I78" s="238">
        <f>data!W64</f>
        <v>28009.749999999996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696886.79</v>
      </c>
      <c r="E80" s="238">
        <f>data!S66</f>
        <v>0</v>
      </c>
      <c r="F80" s="238">
        <f>data!T66</f>
        <v>0</v>
      </c>
      <c r="G80" s="238">
        <f>data!U66</f>
        <v>941767.8899999999</v>
      </c>
      <c r="H80" s="238">
        <f>data!V66</f>
        <v>0</v>
      </c>
      <c r="I80" s="238">
        <f>data!W66</f>
        <v>79204.56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41850</v>
      </c>
      <c r="D81" s="238">
        <f>data!R67</f>
        <v>1676</v>
      </c>
      <c r="E81" s="238">
        <f>data!S67</f>
        <v>0</v>
      </c>
      <c r="F81" s="238">
        <f>data!T67</f>
        <v>0</v>
      </c>
      <c r="G81" s="238">
        <f>data!U67</f>
        <v>47839</v>
      </c>
      <c r="H81" s="238">
        <f>data!V67</f>
        <v>0</v>
      </c>
      <c r="I81" s="238">
        <f>data!W67</f>
        <v>227525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55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9532.89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599048.76</v>
      </c>
      <c r="D85" s="238">
        <f>data!R85</f>
        <v>741362.75</v>
      </c>
      <c r="E85" s="238">
        <f>data!S85</f>
        <v>320700.56</v>
      </c>
      <c r="F85" s="238">
        <f>data!T85</f>
        <v>0</v>
      </c>
      <c r="G85" s="238">
        <f>data!U85</f>
        <v>4043994.28</v>
      </c>
      <c r="H85" s="238">
        <f>data!V85</f>
        <v>0</v>
      </c>
      <c r="I85" s="238">
        <f>data!W85</f>
        <v>947089.33000000007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>
        <f>+data!M682</f>
        <v>560935</v>
      </c>
      <c r="D87" s="246">
        <f>+data!M683</f>
        <v>241598</v>
      </c>
      <c r="E87" s="246">
        <f>+data!M684</f>
        <v>83878</v>
      </c>
      <c r="F87" s="246">
        <f>+data!M685</f>
        <v>0</v>
      </c>
      <c r="G87" s="246">
        <f>+data!M686</f>
        <v>2099951</v>
      </c>
      <c r="H87" s="246">
        <f>+data!M687</f>
        <v>11388</v>
      </c>
      <c r="I87" s="246">
        <f>+data!M688</f>
        <v>589632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337450</v>
      </c>
      <c r="D88" s="238">
        <f>data!R87</f>
        <v>626418</v>
      </c>
      <c r="E88" s="238">
        <f>data!S87</f>
        <v>0</v>
      </c>
      <c r="F88" s="238">
        <f>data!T87</f>
        <v>0</v>
      </c>
      <c r="G88" s="238">
        <f>data!U87</f>
        <v>5429985</v>
      </c>
      <c r="H88" s="238">
        <f>data!V87</f>
        <v>59059</v>
      </c>
      <c r="I88" s="238">
        <f>data!W87</f>
        <v>608454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1862401</v>
      </c>
      <c r="D89" s="238">
        <f>data!R88</f>
        <v>2408934</v>
      </c>
      <c r="E89" s="238">
        <f>data!S88</f>
        <v>0</v>
      </c>
      <c r="F89" s="238">
        <f>data!T88</f>
        <v>0</v>
      </c>
      <c r="G89" s="238">
        <f>data!U88</f>
        <v>23275722.399999999</v>
      </c>
      <c r="H89" s="238">
        <f>data!V88</f>
        <v>250722</v>
      </c>
      <c r="I89" s="238">
        <f>data!W88</f>
        <v>9126149.5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2199851</v>
      </c>
      <c r="D90" s="238">
        <f>data!R89</f>
        <v>3035352</v>
      </c>
      <c r="E90" s="238">
        <f>data!S89</f>
        <v>0</v>
      </c>
      <c r="F90" s="238">
        <f>data!T89</f>
        <v>0</v>
      </c>
      <c r="G90" s="238">
        <f>data!U89</f>
        <v>28705707.399999999</v>
      </c>
      <c r="H90" s="238">
        <f>data!V89</f>
        <v>309781</v>
      </c>
      <c r="I90" s="238">
        <f>data!W89</f>
        <v>9734603.5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4545</v>
      </c>
      <c r="D92" s="238">
        <f>data!R90</f>
        <v>182</v>
      </c>
      <c r="E92" s="238">
        <f>data!S90</f>
        <v>0</v>
      </c>
      <c r="F92" s="238">
        <f>data!T90</f>
        <v>0</v>
      </c>
      <c r="G92" s="238">
        <f>data!U90</f>
        <v>1280</v>
      </c>
      <c r="H92" s="238">
        <f>data!V90</f>
        <v>0</v>
      </c>
      <c r="I92" s="238">
        <f>data!W90</f>
        <v>480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280</v>
      </c>
      <c r="D94" s="238">
        <f>data!R92</f>
        <v>85</v>
      </c>
      <c r="E94" s="238">
        <f>data!S92</f>
        <v>0</v>
      </c>
      <c r="F94" s="238">
        <f>data!T92</f>
        <v>0</v>
      </c>
      <c r="G94" s="238">
        <f>data!U92</f>
        <v>598</v>
      </c>
      <c r="H94" s="238">
        <f>data!V92</f>
        <v>0</v>
      </c>
      <c r="I94" s="238">
        <f>data!W92</f>
        <v>224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2.8705283447361136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EvergreenHealth Monroe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1591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7.9626475443467966</v>
      </c>
      <c r="D106" s="245">
        <f>data!Y60</f>
        <v>7.6889808108856004</v>
      </c>
      <c r="E106" s="245">
        <f>data!Z60</f>
        <v>0</v>
      </c>
      <c r="F106" s="245">
        <f>data!AA60</f>
        <v>0</v>
      </c>
      <c r="G106" s="245">
        <f>data!AB60</f>
        <v>5.1352780083779423</v>
      </c>
      <c r="H106" s="245">
        <f>data!AC60</f>
        <v>4.7671017853223789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1215792.1499999999</v>
      </c>
      <c r="D107" s="238">
        <f>data!Y61</f>
        <v>1269587.1199999999</v>
      </c>
      <c r="E107" s="238">
        <f>data!Z61</f>
        <v>0</v>
      </c>
      <c r="F107" s="238">
        <f>data!AA61</f>
        <v>0</v>
      </c>
      <c r="G107" s="238">
        <f>data!AB61</f>
        <v>816957.85</v>
      </c>
      <c r="H107" s="238">
        <f>data!AC61</f>
        <v>563983.71000000008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211443</v>
      </c>
      <c r="D108" s="238">
        <f>data!Y62</f>
        <v>144826</v>
      </c>
      <c r="E108" s="238">
        <f>data!Z62</f>
        <v>0</v>
      </c>
      <c r="F108" s="238">
        <f>data!AA62</f>
        <v>0</v>
      </c>
      <c r="G108" s="238">
        <f>data!AB62</f>
        <v>206517</v>
      </c>
      <c r="H108" s="238">
        <f>data!AC62</f>
        <v>125759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3535.18</v>
      </c>
      <c r="D110" s="238">
        <f>data!Y64</f>
        <v>166771.80999999997</v>
      </c>
      <c r="E110" s="238">
        <f>data!Z64</f>
        <v>0</v>
      </c>
      <c r="F110" s="238">
        <f>data!AA64</f>
        <v>0</v>
      </c>
      <c r="G110" s="238">
        <f>data!AB64</f>
        <v>768099.58999999985</v>
      </c>
      <c r="H110" s="238">
        <f>data!AC64</f>
        <v>26335.43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475.21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74040.63</v>
      </c>
      <c r="D112" s="238">
        <f>data!Y66</f>
        <v>154186.54999999999</v>
      </c>
      <c r="E112" s="238">
        <f>data!Z66</f>
        <v>0</v>
      </c>
      <c r="F112" s="238">
        <f>data!AA66</f>
        <v>0</v>
      </c>
      <c r="G112" s="238">
        <f>data!AB66</f>
        <v>24913.64</v>
      </c>
      <c r="H112" s="238">
        <f>data!AC66</f>
        <v>187.98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85336</v>
      </c>
      <c r="D113" s="238">
        <f>data!Y67</f>
        <v>69872</v>
      </c>
      <c r="E113" s="238">
        <f>data!Z67</f>
        <v>0</v>
      </c>
      <c r="F113" s="238">
        <f>data!AA67</f>
        <v>0</v>
      </c>
      <c r="G113" s="238">
        <f>data!AB67</f>
        <v>7468</v>
      </c>
      <c r="H113" s="238">
        <f>data!AC67</f>
        <v>11264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162485.17000000001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279.95</v>
      </c>
      <c r="D115" s="238">
        <f>data!Y69</f>
        <v>0</v>
      </c>
      <c r="E115" s="238">
        <f>data!Z69</f>
        <v>0</v>
      </c>
      <c r="F115" s="238">
        <f>data!AA69</f>
        <v>0</v>
      </c>
      <c r="G115" s="238">
        <f>data!AB69</f>
        <v>2628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1590426.91</v>
      </c>
      <c r="D117" s="238">
        <f>data!Y85</f>
        <v>1805243.48</v>
      </c>
      <c r="E117" s="238">
        <f>data!Z85</f>
        <v>0</v>
      </c>
      <c r="F117" s="238">
        <f>data!AA85</f>
        <v>0</v>
      </c>
      <c r="G117" s="238">
        <f>data!AB85</f>
        <v>1989069.2499999998</v>
      </c>
      <c r="H117" s="238">
        <f>data!AC85</f>
        <v>728005.33000000007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>
        <f>+data!M689</f>
        <v>1970726</v>
      </c>
      <c r="D119" s="246">
        <f>+data!M690</f>
        <v>1271070</v>
      </c>
      <c r="E119" s="246">
        <f>+data!M691</f>
        <v>0</v>
      </c>
      <c r="F119" s="246">
        <f>+data!M692</f>
        <v>12110</v>
      </c>
      <c r="G119" s="246">
        <f>+data!M693</f>
        <v>918269</v>
      </c>
      <c r="H119" s="246">
        <f>+data!M694</f>
        <v>288327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4516237</v>
      </c>
      <c r="D120" s="238">
        <f>data!Y87</f>
        <v>1193475</v>
      </c>
      <c r="E120" s="238">
        <f>data!Z87</f>
        <v>0</v>
      </c>
      <c r="F120" s="238">
        <f>data!AA87</f>
        <v>0</v>
      </c>
      <c r="G120" s="238">
        <f>data!AB87</f>
        <v>5835407.8799999999</v>
      </c>
      <c r="H120" s="238">
        <f>data!AC87</f>
        <v>524250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37937741.5</v>
      </c>
      <c r="D121" s="238">
        <f>data!Y88</f>
        <v>14626040.970000001</v>
      </c>
      <c r="E121" s="238">
        <f>data!Z88</f>
        <v>0</v>
      </c>
      <c r="F121" s="238">
        <f>data!AA88</f>
        <v>0</v>
      </c>
      <c r="G121" s="238">
        <f>data!AB88</f>
        <v>6010529.5499999998</v>
      </c>
      <c r="H121" s="238">
        <f>data!AC88</f>
        <v>315496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42453978.5</v>
      </c>
      <c r="D122" s="238">
        <f>data!Y89</f>
        <v>15819515.970000001</v>
      </c>
      <c r="E122" s="238">
        <f>data!Z89</f>
        <v>0</v>
      </c>
      <c r="F122" s="238">
        <f>data!AA89</f>
        <v>0</v>
      </c>
      <c r="G122" s="238">
        <f>data!AB89</f>
        <v>11845937.43</v>
      </c>
      <c r="H122" s="238">
        <f>data!AC89</f>
        <v>839746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405</v>
      </c>
      <c r="D124" s="238">
        <f>data!Y90</f>
        <v>3578</v>
      </c>
      <c r="E124" s="238">
        <f>data!Z90</f>
        <v>0</v>
      </c>
      <c r="F124" s="238">
        <f>data!AA90</f>
        <v>0</v>
      </c>
      <c r="G124" s="238">
        <f>data!AB90</f>
        <v>811</v>
      </c>
      <c r="H124" s="238">
        <f>data!AC90</f>
        <v>765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188</v>
      </c>
      <c r="D126" s="238">
        <f>data!Y92</f>
        <v>1189</v>
      </c>
      <c r="E126" s="238">
        <f>data!Z92</f>
        <v>0</v>
      </c>
      <c r="F126" s="238">
        <f>data!AA92</f>
        <v>199</v>
      </c>
      <c r="G126" s="238">
        <f>data!AB92</f>
        <v>378</v>
      </c>
      <c r="H126" s="238">
        <f>data!AC92</f>
        <v>356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EvergreenHealth Monroe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19970</v>
      </c>
      <c r="F137" s="238">
        <f>data!AH59</f>
        <v>0</v>
      </c>
      <c r="G137" s="238">
        <f>data!AI59</f>
        <v>0</v>
      </c>
      <c r="H137" s="238">
        <f>data!AJ59</f>
        <v>2413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7.8961392761381317</v>
      </c>
      <c r="D138" s="245">
        <f>data!AF60</f>
        <v>0</v>
      </c>
      <c r="E138" s="245">
        <f>data!AG60</f>
        <v>30.11953835437361</v>
      </c>
      <c r="F138" s="245">
        <f>data!AH60</f>
        <v>0</v>
      </c>
      <c r="G138" s="245">
        <f>data!AI60</f>
        <v>0</v>
      </c>
      <c r="H138" s="245">
        <f>data!AJ60</f>
        <v>4.8791734653956622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806228.96000000008</v>
      </c>
      <c r="D139" s="238">
        <f>data!AF61</f>
        <v>0</v>
      </c>
      <c r="E139" s="238">
        <f>data!AG61</f>
        <v>3546664.11</v>
      </c>
      <c r="F139" s="238">
        <f>data!AH61</f>
        <v>0</v>
      </c>
      <c r="G139" s="238">
        <f>data!AI61</f>
        <v>0</v>
      </c>
      <c r="H139" s="238">
        <f>data!AJ61</f>
        <v>757501.02999999991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248504</v>
      </c>
      <c r="D140" s="238">
        <f>data!AF62</f>
        <v>0</v>
      </c>
      <c r="E140" s="238">
        <f>data!AG62</f>
        <v>841036</v>
      </c>
      <c r="F140" s="238">
        <f>data!AH62</f>
        <v>0</v>
      </c>
      <c r="G140" s="238">
        <f>data!AI62</f>
        <v>0</v>
      </c>
      <c r="H140" s="238">
        <f>data!AJ62</f>
        <v>150722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16982.53</v>
      </c>
      <c r="D141" s="238">
        <f>data!AF63</f>
        <v>0</v>
      </c>
      <c r="E141" s="238">
        <f>data!AG63</f>
        <v>663578.44000000006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11538.220000000001</v>
      </c>
      <c r="D142" s="238">
        <f>data!AF64</f>
        <v>0</v>
      </c>
      <c r="E142" s="238">
        <f>data!AG64</f>
        <v>607220.75</v>
      </c>
      <c r="F142" s="238">
        <f>data!AH64</f>
        <v>0</v>
      </c>
      <c r="G142" s="238">
        <f>data!AI64</f>
        <v>0</v>
      </c>
      <c r="H142" s="238">
        <f>data!AJ64</f>
        <v>72670.579999999987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910.37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136.5</v>
      </c>
      <c r="D144" s="238">
        <f>data!AF66</f>
        <v>0</v>
      </c>
      <c r="E144" s="238">
        <f>data!AG66</f>
        <v>19181.91</v>
      </c>
      <c r="F144" s="238">
        <f>data!AH66</f>
        <v>0</v>
      </c>
      <c r="G144" s="238">
        <f>data!AI66</f>
        <v>0</v>
      </c>
      <c r="H144" s="238">
        <f>data!AJ66</f>
        <v>90066.31</v>
      </c>
      <c r="I144" s="238">
        <f>data!AK66</f>
        <v>277.62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76170</v>
      </c>
      <c r="D145" s="238">
        <f>data!AF67</f>
        <v>0</v>
      </c>
      <c r="E145" s="238">
        <f>data!AG67</f>
        <v>164813</v>
      </c>
      <c r="F145" s="238">
        <f>data!AH67</f>
        <v>0</v>
      </c>
      <c r="G145" s="238">
        <f>data!AI67</f>
        <v>0</v>
      </c>
      <c r="H145" s="238">
        <f>data!AJ67</f>
        <v>38862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45867.6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3010.29</v>
      </c>
      <c r="D147" s="238">
        <f>data!AF69</f>
        <v>0</v>
      </c>
      <c r="E147" s="238">
        <f>data!AG69</f>
        <v>2580.37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1208438.1000000001</v>
      </c>
      <c r="D149" s="238">
        <f>data!AF85</f>
        <v>0</v>
      </c>
      <c r="E149" s="238">
        <f>data!AG85</f>
        <v>5845984.9500000002</v>
      </c>
      <c r="F149" s="238">
        <f>data!AH85</f>
        <v>0</v>
      </c>
      <c r="G149" s="238">
        <f>data!AI85</f>
        <v>0</v>
      </c>
      <c r="H149" s="238">
        <f>data!AJ85</f>
        <v>1109821.92</v>
      </c>
      <c r="I149" s="238">
        <f>data!AK85</f>
        <v>277.62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>
        <f>+data!M696</f>
        <v>474806</v>
      </c>
      <c r="D151" s="246">
        <f>+data!M697</f>
        <v>0</v>
      </c>
      <c r="E151" s="246">
        <f>+data!M698</f>
        <v>4806604</v>
      </c>
      <c r="F151" s="246">
        <f>+data!M699</f>
        <v>0</v>
      </c>
      <c r="G151" s="246">
        <f>+data!M700</f>
        <v>17039</v>
      </c>
      <c r="H151" s="246">
        <f>+data!M701</f>
        <v>670050</v>
      </c>
      <c r="I151" s="246">
        <f>+data!M702</f>
        <v>42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519376</v>
      </c>
      <c r="D152" s="238">
        <f>data!AF87</f>
        <v>0</v>
      </c>
      <c r="E152" s="238">
        <f>data!AG87</f>
        <v>5251497</v>
      </c>
      <c r="F152" s="238">
        <f>data!AH87</f>
        <v>0</v>
      </c>
      <c r="G152" s="238">
        <f>data!AI87</f>
        <v>0</v>
      </c>
      <c r="H152" s="238">
        <f>data!AJ87</f>
        <v>8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3188458</v>
      </c>
      <c r="D153" s="238">
        <f>data!AF88</f>
        <v>0</v>
      </c>
      <c r="E153" s="238">
        <f>data!AG88</f>
        <v>54784524.5</v>
      </c>
      <c r="F153" s="238">
        <f>data!AH88</f>
        <v>0</v>
      </c>
      <c r="G153" s="238">
        <f>data!AI88</f>
        <v>0</v>
      </c>
      <c r="H153" s="238">
        <f>data!AJ88</f>
        <v>2673895.0699999998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3707834</v>
      </c>
      <c r="D154" s="238">
        <f>data!AF89</f>
        <v>0</v>
      </c>
      <c r="E154" s="238">
        <f>data!AG89</f>
        <v>60036021.5</v>
      </c>
      <c r="F154" s="238">
        <f>data!AH89</f>
        <v>0</v>
      </c>
      <c r="G154" s="238">
        <f>data!AI89</f>
        <v>0</v>
      </c>
      <c r="H154" s="238">
        <f>data!AJ89</f>
        <v>2673903.0699999998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260</v>
      </c>
      <c r="D156" s="238">
        <f>data!AF90</f>
        <v>0</v>
      </c>
      <c r="E156" s="238">
        <f>data!AG90</f>
        <v>7800</v>
      </c>
      <c r="F156" s="238">
        <f>data!AH90</f>
        <v>0</v>
      </c>
      <c r="G156" s="238">
        <f>data!AI90</f>
        <v>0</v>
      </c>
      <c r="H156" s="238">
        <f>data!AJ90</f>
        <v>3875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918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121</v>
      </c>
      <c r="D158" s="238">
        <f>data!AF92</f>
        <v>0</v>
      </c>
      <c r="E158" s="238">
        <f>data!AG92</f>
        <v>3641</v>
      </c>
      <c r="F158" s="238">
        <f>data!AH92</f>
        <v>0</v>
      </c>
      <c r="G158" s="238">
        <f>data!AI92</f>
        <v>280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51990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21.274468267826983</v>
      </c>
      <c r="F160" s="245">
        <f>data!AH94</f>
        <v>0</v>
      </c>
      <c r="G160" s="245">
        <f>data!AI94</f>
        <v>0</v>
      </c>
      <c r="H160" s="245">
        <f>data!AJ94</f>
        <v>4.5757927079456868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EvergreenHealth Monroe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115.89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115.89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0</v>
      </c>
      <c r="G183" s="246">
        <f>+data!M707</f>
        <v>18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EvergreenHealth Monroe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0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0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0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69418.81</v>
      </c>
      <c r="I208" s="238">
        <f>data!AY66</f>
        <v>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55662</v>
      </c>
      <c r="G209" s="238">
        <f>data!AW67</f>
        <v>0</v>
      </c>
      <c r="H209" s="238">
        <f>data!AX67</f>
        <v>0</v>
      </c>
      <c r="I209" s="238">
        <f>data!AY67</f>
        <v>0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5947.34</v>
      </c>
      <c r="I211" s="238">
        <f>data!AY69</f>
        <v>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55662</v>
      </c>
      <c r="G213" s="238">
        <f>data!AW85</f>
        <v>0</v>
      </c>
      <c r="H213" s="238">
        <f>data!AX85</f>
        <v>75366.149999999994</v>
      </c>
      <c r="I213" s="238">
        <f>data!AY85</f>
        <v>0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1065127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3133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3133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6045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11561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EvergreenHealth Monroe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83652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15.668484432103361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0</v>
      </c>
      <c r="H234" s="245">
        <f>data!BE60</f>
        <v>5.7407895113503002</v>
      </c>
      <c r="I234" s="245">
        <f>data!BF60</f>
        <v>16.584647754272464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955826.99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0</v>
      </c>
      <c r="H235" s="238">
        <f>data!BE61</f>
        <v>532661.88</v>
      </c>
      <c r="I235" s="238">
        <f>data!BF61</f>
        <v>996074.16999999993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266258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0</v>
      </c>
      <c r="H236" s="238">
        <f>data!BE62</f>
        <v>132710</v>
      </c>
      <c r="I236" s="238">
        <f>data!BF62</f>
        <v>365817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108213.69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346301.41999999993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-1995.12</v>
      </c>
      <c r="H238" s="238">
        <f>data!BE64</f>
        <v>157805.29</v>
      </c>
      <c r="I238" s="238">
        <f>data!BF64</f>
        <v>70364.53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528062.99000000011</v>
      </c>
      <c r="I239" s="238">
        <f>data!BF65</f>
        <v>-10000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18822.38</v>
      </c>
      <c r="D240" s="238">
        <f>data!BA66</f>
        <v>293503.45999999996</v>
      </c>
      <c r="E240" s="238">
        <f>data!BB66</f>
        <v>0</v>
      </c>
      <c r="F240" s="238">
        <f>data!BC66</f>
        <v>0</v>
      </c>
      <c r="G240" s="238">
        <f>data!BD66</f>
        <v>4183.72</v>
      </c>
      <c r="H240" s="238">
        <f>data!BE66</f>
        <v>524579.52</v>
      </c>
      <c r="I240" s="238">
        <f>data!BF66</f>
        <v>121152.44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41710</v>
      </c>
      <c r="D241" s="238">
        <f>data!BA67</f>
        <v>3803</v>
      </c>
      <c r="E241" s="238">
        <f>data!BB67</f>
        <v>0</v>
      </c>
      <c r="F241" s="238">
        <f>data!BC67</f>
        <v>0</v>
      </c>
      <c r="G241" s="238">
        <f>data!BD67</f>
        <v>29650</v>
      </c>
      <c r="H241" s="238">
        <f>data!BE67</f>
        <v>520904</v>
      </c>
      <c r="I241" s="238">
        <f>data!BF67</f>
        <v>3545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1581.26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1.31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745.49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1737133.7899999998</v>
      </c>
      <c r="D245" s="238">
        <f>data!BA85</f>
        <v>297306.45999999996</v>
      </c>
      <c r="E245" s="238">
        <f>data!BB85</f>
        <v>0</v>
      </c>
      <c r="F245" s="238">
        <f>data!BC85</f>
        <v>0</v>
      </c>
      <c r="G245" s="238">
        <f>data!BD85</f>
        <v>31838.6</v>
      </c>
      <c r="H245" s="238">
        <f>data!BE85</f>
        <v>2399050.4300000002</v>
      </c>
      <c r="I245" s="238">
        <f>data!BF85</f>
        <v>1546953.14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4436</v>
      </c>
      <c r="D252" s="254">
        <f>data!BA90</f>
        <v>413</v>
      </c>
      <c r="E252" s="254">
        <f>data!BB90</f>
        <v>0</v>
      </c>
      <c r="F252" s="254">
        <f>data!BC90</f>
        <v>0</v>
      </c>
      <c r="G252" s="254">
        <f>data!BD90</f>
        <v>3220</v>
      </c>
      <c r="H252" s="254">
        <f>data!BE90</f>
        <v>10476</v>
      </c>
      <c r="I252" s="254">
        <f>data!BF90</f>
        <v>385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EvergreenHealth Monroe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-2.7672019771181021E-2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30323.77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6026.5</v>
      </c>
      <c r="F269" s="238">
        <f>data!BJ63</f>
        <v>60902.57</v>
      </c>
      <c r="G269" s="238">
        <f>data!BK63</f>
        <v>112.29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49026.479999999996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943.8</v>
      </c>
      <c r="H270" s="238">
        <f>data!BL64</f>
        <v>2903.71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2659.34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5393.42</v>
      </c>
      <c r="D272" s="238">
        <f>data!BH66</f>
        <v>2256866</v>
      </c>
      <c r="E272" s="238">
        <f>data!BI66</f>
        <v>545.49</v>
      </c>
      <c r="F272" s="238">
        <f>data!BJ66</f>
        <v>0</v>
      </c>
      <c r="G272" s="238">
        <f>data!BK66</f>
        <v>2774394.08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224656</v>
      </c>
      <c r="E273" s="238">
        <f>data!BI67</f>
        <v>0</v>
      </c>
      <c r="F273" s="238">
        <f>data!BJ67</f>
        <v>0</v>
      </c>
      <c r="G273" s="238">
        <f>data!BK67</f>
        <v>11050</v>
      </c>
      <c r="H273" s="238">
        <f>data!BL67</f>
        <v>3867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33264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-126.81000000000002</v>
      </c>
      <c r="G275" s="238">
        <f>data!BK69</f>
        <v>51064.4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57079.239999999991</v>
      </c>
      <c r="D277" s="238">
        <f>data!BH85</f>
        <v>2481522</v>
      </c>
      <c r="E277" s="238">
        <f>data!BI85</f>
        <v>70159.760000000009</v>
      </c>
      <c r="F277" s="238">
        <f>data!BJ85</f>
        <v>60775.76</v>
      </c>
      <c r="G277" s="238">
        <f>data!BK85</f>
        <v>2837564.57</v>
      </c>
      <c r="H277" s="238">
        <f>data!BL85</f>
        <v>6770.71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1710</v>
      </c>
      <c r="E284" s="254">
        <f>data!BI90</f>
        <v>0</v>
      </c>
      <c r="F284" s="254">
        <f>data!BJ90</f>
        <v>0</v>
      </c>
      <c r="G284" s="254">
        <f>data!BK90</f>
        <v>1200</v>
      </c>
      <c r="H284" s="254">
        <f>data!BL90</f>
        <v>420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EvergreenHealth Monroe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6.8050124524088966</v>
      </c>
      <c r="D298" s="245">
        <f>data!BO60</f>
        <v>0.40176432981230731</v>
      </c>
      <c r="E298" s="245">
        <f>data!BP60</f>
        <v>0</v>
      </c>
      <c r="F298" s="245">
        <f>data!BQ60</f>
        <v>0</v>
      </c>
      <c r="G298" s="245">
        <f>data!BR60</f>
        <v>2.9982538001316805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1680452.2400000002</v>
      </c>
      <c r="D299" s="238">
        <f>data!BO61</f>
        <v>59950.43</v>
      </c>
      <c r="E299" s="238">
        <f>data!BP61</f>
        <v>0</v>
      </c>
      <c r="F299" s="238">
        <f>data!BQ61</f>
        <v>0</v>
      </c>
      <c r="G299" s="238">
        <f>data!BR61</f>
        <v>336793.8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461596</v>
      </c>
      <c r="D300" s="238">
        <f>data!BO62</f>
        <v>35317</v>
      </c>
      <c r="E300" s="238">
        <f>data!BP62</f>
        <v>0</v>
      </c>
      <c r="F300" s="238">
        <f>data!BQ62</f>
        <v>0</v>
      </c>
      <c r="G300" s="238">
        <f>data!BR62</f>
        <v>113775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110042.02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107128.75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41108.450000000004</v>
      </c>
      <c r="D302" s="238">
        <f>data!BO64</f>
        <v>3882.96</v>
      </c>
      <c r="E302" s="238">
        <f>data!BP64</f>
        <v>1689.63</v>
      </c>
      <c r="F302" s="238">
        <f>data!BQ64</f>
        <v>0</v>
      </c>
      <c r="G302" s="238">
        <f>data!BR64</f>
        <v>1084.18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742916.33000000007</v>
      </c>
      <c r="D304" s="238">
        <f>data!BO66</f>
        <v>78.97</v>
      </c>
      <c r="E304" s="238">
        <f>data!BP66</f>
        <v>120398.63</v>
      </c>
      <c r="F304" s="238">
        <f>data!BQ66</f>
        <v>0</v>
      </c>
      <c r="G304" s="238">
        <f>data!BR66</f>
        <v>113518.23000000001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149732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45609.24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225459.35</v>
      </c>
      <c r="D307" s="238">
        <f>data!BO69</f>
        <v>0</v>
      </c>
      <c r="E307" s="238">
        <f>data!BP69</f>
        <v>5750</v>
      </c>
      <c r="F307" s="238">
        <f>data!BQ69</f>
        <v>0</v>
      </c>
      <c r="G307" s="238">
        <f>data!BR69</f>
        <v>1049.05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3456915.6300000008</v>
      </c>
      <c r="D309" s="238">
        <f>data!BO85</f>
        <v>99229.36</v>
      </c>
      <c r="E309" s="238">
        <f>data!BP85</f>
        <v>127838.26000000001</v>
      </c>
      <c r="F309" s="238">
        <f>data!BQ85</f>
        <v>0</v>
      </c>
      <c r="G309" s="238">
        <f>data!BR85</f>
        <v>673349.01000000013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8323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EvergreenHealth Monroe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0.80248380232635796</v>
      </c>
      <c r="F330" s="245">
        <f>data!BX60</f>
        <v>3.7955133159667551</v>
      </c>
      <c r="G330" s="245">
        <f>data!BY60</f>
        <v>5.3666972013091723</v>
      </c>
      <c r="H330" s="245">
        <f>data!BZ60</f>
        <v>0</v>
      </c>
      <c r="I330" s="245">
        <f>data!CA60</f>
        <v>0.31469288829091879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87075.12</v>
      </c>
      <c r="F331" s="257">
        <f>data!BX61</f>
        <v>464263.93</v>
      </c>
      <c r="G331" s="257">
        <f>data!BY61</f>
        <v>744315.17999999993</v>
      </c>
      <c r="H331" s="257">
        <f>data!BZ61</f>
        <v>0</v>
      </c>
      <c r="I331" s="257">
        <f>data!CA61</f>
        <v>38757.47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37080</v>
      </c>
      <c r="F332" s="257">
        <f>data!BX62</f>
        <v>98730</v>
      </c>
      <c r="G332" s="257">
        <f>data!BY62</f>
        <v>155470</v>
      </c>
      <c r="H332" s="257">
        <f>data!BZ62</f>
        <v>0</v>
      </c>
      <c r="I332" s="257">
        <f>data!CA62</f>
        <v>14028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660910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443.24</v>
      </c>
      <c r="E334" s="257">
        <f>data!BW64</f>
        <v>1119.51</v>
      </c>
      <c r="F334" s="257">
        <f>data!BX64</f>
        <v>588.23</v>
      </c>
      <c r="G334" s="257">
        <f>data!BY64</f>
        <v>1015.12</v>
      </c>
      <c r="H334" s="257">
        <f>data!BZ64</f>
        <v>0</v>
      </c>
      <c r="I334" s="257">
        <f>data!CA64</f>
        <v>10503.769999999999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359.32</v>
      </c>
      <c r="G335" s="257">
        <f>data!BY65</f>
        <v>475.21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0</v>
      </c>
      <c r="E336" s="257">
        <f>data!BW66</f>
        <v>14486.97</v>
      </c>
      <c r="F336" s="257">
        <f>data!BX66</f>
        <v>143423.64000000001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25110</v>
      </c>
      <c r="E337" s="257">
        <f>data!BW67</f>
        <v>0</v>
      </c>
      <c r="F337" s="257">
        <f>data!BX67</f>
        <v>0</v>
      </c>
      <c r="G337" s="257">
        <f>data!BY67</f>
        <v>6878</v>
      </c>
      <c r="H337" s="257">
        <f>data!BZ67</f>
        <v>0</v>
      </c>
      <c r="I337" s="257">
        <f>data!CA67</f>
        <v>4187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2256.42</v>
      </c>
      <c r="G339" s="257">
        <f>data!BY69</f>
        <v>0</v>
      </c>
      <c r="H339" s="257">
        <f>data!BZ69</f>
        <v>0</v>
      </c>
      <c r="I339" s="257">
        <f>data!CA69</f>
        <v>24716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25553.24</v>
      </c>
      <c r="E341" s="238">
        <f>data!BW85</f>
        <v>800671.6</v>
      </c>
      <c r="F341" s="238">
        <f>data!BX85</f>
        <v>709621.53999999992</v>
      </c>
      <c r="G341" s="238">
        <f>data!BY85</f>
        <v>908153.50999999989</v>
      </c>
      <c r="H341" s="238">
        <f>data!BZ85</f>
        <v>0</v>
      </c>
      <c r="I341" s="238">
        <f>data!CA85</f>
        <v>92192.239999999991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2727</v>
      </c>
      <c r="E348" s="254">
        <f>data!BW90</f>
        <v>0</v>
      </c>
      <c r="F348" s="254">
        <f>data!BX90</f>
        <v>0</v>
      </c>
      <c r="G348" s="254">
        <f>data!BY90</f>
        <v>747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EvergreenHealth Monroe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1.5376291758509144</v>
      </c>
      <c r="E362" s="260"/>
      <c r="F362" s="248"/>
      <c r="G362" s="248"/>
      <c r="H362" s="248"/>
      <c r="I362" s="261">
        <f>data!CE60</f>
        <v>222.86183074265972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422449.77999999997</v>
      </c>
      <c r="E363" s="262"/>
      <c r="F363" s="262"/>
      <c r="G363" s="262"/>
      <c r="H363" s="262"/>
      <c r="I363" s="257">
        <f>data!CE61</f>
        <v>26150371.160000004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590745</v>
      </c>
      <c r="E364" s="262"/>
      <c r="F364" s="262"/>
      <c r="G364" s="262"/>
      <c r="H364" s="262"/>
      <c r="I364" s="257">
        <f>data!CE62</f>
        <v>6903659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10989</v>
      </c>
      <c r="E365" s="262"/>
      <c r="F365" s="262"/>
      <c r="G365" s="262"/>
      <c r="H365" s="262"/>
      <c r="I365" s="257">
        <f>data!CE63</f>
        <v>1754053.0300000003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4221.72</v>
      </c>
      <c r="E366" s="262"/>
      <c r="F366" s="262"/>
      <c r="G366" s="262"/>
      <c r="H366" s="262"/>
      <c r="I366" s="257">
        <f>data!CE64</f>
        <v>7444468.8299999991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583724.30000000005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2602905.33</v>
      </c>
      <c r="E368" s="262"/>
      <c r="F368" s="262"/>
      <c r="G368" s="262"/>
      <c r="H368" s="262"/>
      <c r="I368" s="257">
        <f>data!CE66</f>
        <v>14027313.080000004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154114</v>
      </c>
      <c r="E369" s="262"/>
      <c r="F369" s="262"/>
      <c r="G369" s="262"/>
      <c r="H369" s="262"/>
      <c r="I369" s="257">
        <f>data!CE67</f>
        <v>2696517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86425.2</v>
      </c>
      <c r="E370" s="262"/>
      <c r="F370" s="262"/>
      <c r="G370" s="262"/>
      <c r="H370" s="262"/>
      <c r="I370" s="257">
        <f>data!CE68</f>
        <v>510838.34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1460</v>
      </c>
      <c r="E371" s="257">
        <f>data!CD69</f>
        <v>1309703.48</v>
      </c>
      <c r="F371" s="262"/>
      <c r="G371" s="262"/>
      <c r="H371" s="262"/>
      <c r="I371" s="257">
        <f>data!CE69</f>
        <v>1675948.0099999998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3873310.0300000003</v>
      </c>
      <c r="E373" s="257">
        <f>data!CD85</f>
        <v>1309703.48</v>
      </c>
      <c r="F373" s="262"/>
      <c r="G373" s="262"/>
      <c r="H373" s="262"/>
      <c r="I373" s="238">
        <f>data!CE85</f>
        <v>61746892.75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47462208.300000004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181511555.24000001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228973763.53999999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1695</v>
      </c>
      <c r="E380" s="248"/>
      <c r="F380" s="248"/>
      <c r="G380" s="248"/>
      <c r="H380" s="248"/>
      <c r="I380" s="238">
        <f>data!CE90</f>
        <v>83652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36484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34240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239505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63.611332169200089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3" transitionEvaluation="1" transitionEntry="1" codeName="Sheet1">
    <tabColor rgb="FF92D050"/>
    <pageSetUpPr autoPageBreaks="0" fitToPage="1"/>
  </sheetPr>
  <dimension ref="A1:CF716"/>
  <sheetViews>
    <sheetView topLeftCell="A43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1054</v>
      </c>
    </row>
    <row r="6" spans="1:5" x14ac:dyDescent="0.25">
      <c r="A6" s="11" t="s">
        <v>1055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1056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1057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5406590.4500000002</v>
      </c>
      <c r="C47" s="273">
        <v>0</v>
      </c>
      <c r="D47" s="273">
        <v>131310.46000000002</v>
      </c>
      <c r="E47" s="273">
        <f>461983.92</f>
        <v>461983.92</v>
      </c>
      <c r="F47" s="273">
        <v>0</v>
      </c>
      <c r="G47" s="273">
        <v>0</v>
      </c>
      <c r="H47" s="273">
        <v>0</v>
      </c>
      <c r="I47" s="273">
        <v>750537.63000000012</v>
      </c>
      <c r="J47" s="273">
        <v>0</v>
      </c>
      <c r="K47" s="273">
        <v>0</v>
      </c>
      <c r="L47" s="273">
        <v>0</v>
      </c>
      <c r="M47" s="273">
        <v>0</v>
      </c>
      <c r="N47" s="273">
        <v>305131.21999999997</v>
      </c>
      <c r="O47" s="273">
        <v>0</v>
      </c>
      <c r="P47" s="273">
        <v>223076.57</v>
      </c>
      <c r="Q47" s="273">
        <v>78461.540000000008</v>
      </c>
      <c r="R47" s="273">
        <v>0</v>
      </c>
      <c r="S47" s="273">
        <v>44907.38</v>
      </c>
      <c r="T47" s="273">
        <v>0</v>
      </c>
      <c r="U47" s="273">
        <v>340798.96</v>
      </c>
      <c r="V47" s="273">
        <v>0</v>
      </c>
      <c r="W47" s="273">
        <v>53162.149999999994</v>
      </c>
      <c r="X47" s="273">
        <v>214611.24</v>
      </c>
      <c r="Y47" s="273">
        <v>121727.04999999999</v>
      </c>
      <c r="Z47" s="273">
        <v>0</v>
      </c>
      <c r="AA47" s="273">
        <v>0</v>
      </c>
      <c r="AB47" s="273">
        <v>182161.51</v>
      </c>
      <c r="AC47" s="273">
        <v>73007.39</v>
      </c>
      <c r="AD47" s="273">
        <v>0</v>
      </c>
      <c r="AE47" s="273">
        <v>162768.96000000002</v>
      </c>
      <c r="AF47" s="273">
        <v>0</v>
      </c>
      <c r="AG47" s="273">
        <v>636594.81999999995</v>
      </c>
      <c r="AH47" s="273">
        <v>0</v>
      </c>
      <c r="AI47" s="273">
        <v>0</v>
      </c>
      <c r="AJ47" s="273">
        <v>119503.76999999999</v>
      </c>
      <c r="AK47" s="273">
        <v>50247.75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204946.53999999998</v>
      </c>
      <c r="BA47" s="273">
        <v>0</v>
      </c>
      <c r="BB47" s="273">
        <v>0</v>
      </c>
      <c r="BC47" s="273">
        <v>0</v>
      </c>
      <c r="BD47" s="273">
        <v>0</v>
      </c>
      <c r="BE47" s="273">
        <v>108088.01000000001</v>
      </c>
      <c r="BF47" s="273">
        <v>298554.29000000004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444623.77999999997</v>
      </c>
      <c r="BO47" s="273">
        <v>42360.03</v>
      </c>
      <c r="BP47" s="273">
        <v>0</v>
      </c>
      <c r="BQ47" s="273">
        <v>0</v>
      </c>
      <c r="BR47" s="273">
        <v>102835.13</v>
      </c>
      <c r="BS47" s="273">
        <v>0</v>
      </c>
      <c r="BT47" s="273">
        <v>0</v>
      </c>
      <c r="BU47" s="273">
        <v>0</v>
      </c>
      <c r="BV47" s="273">
        <v>0</v>
      </c>
      <c r="BW47" s="273">
        <v>34754.19</v>
      </c>
      <c r="BX47" s="273">
        <v>75576.61</v>
      </c>
      <c r="BY47" s="273">
        <v>144859.54999999999</v>
      </c>
      <c r="BZ47" s="273">
        <v>0</v>
      </c>
      <c r="CA47" s="273">
        <v>0</v>
      </c>
      <c r="CB47" s="273">
        <v>0</v>
      </c>
      <c r="CC47" s="273">
        <v>614689.57999999996</v>
      </c>
      <c r="CD47" s="16"/>
      <c r="CE47" s="25">
        <v>6021280.0300000012</v>
      </c>
      <c r="CF47" s="329">
        <v>0</v>
      </c>
    </row>
    <row r="48" spans="1:84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  <c r="CF48" s="329">
        <v>0</v>
      </c>
    </row>
    <row r="49" spans="1:84" x14ac:dyDescent="0.25">
      <c r="A49" s="16" t="s">
        <v>232</v>
      </c>
      <c r="B49" s="25">
        <v>5406590.4500000002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9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9">
        <v>0</v>
      </c>
    </row>
    <row r="51" spans="1:84" x14ac:dyDescent="0.25">
      <c r="A51" s="21" t="s">
        <v>233</v>
      </c>
      <c r="B51" s="273">
        <v>1557562.96</v>
      </c>
      <c r="C51" s="273">
        <v>3180.79</v>
      </c>
      <c r="D51" s="273">
        <v>0</v>
      </c>
      <c r="E51" s="273">
        <v>42252.19</v>
      </c>
      <c r="F51" s="273">
        <v>0</v>
      </c>
      <c r="G51" s="273">
        <v>0</v>
      </c>
      <c r="H51" s="273">
        <v>0</v>
      </c>
      <c r="I51" s="273">
        <v>403036.52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36068.559999999998</v>
      </c>
      <c r="Q51" s="273">
        <v>0</v>
      </c>
      <c r="R51" s="273">
        <v>0</v>
      </c>
      <c r="S51" s="273">
        <v>0</v>
      </c>
      <c r="T51" s="273">
        <v>0</v>
      </c>
      <c r="U51" s="273">
        <v>22644.92</v>
      </c>
      <c r="V51" s="273">
        <v>0</v>
      </c>
      <c r="W51" s="273">
        <v>223104.77</v>
      </c>
      <c r="X51" s="273">
        <v>81607.09</v>
      </c>
      <c r="Y51" s="273">
        <v>28513.47</v>
      </c>
      <c r="Z51" s="273">
        <v>0</v>
      </c>
      <c r="AA51" s="273">
        <v>0</v>
      </c>
      <c r="AB51" s="273">
        <v>0</v>
      </c>
      <c r="AC51" s="273">
        <v>3180.79</v>
      </c>
      <c r="AD51" s="273">
        <v>0</v>
      </c>
      <c r="AE51" s="273">
        <v>73507.8</v>
      </c>
      <c r="AF51" s="273">
        <v>0</v>
      </c>
      <c r="AG51" s="273">
        <v>15385.77</v>
      </c>
      <c r="AH51" s="273">
        <v>0</v>
      </c>
      <c r="AI51" s="273">
        <v>0</v>
      </c>
      <c r="AJ51" s="273">
        <v>3180.79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336714.72</v>
      </c>
      <c r="BF51" s="273">
        <v>0</v>
      </c>
      <c r="BG51" s="273">
        <v>0</v>
      </c>
      <c r="BH51" s="273">
        <v>208910.19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73093.8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3180.79</v>
      </c>
      <c r="CB51" s="273">
        <v>0</v>
      </c>
      <c r="CC51" s="273">
        <v>0</v>
      </c>
      <c r="CD51" s="16"/>
      <c r="CE51" s="25">
        <v>1557562.9600000002</v>
      </c>
      <c r="CF51" s="329">
        <v>0</v>
      </c>
    </row>
    <row r="52" spans="1:84" x14ac:dyDescent="0.25">
      <c r="A52" s="31" t="s">
        <v>234</v>
      </c>
      <c r="B52" s="330">
        <v>1214024.3500000001</v>
      </c>
      <c r="C52" s="25">
        <v>0</v>
      </c>
      <c r="D52" s="25">
        <v>31934</v>
      </c>
      <c r="E52" s="25">
        <v>133905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93610</v>
      </c>
      <c r="Q52" s="25">
        <v>65972</v>
      </c>
      <c r="R52" s="25">
        <v>2642</v>
      </c>
      <c r="S52" s="25">
        <v>0</v>
      </c>
      <c r="T52" s="25">
        <v>0</v>
      </c>
      <c r="U52" s="25">
        <v>18580</v>
      </c>
      <c r="V52" s="25">
        <v>0</v>
      </c>
      <c r="W52" s="25">
        <v>6967</v>
      </c>
      <c r="X52" s="25">
        <v>5879</v>
      </c>
      <c r="Y52" s="25">
        <v>51936</v>
      </c>
      <c r="Z52" s="25">
        <v>0</v>
      </c>
      <c r="AA52" s="25">
        <v>0</v>
      </c>
      <c r="AB52" s="25">
        <v>11772</v>
      </c>
      <c r="AC52" s="25">
        <v>11104</v>
      </c>
      <c r="AD52" s="25">
        <v>0</v>
      </c>
      <c r="AE52" s="25">
        <v>3774</v>
      </c>
      <c r="AF52" s="25">
        <v>0</v>
      </c>
      <c r="AG52" s="25">
        <v>113220</v>
      </c>
      <c r="AH52" s="25">
        <v>0</v>
      </c>
      <c r="AI52" s="25">
        <v>0</v>
      </c>
      <c r="AJ52" s="25">
        <v>56247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87746</v>
      </c>
      <c r="AW52" s="25">
        <v>0</v>
      </c>
      <c r="AX52" s="25">
        <v>0</v>
      </c>
      <c r="AY52" s="25">
        <v>0</v>
      </c>
      <c r="AZ52" s="25">
        <v>64390</v>
      </c>
      <c r="BA52" s="25">
        <v>5995</v>
      </c>
      <c r="BB52" s="25">
        <v>0</v>
      </c>
      <c r="BC52" s="25">
        <v>0</v>
      </c>
      <c r="BD52" s="25">
        <v>46740</v>
      </c>
      <c r="BE52" s="25">
        <v>152063</v>
      </c>
      <c r="BF52" s="25">
        <v>5588</v>
      </c>
      <c r="BG52" s="25">
        <v>0</v>
      </c>
      <c r="BH52" s="25">
        <v>24821</v>
      </c>
      <c r="BI52" s="25">
        <v>0</v>
      </c>
      <c r="BJ52" s="25">
        <v>0</v>
      </c>
      <c r="BK52" s="25">
        <v>17418</v>
      </c>
      <c r="BL52" s="25">
        <v>6096</v>
      </c>
      <c r="BM52" s="25">
        <v>0</v>
      </c>
      <c r="BN52" s="25">
        <v>120812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39583</v>
      </c>
      <c r="BW52" s="25">
        <v>0</v>
      </c>
      <c r="BX52" s="25">
        <v>0</v>
      </c>
      <c r="BY52" s="25">
        <v>10843</v>
      </c>
      <c r="BZ52" s="25">
        <v>0</v>
      </c>
      <c r="CA52" s="25">
        <v>0</v>
      </c>
      <c r="CB52" s="25">
        <v>0</v>
      </c>
      <c r="CC52" s="25">
        <v>24604</v>
      </c>
      <c r="CD52" s="25" t="s">
        <v>1058</v>
      </c>
      <c r="CE52" s="25" t="s">
        <v>1058</v>
      </c>
      <c r="CF52" s="329">
        <v>0</v>
      </c>
    </row>
    <row r="53" spans="1:84" x14ac:dyDescent="0.25">
      <c r="A53" s="16" t="s">
        <v>232</v>
      </c>
      <c r="B53" s="25">
        <v>2771587.31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9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9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9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9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9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9">
        <v>0</v>
      </c>
    </row>
    <row r="59" spans="1:84" x14ac:dyDescent="0.25">
      <c r="A59" s="31" t="s">
        <v>260</v>
      </c>
      <c r="B59" s="25"/>
      <c r="C59" s="273">
        <v>0</v>
      </c>
      <c r="D59" s="273">
        <v>528</v>
      </c>
      <c r="E59" s="273">
        <v>3523</v>
      </c>
      <c r="F59" s="273">
        <v>0</v>
      </c>
      <c r="G59" s="273">
        <v>0</v>
      </c>
      <c r="H59" s="273">
        <v>0.23</v>
      </c>
      <c r="I59" s="273">
        <v>5780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31">
        <v>117859</v>
      </c>
      <c r="Q59" s="331">
        <v>82255</v>
      </c>
      <c r="R59" s="331">
        <v>109015</v>
      </c>
      <c r="S59" s="332">
        <v>0</v>
      </c>
      <c r="T59" s="332">
        <v>0</v>
      </c>
      <c r="U59" s="333">
        <v>145223</v>
      </c>
      <c r="V59" s="331">
        <v>0</v>
      </c>
      <c r="W59" s="331">
        <v>0</v>
      </c>
      <c r="X59" s="331">
        <v>0</v>
      </c>
      <c r="Y59" s="331">
        <v>0</v>
      </c>
      <c r="Z59" s="331">
        <v>0</v>
      </c>
      <c r="AA59" s="331">
        <v>0</v>
      </c>
      <c r="AB59" s="332">
        <v>0</v>
      </c>
      <c r="AC59" s="331">
        <v>1995</v>
      </c>
      <c r="AD59" s="331">
        <v>0</v>
      </c>
      <c r="AE59" s="331">
        <v>0</v>
      </c>
      <c r="AF59" s="331">
        <v>0</v>
      </c>
      <c r="AG59" s="331">
        <v>18952</v>
      </c>
      <c r="AH59" s="331">
        <v>0</v>
      </c>
      <c r="AI59" s="331">
        <v>0</v>
      </c>
      <c r="AJ59" s="331">
        <v>1477</v>
      </c>
      <c r="AK59" s="331">
        <v>0</v>
      </c>
      <c r="AL59" s="331">
        <v>0</v>
      </c>
      <c r="AM59" s="331">
        <v>0</v>
      </c>
      <c r="AN59" s="331">
        <v>0</v>
      </c>
      <c r="AO59" s="331">
        <v>0</v>
      </c>
      <c r="AP59" s="331">
        <v>0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0</v>
      </c>
      <c r="AZ59" s="331">
        <v>31580</v>
      </c>
      <c r="BA59" s="332">
        <v>0</v>
      </c>
      <c r="BB59" s="332">
        <v>0</v>
      </c>
      <c r="BC59" s="332">
        <v>0</v>
      </c>
      <c r="BD59" s="332">
        <v>0</v>
      </c>
      <c r="BE59" s="331">
        <v>83637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  <c r="CF59" s="329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5.96</v>
      </c>
      <c r="E60" s="277">
        <v>24.6</v>
      </c>
      <c r="F60" s="277">
        <v>0</v>
      </c>
      <c r="G60" s="277">
        <v>0</v>
      </c>
      <c r="H60" s="277">
        <v>0.23</v>
      </c>
      <c r="I60" s="277">
        <v>27.91</v>
      </c>
      <c r="J60" s="277">
        <v>0</v>
      </c>
      <c r="K60" s="277">
        <v>0</v>
      </c>
      <c r="L60" s="277">
        <v>0</v>
      </c>
      <c r="M60" s="277">
        <v>0</v>
      </c>
      <c r="N60" s="277">
        <v>1.96</v>
      </c>
      <c r="O60" s="277">
        <v>0</v>
      </c>
      <c r="P60" s="334">
        <v>8.2200000000000006</v>
      </c>
      <c r="Q60" s="334">
        <v>2.84</v>
      </c>
      <c r="R60" s="334">
        <v>0</v>
      </c>
      <c r="S60" s="278">
        <v>1.89</v>
      </c>
      <c r="T60" s="278">
        <v>0</v>
      </c>
      <c r="U60" s="335">
        <v>15.53</v>
      </c>
      <c r="V60" s="334">
        <v>0</v>
      </c>
      <c r="W60" s="334">
        <v>2.17</v>
      </c>
      <c r="X60" s="334">
        <v>7.57</v>
      </c>
      <c r="Y60" s="334">
        <v>5.72</v>
      </c>
      <c r="Z60" s="334">
        <v>0</v>
      </c>
      <c r="AA60" s="334">
        <v>0</v>
      </c>
      <c r="AB60" s="278">
        <v>5.12</v>
      </c>
      <c r="AC60" s="334">
        <v>4.47</v>
      </c>
      <c r="AD60" s="334">
        <v>6.21</v>
      </c>
      <c r="AE60" s="334">
        <v>0</v>
      </c>
      <c r="AF60" s="334">
        <v>29.46</v>
      </c>
      <c r="AG60" s="334">
        <v>0</v>
      </c>
      <c r="AH60" s="334">
        <v>0</v>
      </c>
      <c r="AI60" s="334">
        <v>0</v>
      </c>
      <c r="AJ60" s="334">
        <v>3.92</v>
      </c>
      <c r="AK60" s="334">
        <v>1.02</v>
      </c>
      <c r="AL60" s="334">
        <v>0</v>
      </c>
      <c r="AM60" s="334">
        <v>0</v>
      </c>
      <c r="AN60" s="334">
        <v>0</v>
      </c>
      <c r="AO60" s="334">
        <v>0</v>
      </c>
      <c r="AP60" s="334">
        <v>0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278">
        <v>0</v>
      </c>
      <c r="AW60" s="278">
        <v>0</v>
      </c>
      <c r="AX60" s="278">
        <v>0</v>
      </c>
      <c r="AY60" s="334">
        <v>0</v>
      </c>
      <c r="AZ60" s="334">
        <v>14.34</v>
      </c>
      <c r="BA60" s="278">
        <v>0</v>
      </c>
      <c r="BB60" s="278">
        <v>0</v>
      </c>
      <c r="BC60" s="278">
        <v>0</v>
      </c>
      <c r="BD60" s="278">
        <v>0</v>
      </c>
      <c r="BE60" s="334">
        <v>5.18</v>
      </c>
      <c r="BF60" s="278">
        <v>15.68</v>
      </c>
      <c r="BG60" s="278">
        <v>0</v>
      </c>
      <c r="BH60" s="278">
        <v>0</v>
      </c>
      <c r="BI60" s="278">
        <v>0.08</v>
      </c>
      <c r="BJ60" s="278">
        <v>0</v>
      </c>
      <c r="BK60" s="278">
        <v>0</v>
      </c>
      <c r="BL60" s="278">
        <v>0</v>
      </c>
      <c r="BM60" s="278">
        <v>0</v>
      </c>
      <c r="BN60" s="278">
        <v>5.4</v>
      </c>
      <c r="BO60" s="278">
        <v>0.36</v>
      </c>
      <c r="BP60" s="278">
        <v>0</v>
      </c>
      <c r="BQ60" s="278">
        <v>0</v>
      </c>
      <c r="BR60" s="278">
        <v>3.12</v>
      </c>
      <c r="BS60" s="278">
        <v>0</v>
      </c>
      <c r="BT60" s="278">
        <v>0</v>
      </c>
      <c r="BU60" s="278">
        <v>0</v>
      </c>
      <c r="BV60" s="278">
        <v>0</v>
      </c>
      <c r="BW60" s="278">
        <v>0.81</v>
      </c>
      <c r="BX60" s="278">
        <v>3.28</v>
      </c>
      <c r="BY60" s="278">
        <v>5.97</v>
      </c>
      <c r="BZ60" s="278">
        <v>0</v>
      </c>
      <c r="CA60" s="278">
        <v>0</v>
      </c>
      <c r="CB60" s="278">
        <v>0</v>
      </c>
      <c r="CC60" s="278">
        <v>1.73</v>
      </c>
      <c r="CD60" s="209" t="s">
        <v>247</v>
      </c>
      <c r="CE60" s="227">
        <v>210.75000000000006</v>
      </c>
      <c r="CF60" s="336">
        <v>0</v>
      </c>
    </row>
    <row r="61" spans="1:84" x14ac:dyDescent="0.25">
      <c r="A61" s="31" t="s">
        <v>262</v>
      </c>
      <c r="B61" s="16"/>
      <c r="C61" s="273">
        <v>0</v>
      </c>
      <c r="D61" s="273">
        <v>1105106.75</v>
      </c>
      <c r="E61" s="273">
        <v>3052075.01</v>
      </c>
      <c r="F61" s="273">
        <v>0</v>
      </c>
      <c r="G61" s="273">
        <v>0</v>
      </c>
      <c r="H61" s="273">
        <v>118238.2</v>
      </c>
      <c r="I61" s="273">
        <v>3127918.3299999996</v>
      </c>
      <c r="J61" s="273">
        <v>0</v>
      </c>
      <c r="K61" s="273">
        <v>0</v>
      </c>
      <c r="L61" s="273">
        <v>0</v>
      </c>
      <c r="M61" s="273">
        <v>0</v>
      </c>
      <c r="N61" s="273">
        <v>1851973.2600000002</v>
      </c>
      <c r="O61" s="273">
        <v>0</v>
      </c>
      <c r="P61" s="331">
        <v>1185520.72</v>
      </c>
      <c r="Q61" s="331">
        <v>441090.75999999995</v>
      </c>
      <c r="R61" s="331">
        <v>0</v>
      </c>
      <c r="S61" s="280">
        <v>156207.39000000001</v>
      </c>
      <c r="T61" s="280">
        <v>0</v>
      </c>
      <c r="U61" s="333">
        <v>1304861.3500000001</v>
      </c>
      <c r="V61" s="331">
        <v>0</v>
      </c>
      <c r="W61" s="331">
        <v>405011.18000000005</v>
      </c>
      <c r="X61" s="331">
        <v>886536.27</v>
      </c>
      <c r="Y61" s="331">
        <v>1052721.92</v>
      </c>
      <c r="Z61" s="331">
        <v>0</v>
      </c>
      <c r="AA61" s="331">
        <v>0</v>
      </c>
      <c r="AB61" s="281">
        <v>776317.92999999993</v>
      </c>
      <c r="AC61" s="331">
        <v>657809.86999999988</v>
      </c>
      <c r="AD61" s="331">
        <v>0</v>
      </c>
      <c r="AE61" s="331">
        <v>571244</v>
      </c>
      <c r="AF61" s="331">
        <v>0</v>
      </c>
      <c r="AG61" s="331">
        <v>3339820.25</v>
      </c>
      <c r="AH61" s="331">
        <v>0</v>
      </c>
      <c r="AI61" s="331">
        <v>0</v>
      </c>
      <c r="AJ61" s="331">
        <v>529086.75</v>
      </c>
      <c r="AK61" s="331">
        <v>140497.26</v>
      </c>
      <c r="AL61" s="331">
        <v>0</v>
      </c>
      <c r="AM61" s="331">
        <v>0</v>
      </c>
      <c r="AN61" s="331">
        <v>0</v>
      </c>
      <c r="AO61" s="331">
        <v>0</v>
      </c>
      <c r="AP61" s="331">
        <v>0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0</v>
      </c>
      <c r="AW61" s="280">
        <v>0</v>
      </c>
      <c r="AX61" s="280">
        <v>0</v>
      </c>
      <c r="AY61" s="331">
        <v>0</v>
      </c>
      <c r="AZ61" s="331">
        <v>828892.23</v>
      </c>
      <c r="BA61" s="280">
        <v>0</v>
      </c>
      <c r="BB61" s="280">
        <v>0</v>
      </c>
      <c r="BC61" s="280">
        <v>0</v>
      </c>
      <c r="BD61" s="280">
        <v>0.01</v>
      </c>
      <c r="BE61" s="331">
        <v>513877.8</v>
      </c>
      <c r="BF61" s="280">
        <v>877157.76</v>
      </c>
      <c r="BG61" s="280">
        <v>0</v>
      </c>
      <c r="BH61" s="280">
        <v>0</v>
      </c>
      <c r="BI61" s="280">
        <v>23681.030000000002</v>
      </c>
      <c r="BJ61" s="280">
        <v>-885.39</v>
      </c>
      <c r="BK61" s="280">
        <v>-0.01</v>
      </c>
      <c r="BL61" s="280">
        <v>0.85</v>
      </c>
      <c r="BM61" s="280">
        <v>0</v>
      </c>
      <c r="BN61" s="280">
        <v>1421770.53</v>
      </c>
      <c r="BO61" s="280">
        <v>44099.51</v>
      </c>
      <c r="BP61" s="280">
        <v>0</v>
      </c>
      <c r="BQ61" s="280">
        <v>0</v>
      </c>
      <c r="BR61" s="280">
        <v>314111.22000000003</v>
      </c>
      <c r="BS61" s="280">
        <v>0</v>
      </c>
      <c r="BT61" s="280">
        <v>0</v>
      </c>
      <c r="BU61" s="280">
        <v>0</v>
      </c>
      <c r="BV61" s="280">
        <v>-0.02</v>
      </c>
      <c r="BW61" s="280">
        <v>83680.209999999992</v>
      </c>
      <c r="BX61" s="280">
        <v>406114.9</v>
      </c>
      <c r="BY61" s="280">
        <v>867500.82</v>
      </c>
      <c r="BZ61" s="280">
        <v>0</v>
      </c>
      <c r="CA61" s="280">
        <v>0</v>
      </c>
      <c r="CB61" s="280">
        <v>0</v>
      </c>
      <c r="CC61" s="280">
        <v>198161.34999999998</v>
      </c>
      <c r="CD61" s="24" t="s">
        <v>247</v>
      </c>
      <c r="CE61" s="25">
        <v>26280200.000000007</v>
      </c>
      <c r="CF61" s="329">
        <v>0</v>
      </c>
    </row>
    <row r="62" spans="1:84" x14ac:dyDescent="0.25">
      <c r="A62" s="31" t="s">
        <v>10</v>
      </c>
      <c r="B62" s="16"/>
      <c r="C62" s="25">
        <v>0</v>
      </c>
      <c r="D62" s="25">
        <v>131310</v>
      </c>
      <c r="E62" s="25">
        <v>461984</v>
      </c>
      <c r="F62" s="25">
        <v>0</v>
      </c>
      <c r="G62" s="25">
        <v>0</v>
      </c>
      <c r="H62" s="25">
        <v>0</v>
      </c>
      <c r="I62" s="25">
        <v>750538</v>
      </c>
      <c r="J62" s="25">
        <v>0</v>
      </c>
      <c r="K62" s="25">
        <v>0</v>
      </c>
      <c r="L62" s="25">
        <v>0</v>
      </c>
      <c r="M62" s="25">
        <v>0</v>
      </c>
      <c r="N62" s="25">
        <v>305131</v>
      </c>
      <c r="O62" s="25">
        <v>0</v>
      </c>
      <c r="P62" s="25">
        <v>223077</v>
      </c>
      <c r="Q62" s="25">
        <v>78462</v>
      </c>
      <c r="R62" s="25">
        <v>0</v>
      </c>
      <c r="S62" s="25">
        <v>44907</v>
      </c>
      <c r="T62" s="25">
        <v>0</v>
      </c>
      <c r="U62" s="25">
        <v>340799</v>
      </c>
      <c r="V62" s="25">
        <v>0</v>
      </c>
      <c r="W62" s="25">
        <v>53162</v>
      </c>
      <c r="X62" s="25">
        <v>214611</v>
      </c>
      <c r="Y62" s="25">
        <v>121727</v>
      </c>
      <c r="Z62" s="25">
        <v>0</v>
      </c>
      <c r="AA62" s="25">
        <v>0</v>
      </c>
      <c r="AB62" s="25">
        <v>182162</v>
      </c>
      <c r="AC62" s="25">
        <v>73007</v>
      </c>
      <c r="AD62" s="25">
        <v>0</v>
      </c>
      <c r="AE62" s="25">
        <v>162769</v>
      </c>
      <c r="AF62" s="25">
        <v>0</v>
      </c>
      <c r="AG62" s="25">
        <v>636595</v>
      </c>
      <c r="AH62" s="25">
        <v>0</v>
      </c>
      <c r="AI62" s="25">
        <v>0</v>
      </c>
      <c r="AJ62" s="25">
        <v>119504</v>
      </c>
      <c r="AK62" s="25">
        <v>50248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204947</v>
      </c>
      <c r="BA62" s="25">
        <v>0</v>
      </c>
      <c r="BB62" s="25">
        <v>0</v>
      </c>
      <c r="BC62" s="25">
        <v>0</v>
      </c>
      <c r="BD62" s="25">
        <v>0</v>
      </c>
      <c r="BE62" s="25">
        <v>108088</v>
      </c>
      <c r="BF62" s="25">
        <v>298554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444624</v>
      </c>
      <c r="BO62" s="25">
        <v>42360</v>
      </c>
      <c r="BP62" s="25">
        <v>0</v>
      </c>
      <c r="BQ62" s="25">
        <v>0</v>
      </c>
      <c r="BR62" s="25">
        <v>102835</v>
      </c>
      <c r="BS62" s="25">
        <v>0</v>
      </c>
      <c r="BT62" s="25">
        <v>0</v>
      </c>
      <c r="BU62" s="25">
        <v>0</v>
      </c>
      <c r="BV62" s="25">
        <v>0</v>
      </c>
      <c r="BW62" s="25">
        <v>34754</v>
      </c>
      <c r="BX62" s="25">
        <v>75577</v>
      </c>
      <c r="BY62" s="25">
        <v>144860</v>
      </c>
      <c r="BZ62" s="25">
        <v>0</v>
      </c>
      <c r="CA62" s="25">
        <v>0</v>
      </c>
      <c r="CB62" s="25">
        <v>0</v>
      </c>
      <c r="CC62" s="25">
        <v>614690</v>
      </c>
      <c r="CD62" s="24" t="s">
        <v>247</v>
      </c>
      <c r="CE62" s="25">
        <v>6021282</v>
      </c>
      <c r="CF62" s="329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546</v>
      </c>
      <c r="I63" s="273">
        <v>5570</v>
      </c>
      <c r="J63" s="273">
        <v>0</v>
      </c>
      <c r="K63" s="273">
        <v>0</v>
      </c>
      <c r="L63" s="273">
        <v>0</v>
      </c>
      <c r="M63" s="273">
        <v>0</v>
      </c>
      <c r="N63" s="273">
        <v>26000</v>
      </c>
      <c r="O63" s="273">
        <v>0</v>
      </c>
      <c r="P63" s="331">
        <v>13938</v>
      </c>
      <c r="Q63" s="331">
        <v>0</v>
      </c>
      <c r="R63" s="331">
        <v>0</v>
      </c>
      <c r="S63" s="280">
        <v>0</v>
      </c>
      <c r="T63" s="280">
        <v>0</v>
      </c>
      <c r="U63" s="333">
        <v>11131.08</v>
      </c>
      <c r="V63" s="331">
        <v>0</v>
      </c>
      <c r="W63" s="331">
        <v>0</v>
      </c>
      <c r="X63" s="331">
        <v>0</v>
      </c>
      <c r="Y63" s="331">
        <v>0</v>
      </c>
      <c r="Z63" s="331">
        <v>0</v>
      </c>
      <c r="AA63" s="331">
        <v>0</v>
      </c>
      <c r="AB63" s="281">
        <v>0</v>
      </c>
      <c r="AC63" s="331">
        <v>0</v>
      </c>
      <c r="AD63" s="331">
        <v>0</v>
      </c>
      <c r="AE63" s="331">
        <v>0</v>
      </c>
      <c r="AF63" s="331">
        <v>0</v>
      </c>
      <c r="AG63" s="331">
        <v>676063.51</v>
      </c>
      <c r="AH63" s="331">
        <v>0</v>
      </c>
      <c r="AI63" s="331">
        <v>0</v>
      </c>
      <c r="AJ63" s="331">
        <v>0</v>
      </c>
      <c r="AK63" s="331">
        <v>76163.58</v>
      </c>
      <c r="AL63" s="331">
        <v>0</v>
      </c>
      <c r="AM63" s="331">
        <v>0</v>
      </c>
      <c r="AN63" s="331">
        <v>0</v>
      </c>
      <c r="AO63" s="331">
        <v>0</v>
      </c>
      <c r="AP63" s="331">
        <v>0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0</v>
      </c>
      <c r="AW63" s="280">
        <v>0</v>
      </c>
      <c r="AX63" s="280">
        <v>0</v>
      </c>
      <c r="AY63" s="331">
        <v>0</v>
      </c>
      <c r="AZ63" s="331">
        <v>105935.21</v>
      </c>
      <c r="BA63" s="280">
        <v>0</v>
      </c>
      <c r="BB63" s="280">
        <v>0</v>
      </c>
      <c r="BC63" s="280">
        <v>0</v>
      </c>
      <c r="BD63" s="280">
        <v>0</v>
      </c>
      <c r="BE63" s="331">
        <v>0</v>
      </c>
      <c r="BF63" s="280">
        <v>0</v>
      </c>
      <c r="BG63" s="280">
        <v>0</v>
      </c>
      <c r="BH63" s="280">
        <v>0</v>
      </c>
      <c r="BI63" s="280">
        <v>29867.25</v>
      </c>
      <c r="BJ63" s="280">
        <v>88929.38</v>
      </c>
      <c r="BK63" s="280">
        <v>49933.7</v>
      </c>
      <c r="BL63" s="280">
        <v>0</v>
      </c>
      <c r="BM63" s="280">
        <v>0</v>
      </c>
      <c r="BN63" s="280">
        <v>104149.91</v>
      </c>
      <c r="BO63" s="280">
        <v>0</v>
      </c>
      <c r="BP63" s="280">
        <v>1493.1</v>
      </c>
      <c r="BQ63" s="280">
        <v>0</v>
      </c>
      <c r="BR63" s="280">
        <v>304441.09999999998</v>
      </c>
      <c r="BS63" s="280">
        <v>0</v>
      </c>
      <c r="BT63" s="280">
        <v>0</v>
      </c>
      <c r="BU63" s="280">
        <v>0</v>
      </c>
      <c r="BV63" s="280">
        <v>0</v>
      </c>
      <c r="BW63" s="280">
        <v>610076.71</v>
      </c>
      <c r="BX63" s="280">
        <v>800</v>
      </c>
      <c r="BY63" s="280">
        <v>0</v>
      </c>
      <c r="BZ63" s="280">
        <v>0</v>
      </c>
      <c r="CA63" s="280">
        <v>0</v>
      </c>
      <c r="CB63" s="280">
        <v>0</v>
      </c>
      <c r="CC63" s="280">
        <v>14500</v>
      </c>
      <c r="CD63" s="24" t="s">
        <v>247</v>
      </c>
      <c r="CE63" s="25">
        <v>2119538.5299999998</v>
      </c>
      <c r="CF63" s="329">
        <v>0</v>
      </c>
    </row>
    <row r="64" spans="1:84" x14ac:dyDescent="0.25">
      <c r="A64" s="31" t="s">
        <v>264</v>
      </c>
      <c r="B64" s="16"/>
      <c r="C64" s="273">
        <v>-13.95</v>
      </c>
      <c r="D64" s="273">
        <v>28617.55</v>
      </c>
      <c r="E64" s="273">
        <v>303027.88999999996</v>
      </c>
      <c r="F64" s="273">
        <v>0</v>
      </c>
      <c r="G64" s="273">
        <v>-1079</v>
      </c>
      <c r="H64" s="273">
        <v>393801.52</v>
      </c>
      <c r="I64" s="273">
        <v>151002.21</v>
      </c>
      <c r="J64" s="273">
        <v>0</v>
      </c>
      <c r="K64" s="273">
        <v>0</v>
      </c>
      <c r="L64" s="273">
        <v>0</v>
      </c>
      <c r="M64" s="273">
        <v>0</v>
      </c>
      <c r="N64" s="273">
        <v>760.82999999999993</v>
      </c>
      <c r="O64" s="273">
        <v>0</v>
      </c>
      <c r="P64" s="331">
        <v>3065690.5900000008</v>
      </c>
      <c r="Q64" s="331">
        <v>5048.4900000000007</v>
      </c>
      <c r="R64" s="331">
        <v>54851.46</v>
      </c>
      <c r="S64" s="280">
        <v>166539.41999999998</v>
      </c>
      <c r="T64" s="280">
        <v>0</v>
      </c>
      <c r="U64" s="333">
        <v>1127644.2599999998</v>
      </c>
      <c r="V64" s="331">
        <v>0</v>
      </c>
      <c r="W64" s="331">
        <v>22108.809999999998</v>
      </c>
      <c r="X64" s="331">
        <v>111.05</v>
      </c>
      <c r="Y64" s="331">
        <v>166340.32</v>
      </c>
      <c r="Z64" s="331">
        <v>0</v>
      </c>
      <c r="AA64" s="331">
        <v>0</v>
      </c>
      <c r="AB64" s="331">
        <v>823628.14000000013</v>
      </c>
      <c r="AC64" s="331">
        <v>19382.059999999998</v>
      </c>
      <c r="AD64" s="331">
        <v>0</v>
      </c>
      <c r="AE64" s="331">
        <v>11014.199999999999</v>
      </c>
      <c r="AF64" s="331">
        <v>0</v>
      </c>
      <c r="AG64" s="331">
        <v>519044.05999999988</v>
      </c>
      <c r="AH64" s="331">
        <v>0</v>
      </c>
      <c r="AI64" s="331">
        <v>0</v>
      </c>
      <c r="AJ64" s="331">
        <v>74567.12999999999</v>
      </c>
      <c r="AK64" s="331">
        <v>0</v>
      </c>
      <c r="AL64" s="331">
        <v>0</v>
      </c>
      <c r="AM64" s="331">
        <v>0</v>
      </c>
      <c r="AN64" s="331">
        <v>0</v>
      </c>
      <c r="AO64" s="331">
        <v>0</v>
      </c>
      <c r="AP64" s="331">
        <v>0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0</v>
      </c>
      <c r="AW64" s="280">
        <v>0</v>
      </c>
      <c r="AX64" s="280">
        <v>0</v>
      </c>
      <c r="AY64" s="331">
        <v>0</v>
      </c>
      <c r="AZ64" s="331">
        <v>337714.24000000005</v>
      </c>
      <c r="BA64" s="280">
        <v>0</v>
      </c>
      <c r="BB64" s="280">
        <v>0</v>
      </c>
      <c r="BC64" s="280">
        <v>0</v>
      </c>
      <c r="BD64" s="280">
        <v>321.12</v>
      </c>
      <c r="BE64" s="331">
        <v>150465.70000000001</v>
      </c>
      <c r="BF64" s="280">
        <v>73710.19</v>
      </c>
      <c r="BG64" s="280">
        <v>0</v>
      </c>
      <c r="BH64" s="280">
        <v>46710.009999999995</v>
      </c>
      <c r="BI64" s="280">
        <v>3697.1</v>
      </c>
      <c r="BJ64" s="280">
        <v>57.6</v>
      </c>
      <c r="BK64" s="280">
        <v>681.67</v>
      </c>
      <c r="BL64" s="280">
        <v>8081.2000000000007</v>
      </c>
      <c r="BM64" s="280">
        <v>0</v>
      </c>
      <c r="BN64" s="280">
        <v>23230.210000000003</v>
      </c>
      <c r="BO64" s="280">
        <v>11436.01</v>
      </c>
      <c r="BP64" s="280">
        <v>4146.9799999999996</v>
      </c>
      <c r="BQ64" s="280">
        <v>0</v>
      </c>
      <c r="BR64" s="280">
        <v>1679.2899999999997</v>
      </c>
      <c r="BS64" s="280">
        <v>0</v>
      </c>
      <c r="BT64" s="280">
        <v>0</v>
      </c>
      <c r="BU64" s="280">
        <v>0</v>
      </c>
      <c r="BV64" s="280">
        <v>0</v>
      </c>
      <c r="BW64" s="280">
        <v>693.7</v>
      </c>
      <c r="BX64" s="280">
        <v>2467.63</v>
      </c>
      <c r="BY64" s="280">
        <v>120.88999999999999</v>
      </c>
      <c r="BZ64" s="280">
        <v>0</v>
      </c>
      <c r="CA64" s="280">
        <v>8453.4</v>
      </c>
      <c r="CB64" s="280">
        <v>0</v>
      </c>
      <c r="CC64" s="280">
        <v>33479.64</v>
      </c>
      <c r="CD64" s="24" t="s">
        <v>247</v>
      </c>
      <c r="CE64" s="25">
        <v>7639233.6199999992</v>
      </c>
      <c r="CF64" s="329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61401.62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1">
        <v>0</v>
      </c>
      <c r="Q65" s="331">
        <v>0</v>
      </c>
      <c r="R65" s="331">
        <v>0</v>
      </c>
      <c r="S65" s="280">
        <v>0</v>
      </c>
      <c r="T65" s="280">
        <v>0</v>
      </c>
      <c r="U65" s="333">
        <v>0</v>
      </c>
      <c r="V65" s="331">
        <v>0</v>
      </c>
      <c r="W65" s="331">
        <v>0</v>
      </c>
      <c r="X65" s="331">
        <v>0</v>
      </c>
      <c r="Y65" s="331">
        <v>0</v>
      </c>
      <c r="Z65" s="331">
        <v>0</v>
      </c>
      <c r="AA65" s="331">
        <v>0</v>
      </c>
      <c r="AB65" s="281">
        <v>0</v>
      </c>
      <c r="AC65" s="331">
        <v>0</v>
      </c>
      <c r="AD65" s="331">
        <v>0</v>
      </c>
      <c r="AE65" s="331">
        <v>0</v>
      </c>
      <c r="AF65" s="331">
        <v>0</v>
      </c>
      <c r="AG65" s="331">
        <v>0</v>
      </c>
      <c r="AH65" s="331">
        <v>0</v>
      </c>
      <c r="AI65" s="331">
        <v>0</v>
      </c>
      <c r="AJ65" s="331">
        <v>0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0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0</v>
      </c>
      <c r="AX65" s="280">
        <v>0</v>
      </c>
      <c r="AY65" s="331">
        <v>0</v>
      </c>
      <c r="AZ65" s="331">
        <v>0</v>
      </c>
      <c r="BA65" s="280">
        <v>0</v>
      </c>
      <c r="BB65" s="280">
        <v>0</v>
      </c>
      <c r="BC65" s="280">
        <v>0</v>
      </c>
      <c r="BD65" s="280">
        <v>0</v>
      </c>
      <c r="BE65" s="331">
        <v>529232.03</v>
      </c>
      <c r="BF65" s="280">
        <v>10160.11</v>
      </c>
      <c r="BG65" s="280">
        <v>16588.150000000001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617381.91</v>
      </c>
      <c r="CF65" s="329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32917.17</v>
      </c>
      <c r="F66" s="273">
        <v>0</v>
      </c>
      <c r="G66" s="273">
        <v>0</v>
      </c>
      <c r="H66" s="273">
        <v>65</v>
      </c>
      <c r="I66" s="273">
        <v>2391.5699999999997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31">
        <v>110388.69</v>
      </c>
      <c r="Q66" s="331">
        <v>0</v>
      </c>
      <c r="R66" s="331">
        <v>480000</v>
      </c>
      <c r="S66" s="280">
        <v>132.07</v>
      </c>
      <c r="T66" s="280">
        <v>0</v>
      </c>
      <c r="U66" s="333">
        <v>784270.84000000008</v>
      </c>
      <c r="V66" s="331">
        <v>0</v>
      </c>
      <c r="W66" s="331">
        <v>76310</v>
      </c>
      <c r="X66" s="331">
        <v>74181.5</v>
      </c>
      <c r="Y66" s="331">
        <v>201988.19999999998</v>
      </c>
      <c r="Z66" s="331">
        <v>0</v>
      </c>
      <c r="AA66" s="331">
        <v>0</v>
      </c>
      <c r="AB66" s="281">
        <v>42373.799999999996</v>
      </c>
      <c r="AC66" s="331">
        <v>56.53</v>
      </c>
      <c r="AD66" s="331">
        <v>0</v>
      </c>
      <c r="AE66" s="331">
        <v>1094</v>
      </c>
      <c r="AF66" s="331">
        <v>0</v>
      </c>
      <c r="AG66" s="331">
        <v>53314.57</v>
      </c>
      <c r="AH66" s="331">
        <v>0</v>
      </c>
      <c r="AI66" s="331">
        <v>0</v>
      </c>
      <c r="AJ66" s="331">
        <v>160840.86000000002</v>
      </c>
      <c r="AK66" s="331">
        <v>0</v>
      </c>
      <c r="AL66" s="331">
        <v>0</v>
      </c>
      <c r="AM66" s="331">
        <v>0</v>
      </c>
      <c r="AN66" s="331">
        <v>0</v>
      </c>
      <c r="AO66" s="331">
        <v>0</v>
      </c>
      <c r="AP66" s="331">
        <v>0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0</v>
      </c>
      <c r="AW66" s="280">
        <v>0</v>
      </c>
      <c r="AX66" s="280">
        <v>51344.86</v>
      </c>
      <c r="AY66" s="331">
        <v>0</v>
      </c>
      <c r="AZ66" s="331">
        <v>34958.71</v>
      </c>
      <c r="BA66" s="280">
        <v>302537.69</v>
      </c>
      <c r="BB66" s="280">
        <v>0</v>
      </c>
      <c r="BC66" s="280">
        <v>0</v>
      </c>
      <c r="BD66" s="280">
        <v>4071.22</v>
      </c>
      <c r="BE66" s="331">
        <v>566822.54</v>
      </c>
      <c r="BF66" s="280">
        <v>106427.51999999999</v>
      </c>
      <c r="BG66" s="280">
        <v>10767.68</v>
      </c>
      <c r="BH66" s="280">
        <v>2271467.9</v>
      </c>
      <c r="BI66" s="280">
        <v>48800</v>
      </c>
      <c r="BJ66" s="280">
        <v>0</v>
      </c>
      <c r="BK66" s="280">
        <v>2921210.89</v>
      </c>
      <c r="BL66" s="280">
        <v>0</v>
      </c>
      <c r="BM66" s="280">
        <v>0</v>
      </c>
      <c r="BN66" s="280">
        <v>27393.86</v>
      </c>
      <c r="BO66" s="280">
        <v>0</v>
      </c>
      <c r="BP66" s="280">
        <v>212776.3</v>
      </c>
      <c r="BQ66" s="280">
        <v>0</v>
      </c>
      <c r="BR66" s="280">
        <v>64924.619999999995</v>
      </c>
      <c r="BS66" s="280">
        <v>0</v>
      </c>
      <c r="BT66" s="280">
        <v>0</v>
      </c>
      <c r="BU66" s="280">
        <v>0</v>
      </c>
      <c r="BV66" s="280">
        <v>-31657.94</v>
      </c>
      <c r="BW66" s="280">
        <v>10872.74</v>
      </c>
      <c r="BX66" s="280">
        <v>109308.99</v>
      </c>
      <c r="BY66" s="280">
        <v>0</v>
      </c>
      <c r="BZ66" s="280">
        <v>0</v>
      </c>
      <c r="CA66" s="280">
        <v>0</v>
      </c>
      <c r="CB66" s="280">
        <v>0</v>
      </c>
      <c r="CC66" s="280">
        <v>2602063.67</v>
      </c>
      <c r="CD66" s="24" t="s">
        <v>247</v>
      </c>
      <c r="CE66" s="25">
        <v>11334416.050000001</v>
      </c>
      <c r="CF66" s="329">
        <v>0</v>
      </c>
    </row>
    <row r="67" spans="1:84" x14ac:dyDescent="0.25">
      <c r="A67" s="31" t="s">
        <v>15</v>
      </c>
      <c r="B67" s="16"/>
      <c r="C67" s="25">
        <v>3181</v>
      </c>
      <c r="D67" s="25">
        <v>0</v>
      </c>
      <c r="E67" s="25">
        <v>176157</v>
      </c>
      <c r="F67" s="25">
        <v>0</v>
      </c>
      <c r="G67" s="25">
        <v>0</v>
      </c>
      <c r="H67" s="25">
        <v>0</v>
      </c>
      <c r="I67" s="25">
        <v>403037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129679</v>
      </c>
      <c r="Q67" s="25">
        <v>65972</v>
      </c>
      <c r="R67" s="25">
        <v>2642</v>
      </c>
      <c r="S67" s="25">
        <v>0</v>
      </c>
      <c r="T67" s="25">
        <v>0</v>
      </c>
      <c r="U67" s="25">
        <v>41225</v>
      </c>
      <c r="V67" s="25">
        <v>0</v>
      </c>
      <c r="W67" s="25">
        <v>230072</v>
      </c>
      <c r="X67" s="25">
        <v>87486</v>
      </c>
      <c r="Y67" s="25">
        <v>80449</v>
      </c>
      <c r="Z67" s="25">
        <v>0</v>
      </c>
      <c r="AA67" s="25">
        <v>0</v>
      </c>
      <c r="AB67" s="25">
        <v>11772</v>
      </c>
      <c r="AC67" s="25">
        <v>14285</v>
      </c>
      <c r="AD67" s="25">
        <v>0</v>
      </c>
      <c r="AE67" s="25">
        <v>77282</v>
      </c>
      <c r="AF67" s="25">
        <v>0</v>
      </c>
      <c r="AG67" s="25">
        <v>128606</v>
      </c>
      <c r="AH67" s="25">
        <v>0</v>
      </c>
      <c r="AI67" s="25">
        <v>0</v>
      </c>
      <c r="AJ67" s="25">
        <v>59428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87746</v>
      </c>
      <c r="AW67" s="25">
        <v>0</v>
      </c>
      <c r="AX67" s="25">
        <v>0</v>
      </c>
      <c r="AY67" s="25">
        <v>0</v>
      </c>
      <c r="AZ67" s="25">
        <v>64390</v>
      </c>
      <c r="BA67" s="25">
        <v>5995</v>
      </c>
      <c r="BB67" s="25">
        <v>0</v>
      </c>
      <c r="BC67" s="25">
        <v>0</v>
      </c>
      <c r="BD67" s="25">
        <v>46740</v>
      </c>
      <c r="BE67" s="25">
        <v>488778</v>
      </c>
      <c r="BF67" s="25">
        <v>5588</v>
      </c>
      <c r="BG67" s="25">
        <v>0</v>
      </c>
      <c r="BH67" s="25">
        <v>233731</v>
      </c>
      <c r="BI67" s="25">
        <v>0</v>
      </c>
      <c r="BJ67" s="25">
        <v>0</v>
      </c>
      <c r="BK67" s="25">
        <v>17418</v>
      </c>
      <c r="BL67" s="25">
        <v>6096</v>
      </c>
      <c r="BM67" s="25">
        <v>0</v>
      </c>
      <c r="BN67" s="25">
        <v>193906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39583</v>
      </c>
      <c r="BW67" s="25">
        <v>0</v>
      </c>
      <c r="BX67" s="25">
        <v>0</v>
      </c>
      <c r="BY67" s="25">
        <v>10843</v>
      </c>
      <c r="BZ67" s="25">
        <v>0</v>
      </c>
      <c r="CA67" s="25">
        <v>3181</v>
      </c>
      <c r="CB67" s="25">
        <v>0</v>
      </c>
      <c r="CC67" s="25">
        <v>24604</v>
      </c>
      <c r="CD67" s="24" t="s">
        <v>247</v>
      </c>
      <c r="CE67" s="25">
        <v>2739872</v>
      </c>
      <c r="CF67" s="329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1">
        <v>14000</v>
      </c>
      <c r="Q68" s="331">
        <v>0</v>
      </c>
      <c r="R68" s="331">
        <v>0</v>
      </c>
      <c r="S68" s="280">
        <v>0</v>
      </c>
      <c r="T68" s="280">
        <v>0</v>
      </c>
      <c r="U68" s="333">
        <v>0</v>
      </c>
      <c r="V68" s="331">
        <v>0</v>
      </c>
      <c r="W68" s="331">
        <v>0</v>
      </c>
      <c r="X68" s="331">
        <v>0</v>
      </c>
      <c r="Y68" s="331">
        <v>0</v>
      </c>
      <c r="Z68" s="331">
        <v>0</v>
      </c>
      <c r="AA68" s="331">
        <v>0</v>
      </c>
      <c r="AB68" s="281">
        <v>159397.4</v>
      </c>
      <c r="AC68" s="331">
        <v>0</v>
      </c>
      <c r="AD68" s="331">
        <v>0</v>
      </c>
      <c r="AE68" s="331">
        <v>0</v>
      </c>
      <c r="AF68" s="331">
        <v>0</v>
      </c>
      <c r="AG68" s="331">
        <v>0</v>
      </c>
      <c r="AH68" s="331">
        <v>0</v>
      </c>
      <c r="AI68" s="331">
        <v>0</v>
      </c>
      <c r="AJ68" s="331">
        <v>265.39</v>
      </c>
      <c r="AK68" s="331">
        <v>0</v>
      </c>
      <c r="AL68" s="331">
        <v>0</v>
      </c>
      <c r="AM68" s="331">
        <v>0</v>
      </c>
      <c r="AN68" s="331">
        <v>0</v>
      </c>
      <c r="AO68" s="331">
        <v>0</v>
      </c>
      <c r="AP68" s="331">
        <v>0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0</v>
      </c>
      <c r="AW68" s="280">
        <v>0</v>
      </c>
      <c r="AX68" s="280">
        <v>0</v>
      </c>
      <c r="AY68" s="331">
        <v>0</v>
      </c>
      <c r="AZ68" s="331">
        <v>0</v>
      </c>
      <c r="BA68" s="280">
        <v>0</v>
      </c>
      <c r="BB68" s="280">
        <v>0</v>
      </c>
      <c r="BC68" s="280">
        <v>0</v>
      </c>
      <c r="BD68" s="280">
        <v>0</v>
      </c>
      <c r="BE68" s="331">
        <v>0</v>
      </c>
      <c r="BF68" s="280">
        <v>0</v>
      </c>
      <c r="BG68" s="280">
        <v>0</v>
      </c>
      <c r="BH68" s="280">
        <v>0</v>
      </c>
      <c r="BI68" s="280">
        <v>39102</v>
      </c>
      <c r="BJ68" s="280">
        <v>0</v>
      </c>
      <c r="BK68" s="280">
        <v>0</v>
      </c>
      <c r="BL68" s="280">
        <v>0</v>
      </c>
      <c r="BM68" s="280">
        <v>0</v>
      </c>
      <c r="BN68" s="280">
        <v>202638.42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415403.21</v>
      </c>
      <c r="CF68" s="329">
        <v>0</v>
      </c>
    </row>
    <row r="69" spans="1:84" x14ac:dyDescent="0.25">
      <c r="A69" s="31" t="s">
        <v>268</v>
      </c>
      <c r="B69" s="16"/>
      <c r="C69" s="25">
        <v>0</v>
      </c>
      <c r="D69" s="25">
        <v>1375</v>
      </c>
      <c r="E69" s="25">
        <v>0</v>
      </c>
      <c r="F69" s="25">
        <v>0</v>
      </c>
      <c r="G69" s="25">
        <v>0</v>
      </c>
      <c r="H69" s="25">
        <v>0</v>
      </c>
      <c r="I69" s="25">
        <v>25517.17</v>
      </c>
      <c r="J69" s="25">
        <v>0</v>
      </c>
      <c r="K69" s="25">
        <v>0</v>
      </c>
      <c r="L69" s="25">
        <v>0</v>
      </c>
      <c r="M69" s="25">
        <v>0</v>
      </c>
      <c r="N69" s="25">
        <v>14837.82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8566</v>
      </c>
      <c r="V69" s="25">
        <v>0</v>
      </c>
      <c r="W69" s="25">
        <v>125</v>
      </c>
      <c r="X69" s="25">
        <v>204.95</v>
      </c>
      <c r="Y69" s="25">
        <v>173.58</v>
      </c>
      <c r="Z69" s="25">
        <v>0</v>
      </c>
      <c r="AA69" s="25">
        <v>0</v>
      </c>
      <c r="AB69" s="25">
        <v>2375</v>
      </c>
      <c r="AC69" s="25">
        <v>496.82</v>
      </c>
      <c r="AD69" s="25">
        <v>0</v>
      </c>
      <c r="AE69" s="25">
        <v>1457.4</v>
      </c>
      <c r="AF69" s="25">
        <v>0</v>
      </c>
      <c r="AG69" s="25">
        <v>1231.4000000000001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8125.22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123.67</v>
      </c>
      <c r="BF69" s="25">
        <v>0</v>
      </c>
      <c r="BG69" s="25">
        <v>0</v>
      </c>
      <c r="BH69" s="25">
        <v>0</v>
      </c>
      <c r="BI69" s="25">
        <v>682.45</v>
      </c>
      <c r="BJ69" s="25">
        <v>1871.77</v>
      </c>
      <c r="BK69" s="25">
        <v>106.87</v>
      </c>
      <c r="BL69" s="25">
        <v>123.82</v>
      </c>
      <c r="BM69" s="25">
        <v>0</v>
      </c>
      <c r="BN69" s="25">
        <v>88750.65</v>
      </c>
      <c r="BO69" s="25">
        <v>-1096.1199999999999</v>
      </c>
      <c r="BP69" s="25">
        <v>1370.32</v>
      </c>
      <c r="BQ69" s="25">
        <v>0</v>
      </c>
      <c r="BR69" s="25">
        <v>1450.33</v>
      </c>
      <c r="BS69" s="25">
        <v>0</v>
      </c>
      <c r="BT69" s="25">
        <v>0</v>
      </c>
      <c r="BU69" s="25">
        <v>0</v>
      </c>
      <c r="BV69" s="25">
        <v>0</v>
      </c>
      <c r="BW69" s="25">
        <v>593.09</v>
      </c>
      <c r="BX69" s="25">
        <v>359.73</v>
      </c>
      <c r="BY69" s="25">
        <v>290.20999999999998</v>
      </c>
      <c r="BZ69" s="25">
        <v>0</v>
      </c>
      <c r="CA69" s="25">
        <v>20921</v>
      </c>
      <c r="CB69" s="25">
        <v>0</v>
      </c>
      <c r="CC69" s="25">
        <v>0</v>
      </c>
      <c r="CD69" s="25">
        <v>1071130.22</v>
      </c>
      <c r="CE69" s="25">
        <v>1251163.3700000001</v>
      </c>
      <c r="CF69" s="329">
        <v>0</v>
      </c>
    </row>
    <row r="70" spans="1:84" x14ac:dyDescent="0.25">
      <c r="A70" s="26" t="s">
        <v>269</v>
      </c>
      <c r="B70" s="33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9">
        <v>0</v>
      </c>
    </row>
    <row r="71" spans="1:84" x14ac:dyDescent="0.25">
      <c r="A71" s="26" t="s">
        <v>270</v>
      </c>
      <c r="B71" s="33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9">
        <v>0</v>
      </c>
    </row>
    <row r="72" spans="1:84" x14ac:dyDescent="0.25">
      <c r="A72" s="26" t="s">
        <v>271</v>
      </c>
      <c r="B72" s="33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9">
        <v>0</v>
      </c>
    </row>
    <row r="73" spans="1:84" x14ac:dyDescent="0.25">
      <c r="A73" s="26" t="s">
        <v>272</v>
      </c>
      <c r="B73" s="33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12852.88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468748.65</v>
      </c>
      <c r="CE73" s="25">
        <v>481601.53</v>
      </c>
      <c r="CF73" s="329">
        <v>0</v>
      </c>
    </row>
    <row r="74" spans="1:84" x14ac:dyDescent="0.25">
      <c r="A74" s="26" t="s">
        <v>273</v>
      </c>
      <c r="B74" s="33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9">
        <v>0</v>
      </c>
    </row>
    <row r="75" spans="1:84" x14ac:dyDescent="0.25">
      <c r="A75" s="26" t="s">
        <v>274</v>
      </c>
      <c r="B75" s="33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9">
        <v>0</v>
      </c>
    </row>
    <row r="76" spans="1:84" x14ac:dyDescent="0.25">
      <c r="A76" s="26" t="s">
        <v>275</v>
      </c>
      <c r="B76" s="338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9">
        <v>0</v>
      </c>
    </row>
    <row r="77" spans="1:84" x14ac:dyDescent="0.25">
      <c r="A77" s="26" t="s">
        <v>276</v>
      </c>
      <c r="B77" s="33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9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9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  <c r="CF79" s="329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  <c r="CF80" s="329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7.45</v>
      </c>
      <c r="BJ81" s="282">
        <v>7.45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555116.47</v>
      </c>
      <c r="CE81" s="25">
        <v>555131.37</v>
      </c>
      <c r="CF81" s="329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9">
        <v>0</v>
      </c>
    </row>
    <row r="83" spans="1:84" x14ac:dyDescent="0.25">
      <c r="A83" s="26" t="s">
        <v>282</v>
      </c>
      <c r="B83" s="16"/>
      <c r="C83" s="273">
        <v>0</v>
      </c>
      <c r="D83" s="273">
        <v>1375</v>
      </c>
      <c r="E83" s="331">
        <v>0</v>
      </c>
      <c r="F83" s="331">
        <v>0</v>
      </c>
      <c r="G83" s="273">
        <v>0</v>
      </c>
      <c r="H83" s="273">
        <v>0</v>
      </c>
      <c r="I83" s="331">
        <v>12664.29</v>
      </c>
      <c r="J83" s="331">
        <v>0</v>
      </c>
      <c r="K83" s="331">
        <v>0</v>
      </c>
      <c r="L83" s="331">
        <v>0</v>
      </c>
      <c r="M83" s="273">
        <v>0</v>
      </c>
      <c r="N83" s="273">
        <v>14837.82</v>
      </c>
      <c r="O83" s="273">
        <v>0</v>
      </c>
      <c r="P83" s="331">
        <v>0</v>
      </c>
      <c r="Q83" s="331">
        <v>0</v>
      </c>
      <c r="R83" s="333">
        <v>0</v>
      </c>
      <c r="S83" s="331">
        <v>0</v>
      </c>
      <c r="T83" s="273">
        <v>0</v>
      </c>
      <c r="U83" s="331">
        <v>8566</v>
      </c>
      <c r="V83" s="331">
        <v>0</v>
      </c>
      <c r="W83" s="273">
        <v>125</v>
      </c>
      <c r="X83" s="331">
        <v>204.95</v>
      </c>
      <c r="Y83" s="331">
        <v>173.58</v>
      </c>
      <c r="Z83" s="331">
        <v>0</v>
      </c>
      <c r="AA83" s="331">
        <v>0</v>
      </c>
      <c r="AB83" s="331">
        <v>2375</v>
      </c>
      <c r="AC83" s="331">
        <v>496.82</v>
      </c>
      <c r="AD83" s="331">
        <v>0</v>
      </c>
      <c r="AE83" s="331">
        <v>1457.4</v>
      </c>
      <c r="AF83" s="331">
        <v>0</v>
      </c>
      <c r="AG83" s="331">
        <v>1231.4000000000001</v>
      </c>
      <c r="AH83" s="331">
        <v>0</v>
      </c>
      <c r="AI83" s="331">
        <v>0</v>
      </c>
      <c r="AJ83" s="331">
        <v>0</v>
      </c>
      <c r="AK83" s="331">
        <v>0</v>
      </c>
      <c r="AL83" s="331">
        <v>0</v>
      </c>
      <c r="AM83" s="331">
        <v>0</v>
      </c>
      <c r="AN83" s="331">
        <v>0</v>
      </c>
      <c r="AO83" s="273">
        <v>0</v>
      </c>
      <c r="AP83" s="331">
        <v>0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0</v>
      </c>
      <c r="AW83" s="331">
        <v>0</v>
      </c>
      <c r="AX83" s="331">
        <v>8125.22</v>
      </c>
      <c r="AY83" s="331">
        <v>0</v>
      </c>
      <c r="AZ83" s="331">
        <v>0</v>
      </c>
      <c r="BA83" s="331">
        <v>0</v>
      </c>
      <c r="BB83" s="331">
        <v>0</v>
      </c>
      <c r="BC83" s="331">
        <v>0</v>
      </c>
      <c r="BD83" s="331">
        <v>0</v>
      </c>
      <c r="BE83" s="331">
        <v>123.67</v>
      </c>
      <c r="BF83" s="331">
        <v>0</v>
      </c>
      <c r="BG83" s="331">
        <v>0</v>
      </c>
      <c r="BH83" s="333">
        <v>0</v>
      </c>
      <c r="BI83" s="331">
        <v>675</v>
      </c>
      <c r="BJ83" s="331">
        <v>1864.32</v>
      </c>
      <c r="BK83" s="331">
        <v>106.87</v>
      </c>
      <c r="BL83" s="331">
        <v>123.82</v>
      </c>
      <c r="BM83" s="331">
        <v>0</v>
      </c>
      <c r="BN83" s="331">
        <v>88750.65</v>
      </c>
      <c r="BO83" s="331">
        <v>-1096.1199999999999</v>
      </c>
      <c r="BP83" s="331">
        <v>1370.32</v>
      </c>
      <c r="BQ83" s="331">
        <v>0</v>
      </c>
      <c r="BR83" s="331">
        <v>1450.33</v>
      </c>
      <c r="BS83" s="331">
        <v>0</v>
      </c>
      <c r="BT83" s="331">
        <v>0</v>
      </c>
      <c r="BU83" s="331">
        <v>0</v>
      </c>
      <c r="BV83" s="331">
        <v>0</v>
      </c>
      <c r="BW83" s="331">
        <v>593.09</v>
      </c>
      <c r="BX83" s="331">
        <v>359.73</v>
      </c>
      <c r="BY83" s="331">
        <v>290.20999999999998</v>
      </c>
      <c r="BZ83" s="331">
        <v>0</v>
      </c>
      <c r="CA83" s="331">
        <v>20921</v>
      </c>
      <c r="CB83" s="331">
        <v>0</v>
      </c>
      <c r="CC83" s="331">
        <v>0</v>
      </c>
      <c r="CD83" s="282">
        <v>47265.1</v>
      </c>
      <c r="CE83" s="25">
        <v>214430.47</v>
      </c>
      <c r="CF83" s="329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  <c r="CF84" s="329">
        <v>0</v>
      </c>
    </row>
    <row r="85" spans="1:84" x14ac:dyDescent="0.25">
      <c r="A85" s="31" t="s">
        <v>284</v>
      </c>
      <c r="B85" s="25"/>
      <c r="C85" s="25">
        <v>3167.05</v>
      </c>
      <c r="D85" s="25">
        <v>1266409.3</v>
      </c>
      <c r="E85" s="25">
        <v>4026161.07</v>
      </c>
      <c r="F85" s="25">
        <v>0</v>
      </c>
      <c r="G85" s="25">
        <v>-1079</v>
      </c>
      <c r="H85" s="25">
        <v>512650.72000000003</v>
      </c>
      <c r="I85" s="25">
        <v>4527375.8999999994</v>
      </c>
      <c r="J85" s="25">
        <v>0</v>
      </c>
      <c r="K85" s="25">
        <v>0</v>
      </c>
      <c r="L85" s="25">
        <v>0</v>
      </c>
      <c r="M85" s="25">
        <v>0</v>
      </c>
      <c r="N85" s="25">
        <v>2198702.91</v>
      </c>
      <c r="O85" s="25">
        <v>0</v>
      </c>
      <c r="P85" s="25">
        <v>4742294.0000000009</v>
      </c>
      <c r="Q85" s="25">
        <v>590573.25</v>
      </c>
      <c r="R85" s="25">
        <v>537493.46</v>
      </c>
      <c r="S85" s="25">
        <v>367785.88</v>
      </c>
      <c r="T85" s="25">
        <v>0</v>
      </c>
      <c r="U85" s="25">
        <v>3618497.5300000003</v>
      </c>
      <c r="V85" s="25">
        <v>0</v>
      </c>
      <c r="W85" s="25">
        <v>786788.99</v>
      </c>
      <c r="X85" s="25">
        <v>1263130.77</v>
      </c>
      <c r="Y85" s="25">
        <v>1623400.02</v>
      </c>
      <c r="Z85" s="25">
        <v>0</v>
      </c>
      <c r="AA85" s="25">
        <v>0</v>
      </c>
      <c r="AB85" s="25">
        <v>1998026.27</v>
      </c>
      <c r="AC85" s="25">
        <v>765037.27999999991</v>
      </c>
      <c r="AD85" s="25">
        <v>0</v>
      </c>
      <c r="AE85" s="25">
        <v>824860.6</v>
      </c>
      <c r="AF85" s="25">
        <v>0</v>
      </c>
      <c r="AG85" s="25">
        <v>5354674.79</v>
      </c>
      <c r="AH85" s="25">
        <v>0</v>
      </c>
      <c r="AI85" s="25">
        <v>0</v>
      </c>
      <c r="AJ85" s="25">
        <v>943692.13</v>
      </c>
      <c r="AK85" s="25">
        <v>266908.84000000003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87746</v>
      </c>
      <c r="AW85" s="25">
        <v>0</v>
      </c>
      <c r="AX85" s="25">
        <v>59470.080000000002</v>
      </c>
      <c r="AY85" s="25">
        <v>0</v>
      </c>
      <c r="AZ85" s="25">
        <v>1576837.39</v>
      </c>
      <c r="BA85" s="25">
        <v>308532.69</v>
      </c>
      <c r="BB85" s="25">
        <v>0</v>
      </c>
      <c r="BC85" s="25">
        <v>0</v>
      </c>
      <c r="BD85" s="25">
        <v>51132.35</v>
      </c>
      <c r="BE85" s="25">
        <v>2357387.7400000002</v>
      </c>
      <c r="BF85" s="25">
        <v>1371597.58</v>
      </c>
      <c r="BG85" s="25">
        <v>27355.83</v>
      </c>
      <c r="BH85" s="25">
        <v>2551908.9099999997</v>
      </c>
      <c r="BI85" s="25">
        <v>145829.83000000002</v>
      </c>
      <c r="BJ85" s="25">
        <v>89973.360000000015</v>
      </c>
      <c r="BK85" s="25">
        <v>2989351.12</v>
      </c>
      <c r="BL85" s="25">
        <v>14301.87</v>
      </c>
      <c r="BM85" s="25">
        <v>0</v>
      </c>
      <c r="BN85" s="25">
        <v>2506463.5799999996</v>
      </c>
      <c r="BO85" s="25">
        <v>96799.400000000009</v>
      </c>
      <c r="BP85" s="25">
        <v>219786.69999999998</v>
      </c>
      <c r="BQ85" s="25">
        <v>0</v>
      </c>
      <c r="BR85" s="25">
        <v>789441.56</v>
      </c>
      <c r="BS85" s="25">
        <v>0</v>
      </c>
      <c r="BT85" s="25">
        <v>0</v>
      </c>
      <c r="BU85" s="25">
        <v>0</v>
      </c>
      <c r="BV85" s="25">
        <v>7925.0400000000009</v>
      </c>
      <c r="BW85" s="25">
        <v>740670.44999999984</v>
      </c>
      <c r="BX85" s="25">
        <v>594628.25</v>
      </c>
      <c r="BY85" s="25">
        <v>1023614.9199999999</v>
      </c>
      <c r="BZ85" s="25">
        <v>0</v>
      </c>
      <c r="CA85" s="25">
        <v>32555.4</v>
      </c>
      <c r="CB85" s="25">
        <v>0</v>
      </c>
      <c r="CC85" s="25">
        <v>3487498.66</v>
      </c>
      <c r="CD85" s="25">
        <v>1071130.22</v>
      </c>
      <c r="CE85" s="25">
        <v>58418490.689999998</v>
      </c>
      <c r="CF85" s="329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9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9">
        <v>0</v>
      </c>
    </row>
    <row r="87" spans="1:84" x14ac:dyDescent="0.25">
      <c r="A87" s="21" t="s">
        <v>286</v>
      </c>
      <c r="B87" s="16"/>
      <c r="C87" s="273">
        <v>0</v>
      </c>
      <c r="D87" s="273">
        <v>1624631.86</v>
      </c>
      <c r="E87" s="273">
        <v>7818194.1699999999</v>
      </c>
      <c r="F87" s="273">
        <v>0</v>
      </c>
      <c r="G87" s="273">
        <v>0</v>
      </c>
      <c r="H87" s="273">
        <v>0</v>
      </c>
      <c r="I87" s="273">
        <v>6307798.6900000004</v>
      </c>
      <c r="J87" s="273">
        <v>0</v>
      </c>
      <c r="K87" s="273">
        <v>0</v>
      </c>
      <c r="L87" s="273">
        <v>0</v>
      </c>
      <c r="M87" s="273">
        <v>0</v>
      </c>
      <c r="N87" s="273">
        <v>997479</v>
      </c>
      <c r="O87" s="273">
        <v>0</v>
      </c>
      <c r="P87" s="273">
        <v>5011357.43</v>
      </c>
      <c r="Q87" s="273">
        <v>345651</v>
      </c>
      <c r="R87" s="273">
        <v>595092</v>
      </c>
      <c r="S87" s="273">
        <v>0</v>
      </c>
      <c r="T87" s="273">
        <v>0</v>
      </c>
      <c r="U87" s="273">
        <v>3378912.12</v>
      </c>
      <c r="V87" s="273">
        <v>74514.509999999995</v>
      </c>
      <c r="W87" s="273">
        <v>660619.5</v>
      </c>
      <c r="X87" s="273">
        <v>4236747.42</v>
      </c>
      <c r="Y87" s="273">
        <v>1116344.18</v>
      </c>
      <c r="Z87" s="273">
        <v>0</v>
      </c>
      <c r="AA87" s="273">
        <v>0</v>
      </c>
      <c r="AB87" s="273">
        <v>5500365.9699999997</v>
      </c>
      <c r="AC87" s="273">
        <v>609982</v>
      </c>
      <c r="AD87" s="273">
        <v>0</v>
      </c>
      <c r="AE87" s="273">
        <v>500506</v>
      </c>
      <c r="AF87" s="273">
        <v>0</v>
      </c>
      <c r="AG87" s="273">
        <v>4740385.88</v>
      </c>
      <c r="AH87" s="273">
        <v>0</v>
      </c>
      <c r="AI87" s="273">
        <v>0</v>
      </c>
      <c r="AJ87" s="273">
        <v>9005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247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43527833.730000004</v>
      </c>
      <c r="CF87" s="329">
        <v>0</v>
      </c>
    </row>
    <row r="88" spans="1:84" x14ac:dyDescent="0.25">
      <c r="A88" s="21" t="s">
        <v>287</v>
      </c>
      <c r="B88" s="16"/>
      <c r="C88" s="273">
        <v>38.46</v>
      </c>
      <c r="D88" s="273">
        <v>75055</v>
      </c>
      <c r="E88" s="273">
        <v>1500389.74</v>
      </c>
      <c r="F88" s="273">
        <v>0</v>
      </c>
      <c r="G88" s="273">
        <v>0</v>
      </c>
      <c r="H88" s="273">
        <v>0</v>
      </c>
      <c r="I88" s="273">
        <v>638382</v>
      </c>
      <c r="J88" s="273">
        <v>0</v>
      </c>
      <c r="K88" s="273">
        <v>0</v>
      </c>
      <c r="L88" s="273">
        <v>0</v>
      </c>
      <c r="M88" s="273">
        <v>0</v>
      </c>
      <c r="N88" s="273">
        <v>429181</v>
      </c>
      <c r="O88" s="273">
        <v>0</v>
      </c>
      <c r="P88" s="273">
        <v>21270400.369999997</v>
      </c>
      <c r="Q88" s="273">
        <v>3926259.14</v>
      </c>
      <c r="R88" s="273">
        <v>2152468.67</v>
      </c>
      <c r="S88" s="273">
        <v>0</v>
      </c>
      <c r="T88" s="273">
        <v>0</v>
      </c>
      <c r="U88" s="273">
        <v>13756368.380000001</v>
      </c>
      <c r="V88" s="273">
        <v>237998</v>
      </c>
      <c r="W88" s="273">
        <v>8315975</v>
      </c>
      <c r="X88" s="273">
        <v>32181447</v>
      </c>
      <c r="Y88" s="273">
        <v>11063958.25</v>
      </c>
      <c r="Z88" s="273">
        <v>270</v>
      </c>
      <c r="AA88" s="273">
        <v>0</v>
      </c>
      <c r="AB88" s="273">
        <v>6283042.2199999997</v>
      </c>
      <c r="AC88" s="273">
        <v>304058</v>
      </c>
      <c r="AD88" s="273">
        <v>0</v>
      </c>
      <c r="AE88" s="273">
        <v>2939797.67</v>
      </c>
      <c r="AF88" s="273">
        <v>0</v>
      </c>
      <c r="AG88" s="273">
        <v>45645097.5</v>
      </c>
      <c r="AH88" s="273">
        <v>0</v>
      </c>
      <c r="AI88" s="273">
        <v>0</v>
      </c>
      <c r="AJ88" s="273">
        <v>2304449.5499999998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8372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153033007.94999999</v>
      </c>
      <c r="CF88" s="329">
        <v>0</v>
      </c>
    </row>
    <row r="89" spans="1:84" x14ac:dyDescent="0.25">
      <c r="A89" s="21" t="s">
        <v>288</v>
      </c>
      <c r="B89" s="16"/>
      <c r="C89" s="25">
        <v>38.46</v>
      </c>
      <c r="D89" s="25">
        <v>1699686.86</v>
      </c>
      <c r="E89" s="25">
        <v>9318583.9100000001</v>
      </c>
      <c r="F89" s="25">
        <v>0</v>
      </c>
      <c r="G89" s="25">
        <v>0</v>
      </c>
      <c r="H89" s="25">
        <v>0</v>
      </c>
      <c r="I89" s="25">
        <v>6946180.6900000004</v>
      </c>
      <c r="J89" s="25">
        <v>0</v>
      </c>
      <c r="K89" s="25">
        <v>0</v>
      </c>
      <c r="L89" s="25">
        <v>0</v>
      </c>
      <c r="M89" s="25">
        <v>0</v>
      </c>
      <c r="N89" s="25">
        <v>1426660</v>
      </c>
      <c r="O89" s="25">
        <v>0</v>
      </c>
      <c r="P89" s="25">
        <v>26281757.799999997</v>
      </c>
      <c r="Q89" s="25">
        <v>4271910.1400000006</v>
      </c>
      <c r="R89" s="25">
        <v>2747560.67</v>
      </c>
      <c r="S89" s="25">
        <v>0</v>
      </c>
      <c r="T89" s="25">
        <v>0</v>
      </c>
      <c r="U89" s="25">
        <v>17135280.5</v>
      </c>
      <c r="V89" s="25">
        <v>312512.51</v>
      </c>
      <c r="W89" s="25">
        <v>8976594.5</v>
      </c>
      <c r="X89" s="25">
        <v>36418194.420000002</v>
      </c>
      <c r="Y89" s="25">
        <v>12180302.43</v>
      </c>
      <c r="Z89" s="25">
        <v>270</v>
      </c>
      <c r="AA89" s="25">
        <v>0</v>
      </c>
      <c r="AB89" s="25">
        <v>11783408.189999999</v>
      </c>
      <c r="AC89" s="25">
        <v>914040</v>
      </c>
      <c r="AD89" s="25">
        <v>0</v>
      </c>
      <c r="AE89" s="25">
        <v>3440303.67</v>
      </c>
      <c r="AF89" s="25">
        <v>0</v>
      </c>
      <c r="AG89" s="25">
        <v>50385483.380000003</v>
      </c>
      <c r="AH89" s="25">
        <v>0</v>
      </c>
      <c r="AI89" s="25">
        <v>0</v>
      </c>
      <c r="AJ89" s="25">
        <v>2313454.5499999998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247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8372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196560841.68000001</v>
      </c>
      <c r="CF89" s="329">
        <v>0</v>
      </c>
    </row>
    <row r="90" spans="1:84" x14ac:dyDescent="0.25">
      <c r="A90" s="31" t="s">
        <v>289</v>
      </c>
      <c r="B90" s="25"/>
      <c r="C90" s="273">
        <v>0</v>
      </c>
      <c r="D90" s="273">
        <v>2200</v>
      </c>
      <c r="E90" s="273">
        <v>9225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6449</v>
      </c>
      <c r="Q90" s="273">
        <v>4545</v>
      </c>
      <c r="R90" s="273">
        <v>182</v>
      </c>
      <c r="S90" s="273">
        <v>0</v>
      </c>
      <c r="T90" s="273">
        <v>0</v>
      </c>
      <c r="U90" s="273">
        <v>1280</v>
      </c>
      <c r="V90" s="273">
        <v>0</v>
      </c>
      <c r="W90" s="273">
        <v>480</v>
      </c>
      <c r="X90" s="273">
        <v>405</v>
      </c>
      <c r="Y90" s="273">
        <v>3578</v>
      </c>
      <c r="Z90" s="273">
        <v>0</v>
      </c>
      <c r="AA90" s="273">
        <v>0</v>
      </c>
      <c r="AB90" s="273">
        <v>811</v>
      </c>
      <c r="AC90" s="273">
        <v>765</v>
      </c>
      <c r="AD90" s="273">
        <v>0</v>
      </c>
      <c r="AE90" s="273">
        <v>260</v>
      </c>
      <c r="AF90" s="273">
        <v>0</v>
      </c>
      <c r="AG90" s="273">
        <v>7800</v>
      </c>
      <c r="AH90" s="273">
        <v>0</v>
      </c>
      <c r="AI90" s="273">
        <v>0</v>
      </c>
      <c r="AJ90" s="273">
        <v>3875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6045</v>
      </c>
      <c r="AW90" s="273">
        <v>0</v>
      </c>
      <c r="AX90" s="273">
        <v>0</v>
      </c>
      <c r="AY90" s="273">
        <v>0</v>
      </c>
      <c r="AZ90" s="273">
        <v>4436</v>
      </c>
      <c r="BA90" s="273">
        <v>413</v>
      </c>
      <c r="BB90" s="273">
        <v>0</v>
      </c>
      <c r="BC90" s="273">
        <v>0</v>
      </c>
      <c r="BD90" s="273">
        <v>3220</v>
      </c>
      <c r="BE90" s="273">
        <v>10476</v>
      </c>
      <c r="BF90" s="273">
        <v>385</v>
      </c>
      <c r="BG90" s="273">
        <v>0</v>
      </c>
      <c r="BH90" s="273">
        <v>1710</v>
      </c>
      <c r="BI90" s="273">
        <v>0</v>
      </c>
      <c r="BJ90" s="273">
        <v>0</v>
      </c>
      <c r="BK90" s="273">
        <v>1200</v>
      </c>
      <c r="BL90" s="273">
        <v>420</v>
      </c>
      <c r="BM90" s="273">
        <v>0</v>
      </c>
      <c r="BN90" s="273">
        <v>8323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2727</v>
      </c>
      <c r="BW90" s="273">
        <v>0</v>
      </c>
      <c r="BX90" s="273">
        <v>0</v>
      </c>
      <c r="BY90" s="273">
        <v>747</v>
      </c>
      <c r="BZ90" s="273">
        <v>0</v>
      </c>
      <c r="CA90" s="273">
        <v>0</v>
      </c>
      <c r="CB90" s="273">
        <v>0</v>
      </c>
      <c r="CC90" s="273">
        <v>1695</v>
      </c>
      <c r="CD90" s="224" t="s">
        <v>247</v>
      </c>
      <c r="CE90" s="25">
        <v>83652</v>
      </c>
      <c r="CF90" s="25">
        <v>-15</v>
      </c>
    </row>
    <row r="91" spans="1:84" x14ac:dyDescent="0.25">
      <c r="A91" s="21" t="s">
        <v>290</v>
      </c>
      <c r="B91" s="16"/>
      <c r="C91" s="273">
        <v>0</v>
      </c>
      <c r="D91" s="273">
        <v>1084</v>
      </c>
      <c r="E91" s="273">
        <v>13666</v>
      </c>
      <c r="F91" s="273">
        <v>0</v>
      </c>
      <c r="G91" s="273">
        <v>0</v>
      </c>
      <c r="H91" s="273">
        <v>0</v>
      </c>
      <c r="I91" s="273">
        <v>15807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1023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31580</v>
      </c>
      <c r="CF91" s="25">
        <v>-31580</v>
      </c>
    </row>
    <row r="92" spans="1:84" x14ac:dyDescent="0.25">
      <c r="A92" s="21" t="s">
        <v>291</v>
      </c>
      <c r="B92" s="16"/>
      <c r="C92" s="273">
        <v>0</v>
      </c>
      <c r="D92" s="273">
        <v>1001.6576061237046</v>
      </c>
      <c r="E92" s="273">
        <v>4201.9022703610817</v>
      </c>
      <c r="F92" s="273">
        <v>0</v>
      </c>
      <c r="G92" s="273">
        <v>0</v>
      </c>
      <c r="H92" s="273">
        <v>0</v>
      </c>
      <c r="I92" s="273">
        <v>7100.9381359140607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2468.9634600823438</v>
      </c>
      <c r="Q92" s="273">
        <v>273.53869906772036</v>
      </c>
      <c r="R92" s="273">
        <v>83.010298850030779</v>
      </c>
      <c r="S92" s="273">
        <v>0</v>
      </c>
      <c r="T92" s="273">
        <v>0</v>
      </c>
      <c r="U92" s="273">
        <v>583.4438147745019</v>
      </c>
      <c r="V92" s="273">
        <v>0</v>
      </c>
      <c r="W92" s="273">
        <v>218.19849983436657</v>
      </c>
      <c r="X92" s="273">
        <v>183.41323174482991</v>
      </c>
      <c r="Y92" s="273">
        <v>1159.7724610761441</v>
      </c>
      <c r="Z92" s="273">
        <v>0</v>
      </c>
      <c r="AA92" s="273">
        <v>194.48127159150064</v>
      </c>
      <c r="AB92" s="273">
        <v>369.19818631394639</v>
      </c>
      <c r="AC92" s="273">
        <v>347.85268089536703</v>
      </c>
      <c r="AD92" s="273">
        <v>0</v>
      </c>
      <c r="AE92" s="273">
        <v>117.79556693956748</v>
      </c>
      <c r="AF92" s="273">
        <v>0</v>
      </c>
      <c r="AG92" s="273">
        <v>3552.8407907813171</v>
      </c>
      <c r="AH92" s="273">
        <v>0</v>
      </c>
      <c r="AI92" s="273">
        <v>273.53869906772036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11280.704326581801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33411.250000000007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6541.19</v>
      </c>
      <c r="E93" s="273">
        <v>81239.92</v>
      </c>
      <c r="F93" s="273">
        <v>0</v>
      </c>
      <c r="G93" s="273">
        <v>0</v>
      </c>
      <c r="H93" s="273">
        <v>0</v>
      </c>
      <c r="I93" s="273">
        <v>7395.66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50043.32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42374.91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187595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5.9575480769230769</v>
      </c>
      <c r="E94" s="277">
        <v>15.316889423076924</v>
      </c>
      <c r="F94" s="277">
        <v>0</v>
      </c>
      <c r="G94" s="277">
        <v>0</v>
      </c>
      <c r="H94" s="277">
        <v>0.11538461538461539</v>
      </c>
      <c r="I94" s="277">
        <v>9.4870480769230774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4">
        <v>5.1114182692307688</v>
      </c>
      <c r="Q94" s="334">
        <v>2.8395865384615386</v>
      </c>
      <c r="R94" s="334">
        <v>0</v>
      </c>
      <c r="S94" s="278">
        <v>0</v>
      </c>
      <c r="T94" s="278">
        <v>0</v>
      </c>
      <c r="U94" s="335">
        <v>-1.6264423076923076E-2</v>
      </c>
      <c r="V94" s="334">
        <v>0</v>
      </c>
      <c r="W94" s="334">
        <v>0</v>
      </c>
      <c r="X94" s="334">
        <v>0</v>
      </c>
      <c r="Y94" s="334">
        <v>0</v>
      </c>
      <c r="Z94" s="334">
        <v>0</v>
      </c>
      <c r="AA94" s="334">
        <v>0</v>
      </c>
      <c r="AB94" s="278">
        <v>0</v>
      </c>
      <c r="AC94" s="334">
        <v>1.7307692307692309E-2</v>
      </c>
      <c r="AD94" s="334">
        <v>0</v>
      </c>
      <c r="AE94" s="334">
        <v>0</v>
      </c>
      <c r="AF94" s="334">
        <v>0</v>
      </c>
      <c r="AG94" s="334">
        <v>20.312096153846156</v>
      </c>
      <c r="AH94" s="334">
        <v>0</v>
      </c>
      <c r="AI94" s="334">
        <v>0</v>
      </c>
      <c r="AJ94" s="334">
        <v>3.7230240384615385</v>
      </c>
      <c r="AK94" s="334">
        <v>0</v>
      </c>
      <c r="AL94" s="334">
        <v>0</v>
      </c>
      <c r="AM94" s="334">
        <v>0</v>
      </c>
      <c r="AN94" s="334">
        <v>0</v>
      </c>
      <c r="AO94" s="334">
        <v>0</v>
      </c>
      <c r="AP94" s="334">
        <v>0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278">
        <v>6.14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69.004038461538457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98272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/>
      <c r="E104" s="285"/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/>
      <c r="E105" s="285"/>
      <c r="F105" s="12"/>
    </row>
    <row r="106" spans="1:6" x14ac:dyDescent="0.25">
      <c r="A106" s="25" t="s">
        <v>314</v>
      </c>
      <c r="B106" s="32" t="s">
        <v>299</v>
      </c>
      <c r="C106" s="287" t="s">
        <v>1062</v>
      </c>
      <c r="D106" s="284"/>
      <c r="E106" s="285"/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/>
      <c r="E107" s="285"/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/>
      <c r="E108" s="285"/>
      <c r="F108" s="12"/>
    </row>
    <row r="109" spans="1:6" x14ac:dyDescent="0.25">
      <c r="A109" s="33" t="s">
        <v>319</v>
      </c>
      <c r="B109" s="32" t="s">
        <v>299</v>
      </c>
      <c r="C109" s="287" t="s">
        <v>1063</v>
      </c>
      <c r="D109" s="284"/>
      <c r="E109" s="285"/>
      <c r="F109" s="12"/>
    </row>
    <row r="110" spans="1:6" x14ac:dyDescent="0.25">
      <c r="A110" s="33" t="s">
        <v>320</v>
      </c>
      <c r="B110" s="32" t="s">
        <v>299</v>
      </c>
      <c r="C110" s="340" t="s">
        <v>1064</v>
      </c>
      <c r="D110" s="284"/>
      <c r="E110" s="285"/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0</v>
      </c>
      <c r="D127" s="295">
        <v>0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4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4">
        <v>26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36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62</v>
      </c>
    </row>
    <row r="144" spans="1:5" x14ac:dyDescent="0.25">
      <c r="A144" s="16" t="s">
        <v>348</v>
      </c>
      <c r="B144" s="35" t="s">
        <v>299</v>
      </c>
      <c r="C144" s="292">
        <v>112</v>
      </c>
      <c r="D144" s="16"/>
      <c r="E144" s="16"/>
    </row>
    <row r="145" spans="1:5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5" x14ac:dyDescent="0.25">
      <c r="A146" s="16"/>
      <c r="B146" s="16"/>
      <c r="C146" s="22"/>
      <c r="D146" s="16"/>
      <c r="E146" s="16"/>
    </row>
    <row r="147" spans="1:5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5" x14ac:dyDescent="0.25">
      <c r="A148" s="16"/>
      <c r="B148" s="16"/>
      <c r="C148" s="22"/>
      <c r="D148" s="16"/>
      <c r="E148" s="16"/>
    </row>
    <row r="149" spans="1:5" x14ac:dyDescent="0.25">
      <c r="A149" s="16"/>
      <c r="B149" s="16"/>
      <c r="C149" s="22"/>
      <c r="D149" s="16"/>
      <c r="E149" s="16"/>
    </row>
    <row r="150" spans="1:5" x14ac:dyDescent="0.25">
      <c r="A150" s="16"/>
      <c r="B150" s="16"/>
      <c r="C150" s="22"/>
      <c r="D150" s="16"/>
      <c r="E150" s="16"/>
    </row>
    <row r="151" spans="1:5" x14ac:dyDescent="0.25">
      <c r="A151" s="16"/>
      <c r="B151" s="16"/>
      <c r="C151" s="22"/>
      <c r="D151" s="16"/>
      <c r="E151" s="16"/>
    </row>
    <row r="152" spans="1:5" x14ac:dyDescent="0.25">
      <c r="A152" s="30" t="s">
        <v>351</v>
      </c>
      <c r="B152" s="37"/>
      <c r="C152" s="37"/>
      <c r="D152" s="37"/>
      <c r="E152" s="37"/>
    </row>
    <row r="153" spans="1:5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5" x14ac:dyDescent="0.25">
      <c r="A154" s="16" t="s">
        <v>332</v>
      </c>
      <c r="B154" s="272">
        <v>380</v>
      </c>
      <c r="C154" s="272">
        <v>327</v>
      </c>
      <c r="D154" s="272">
        <v>284</v>
      </c>
      <c r="E154" s="25">
        <v>991</v>
      </c>
    </row>
    <row r="155" spans="1:5" x14ac:dyDescent="0.25">
      <c r="A155" s="16" t="s">
        <v>241</v>
      </c>
      <c r="B155" s="272">
        <v>1705.2338344489056</v>
      </c>
      <c r="C155" s="272">
        <v>1238.6309221303695</v>
      </c>
      <c r="D155" s="272">
        <v>1107.1352434207245</v>
      </c>
      <c r="E155" s="25">
        <v>4051</v>
      </c>
    </row>
    <row r="156" spans="1:5" x14ac:dyDescent="0.25">
      <c r="A156" s="16" t="s">
        <v>355</v>
      </c>
      <c r="B156" s="272">
        <v>0</v>
      </c>
      <c r="C156" s="272">
        <v>0</v>
      </c>
      <c r="D156" s="272">
        <v>0</v>
      </c>
      <c r="E156" s="25">
        <v>0</v>
      </c>
    </row>
    <row r="157" spans="1:5" x14ac:dyDescent="0.25">
      <c r="A157" s="16" t="s">
        <v>286</v>
      </c>
      <c r="B157" s="272">
        <v>22383180.82</v>
      </c>
      <c r="C157" s="272">
        <v>5886079.9000000004</v>
      </c>
      <c r="D157" s="272">
        <v>8950773.5500000007</v>
      </c>
      <c r="E157" s="25">
        <v>37220034.269999996</v>
      </c>
    </row>
    <row r="158" spans="1:5" x14ac:dyDescent="0.25">
      <c r="A158" s="16" t="s">
        <v>287</v>
      </c>
      <c r="B158" s="272">
        <v>48868455.399999999</v>
      </c>
      <c r="C158" s="272">
        <v>33486565.550000001</v>
      </c>
      <c r="D158" s="272">
        <v>70039604.799999997</v>
      </c>
      <c r="E158" s="25">
        <v>152394625.75</v>
      </c>
    </row>
    <row r="159" spans="1:5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5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72">
        <v>218</v>
      </c>
      <c r="C166" s="272">
        <v>253</v>
      </c>
      <c r="D166" s="272">
        <v>225</v>
      </c>
      <c r="E166" s="25">
        <v>696</v>
      </c>
    </row>
    <row r="167" spans="1:5" x14ac:dyDescent="0.25">
      <c r="A167" s="16" t="s">
        <v>241</v>
      </c>
      <c r="B167" s="272">
        <v>1827.9317177760176</v>
      </c>
      <c r="C167" s="272">
        <v>2414.515302706252</v>
      </c>
      <c r="D167" s="272">
        <v>1537.5529795177304</v>
      </c>
      <c r="E167" s="25">
        <v>5780</v>
      </c>
    </row>
    <row r="168" spans="1:5" x14ac:dyDescent="0.25">
      <c r="A168" s="16" t="s">
        <v>355</v>
      </c>
      <c r="B168" s="272">
        <v>0</v>
      </c>
      <c r="C168" s="272">
        <v>0</v>
      </c>
      <c r="D168" s="272">
        <v>0</v>
      </c>
      <c r="E168" s="25">
        <v>0</v>
      </c>
    </row>
    <row r="169" spans="1:5" x14ac:dyDescent="0.25">
      <c r="A169" s="16" t="s">
        <v>286</v>
      </c>
      <c r="B169" s="272">
        <v>693707.95541578182</v>
      </c>
      <c r="C169" s="272">
        <v>3884894.5567922452</v>
      </c>
      <c r="D169" s="272">
        <v>1729195.2696960024</v>
      </c>
      <c r="E169" s="25">
        <v>6307797.7819040287</v>
      </c>
    </row>
    <row r="170" spans="1:5" x14ac:dyDescent="0.25">
      <c r="A170" s="16" t="s">
        <v>287</v>
      </c>
      <c r="B170" s="272">
        <v>70206.849292179555</v>
      </c>
      <c r="C170" s="272">
        <v>393171.51336580579</v>
      </c>
      <c r="D170" s="272">
        <v>175003.54543798437</v>
      </c>
      <c r="E170" s="25">
        <v>638381.9080959697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540576.23</v>
      </c>
      <c r="C173" s="295">
        <v>2026240.8200000003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1460886.54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82000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172486.58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0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596691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521432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2833496.12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202638.42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212764.79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415403.21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481602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481602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47312.51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555131.37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602443.88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1878609.67</v>
      </c>
      <c r="C211" s="292">
        <v>0</v>
      </c>
      <c r="D211" s="295">
        <v>0</v>
      </c>
      <c r="E211" s="25">
        <v>1878609.67</v>
      </c>
    </row>
    <row r="212" spans="1:5" x14ac:dyDescent="0.25">
      <c r="A212" s="16" t="s">
        <v>390</v>
      </c>
      <c r="B212" s="295">
        <v>1233751.07</v>
      </c>
      <c r="C212" s="292">
        <v>0</v>
      </c>
      <c r="D212" s="295">
        <v>0</v>
      </c>
      <c r="E212" s="25">
        <v>1233751.07</v>
      </c>
    </row>
    <row r="213" spans="1:5" x14ac:dyDescent="0.25">
      <c r="A213" s="16" t="s">
        <v>391</v>
      </c>
      <c r="B213" s="295">
        <v>27296057.739999998</v>
      </c>
      <c r="C213" s="292">
        <v>10475.790000000001</v>
      </c>
      <c r="D213" s="295">
        <v>0</v>
      </c>
      <c r="E213" s="25">
        <v>27306533.529999997</v>
      </c>
    </row>
    <row r="214" spans="1:5" x14ac:dyDescent="0.25">
      <c r="A214" s="16" t="s">
        <v>393</v>
      </c>
      <c r="B214" s="295">
        <v>2731402.69</v>
      </c>
      <c r="C214" s="292">
        <v>0</v>
      </c>
      <c r="D214" s="295">
        <v>0</v>
      </c>
      <c r="E214" s="25">
        <v>2731402.69</v>
      </c>
    </row>
    <row r="215" spans="1:5" x14ac:dyDescent="0.25">
      <c r="A215" s="16" t="s">
        <v>394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395</v>
      </c>
      <c r="B216" s="295">
        <v>19683568</v>
      </c>
      <c r="C216" s="294">
        <v>1631857</v>
      </c>
      <c r="D216" s="295">
        <v>5186.8999999999996</v>
      </c>
      <c r="E216" s="25">
        <v>21310238.100000001</v>
      </c>
    </row>
    <row r="217" spans="1:5" x14ac:dyDescent="0.25">
      <c r="A217" s="16" t="s">
        <v>396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5">
        <v>3109130.11</v>
      </c>
      <c r="C218" s="292">
        <v>0</v>
      </c>
      <c r="D218" s="295">
        <v>0</v>
      </c>
      <c r="E218" s="25">
        <v>3109130.11</v>
      </c>
    </row>
    <row r="219" spans="1:5" x14ac:dyDescent="0.25">
      <c r="A219" s="16" t="s">
        <v>398</v>
      </c>
      <c r="B219" s="295">
        <v>1199418</v>
      </c>
      <c r="C219" s="294">
        <v>847622</v>
      </c>
      <c r="D219" s="295">
        <v>393801.52</v>
      </c>
      <c r="E219" s="25">
        <v>1653238.48</v>
      </c>
    </row>
    <row r="220" spans="1:5" x14ac:dyDescent="0.25">
      <c r="A220" s="16" t="s">
        <v>229</v>
      </c>
      <c r="B220" s="25">
        <v>57131937.280000001</v>
      </c>
      <c r="C220" s="225">
        <v>2489954.79</v>
      </c>
      <c r="D220" s="25">
        <v>398988.42000000004</v>
      </c>
      <c r="E220" s="25">
        <v>59222903.649999999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5">
        <v>-1063555.6200000001</v>
      </c>
      <c r="C225" s="292">
        <v>-62597.18</v>
      </c>
      <c r="D225" s="295">
        <v>0</v>
      </c>
      <c r="E225" s="25">
        <v>-1126152.8</v>
      </c>
    </row>
    <row r="226" spans="1:5" x14ac:dyDescent="0.25">
      <c r="A226" s="16" t="s">
        <v>391</v>
      </c>
      <c r="B226" s="295">
        <v>-21584937.789999999</v>
      </c>
      <c r="C226" s="292">
        <v>-1020581.88</v>
      </c>
      <c r="D226" s="295">
        <v>0</v>
      </c>
      <c r="E226" s="25">
        <v>-22605519.669999998</v>
      </c>
    </row>
    <row r="227" spans="1:5" x14ac:dyDescent="0.25">
      <c r="A227" s="16" t="s">
        <v>393</v>
      </c>
      <c r="B227" s="295">
        <v>-2545517.2799999998</v>
      </c>
      <c r="C227" s="292">
        <v>-28363.54</v>
      </c>
      <c r="D227" s="295">
        <v>0</v>
      </c>
      <c r="E227" s="25">
        <v>-2573880.8199999998</v>
      </c>
    </row>
    <row r="228" spans="1:5" x14ac:dyDescent="0.25">
      <c r="A228" s="16" t="s">
        <v>394</v>
      </c>
      <c r="B228" s="295">
        <v>0</v>
      </c>
      <c r="C228" s="292">
        <v>0</v>
      </c>
      <c r="D228" s="295">
        <v>0</v>
      </c>
      <c r="E228" s="25">
        <v>0</v>
      </c>
    </row>
    <row r="229" spans="1:5" x14ac:dyDescent="0.25">
      <c r="A229" s="16" t="s">
        <v>395</v>
      </c>
      <c r="B229" s="295">
        <v>-17396757.5</v>
      </c>
      <c r="C229" s="292">
        <v>-857818.35</v>
      </c>
      <c r="D229" s="295">
        <v>-5186.8999999999996</v>
      </c>
      <c r="E229" s="25">
        <v>-18249388.950000003</v>
      </c>
    </row>
    <row r="230" spans="1:5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397</v>
      </c>
      <c r="B231" s="295">
        <v>-2451284.0699999998</v>
      </c>
      <c r="C231" s="292">
        <v>-76236.3</v>
      </c>
      <c r="D231" s="295">
        <v>0</v>
      </c>
      <c r="E231" s="25">
        <v>-2527520.3699999996</v>
      </c>
    </row>
    <row r="232" spans="1:5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-45042052.259999998</v>
      </c>
      <c r="C233" s="225">
        <v>-2045597.2500000002</v>
      </c>
      <c r="D233" s="25">
        <v>-5186.8999999999996</v>
      </c>
      <c r="E233" s="25">
        <v>-47082462.609999999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400</v>
      </c>
      <c r="B235" s="30"/>
      <c r="C235" s="30"/>
      <c r="D235" s="30"/>
      <c r="E235" s="30"/>
    </row>
    <row r="236" spans="1:5" x14ac:dyDescent="0.25">
      <c r="A236" s="30"/>
      <c r="B236" s="345" t="s">
        <v>401</v>
      </c>
      <c r="C236" s="345"/>
      <c r="D236" s="30"/>
      <c r="E236" s="30"/>
    </row>
    <row r="237" spans="1:5" x14ac:dyDescent="0.25">
      <c r="A237" s="43" t="s">
        <v>401</v>
      </c>
      <c r="B237" s="30"/>
      <c r="C237" s="292">
        <v>8575538</v>
      </c>
      <c r="D237" s="32">
        <v>8575538</v>
      </c>
      <c r="E237" s="30"/>
    </row>
    <row r="238" spans="1:5" x14ac:dyDescent="0.25">
      <c r="A238" s="34" t="s">
        <v>402</v>
      </c>
      <c r="B238" s="34"/>
      <c r="C238" s="34"/>
      <c r="D238" s="34"/>
      <c r="E238" s="34"/>
    </row>
    <row r="239" spans="1:5" x14ac:dyDescent="0.25">
      <c r="A239" s="16" t="s">
        <v>403</v>
      </c>
      <c r="B239" s="35" t="s">
        <v>299</v>
      </c>
      <c r="C239" s="294">
        <v>49299249</v>
      </c>
      <c r="D239" s="16"/>
      <c r="E239" s="16"/>
    </row>
    <row r="240" spans="1:5" x14ac:dyDescent="0.25">
      <c r="A240" s="16" t="s">
        <v>404</v>
      </c>
      <c r="B240" s="35" t="s">
        <v>299</v>
      </c>
      <c r="C240" s="294">
        <v>38850455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4">
        <v>2857228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4">
        <v>2743094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4">
        <v>34651887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4">
        <v>-294620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128107293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449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309897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1089520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1399417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1560561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1560561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139642809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11513688.43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39559226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27450856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299873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525113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62662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911033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303283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25724022.43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214425.05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214425.05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1878609.67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1233751.07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38381515.140000001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24241737.359999999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1653238.27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67388851.510000005</v>
      </c>
      <c r="E291" s="16"/>
    </row>
    <row r="292" spans="1:5" x14ac:dyDescent="0.25">
      <c r="A292" s="16" t="s">
        <v>440</v>
      </c>
      <c r="B292" s="35" t="s">
        <v>299</v>
      </c>
      <c r="C292" s="292">
        <v>47082462.609999999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20306388.900000006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6388919.6100000003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6388919.6100000003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452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453</v>
      </c>
      <c r="B308" s="16"/>
      <c r="C308" s="22"/>
      <c r="D308" s="25">
        <v>52633755.99000001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454</v>
      </c>
      <c r="B312" s="30"/>
      <c r="C312" s="30"/>
      <c r="D312" s="30"/>
      <c r="E312" s="30"/>
    </row>
    <row r="313" spans="1:5" x14ac:dyDescent="0.25">
      <c r="A313" s="34" t="s">
        <v>455</v>
      </c>
      <c r="B313" s="34"/>
      <c r="C313" s="34"/>
      <c r="D313" s="34"/>
      <c r="E313" s="34"/>
    </row>
    <row r="314" spans="1:5" x14ac:dyDescent="0.25">
      <c r="A314" s="16" t="s">
        <v>456</v>
      </c>
      <c r="B314" s="35" t="s">
        <v>299</v>
      </c>
      <c r="C314" s="292">
        <v>1562997</v>
      </c>
      <c r="D314" s="16"/>
      <c r="E314" s="16"/>
    </row>
    <row r="315" spans="1:5" x14ac:dyDescent="0.25">
      <c r="A315" s="16" t="s">
        <v>457</v>
      </c>
      <c r="B315" s="35" t="s">
        <v>299</v>
      </c>
      <c r="C315" s="292">
        <v>2789380</v>
      </c>
      <c r="D315" s="16"/>
      <c r="E315" s="16"/>
    </row>
    <row r="316" spans="1:5" x14ac:dyDescent="0.25">
      <c r="A316" s="16" t="s">
        <v>458</v>
      </c>
      <c r="B316" s="35" t="s">
        <v>299</v>
      </c>
      <c r="C316" s="292">
        <v>3343963</v>
      </c>
      <c r="D316" s="16"/>
      <c r="E316" s="16"/>
    </row>
    <row r="317" spans="1:5" x14ac:dyDescent="0.25">
      <c r="A317" s="16" t="s">
        <v>459</v>
      </c>
      <c r="B317" s="35" t="s">
        <v>299</v>
      </c>
      <c r="C317" s="292">
        <v>931244</v>
      </c>
      <c r="D317" s="16"/>
      <c r="E317" s="16"/>
    </row>
    <row r="318" spans="1:5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461</v>
      </c>
      <c r="B319" s="35" t="s">
        <v>299</v>
      </c>
      <c r="C319" s="292">
        <v>582614</v>
      </c>
      <c r="D319" s="16"/>
      <c r="E319" s="16"/>
    </row>
    <row r="320" spans="1:5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589009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9799207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4">
        <v>6147346.3099999996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6147346.3099999996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4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24305515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24305515</v>
      </c>
      <c r="E339" s="16"/>
    </row>
    <row r="340" spans="1:5" x14ac:dyDescent="0.25">
      <c r="A340" s="16" t="s">
        <v>481</v>
      </c>
      <c r="B340" s="16"/>
      <c r="C340" s="22"/>
      <c r="D340" s="25">
        <v>0</v>
      </c>
      <c r="E340" s="16"/>
    </row>
    <row r="341" spans="1:5" x14ac:dyDescent="0.25">
      <c r="A341" s="16" t="s">
        <v>482</v>
      </c>
      <c r="B341" s="16"/>
      <c r="C341" s="22"/>
      <c r="D341" s="25">
        <v>24305515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18318370.229999993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-5936683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52633755.539999992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52633755.99000001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3">
        <v>43527834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3">
        <v>153033008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196560842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8575538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128107293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1399417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1560561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139642809</v>
      </c>
      <c r="E366" s="16"/>
    </row>
    <row r="367" spans="1:5" x14ac:dyDescent="0.25">
      <c r="A367" s="16" t="s">
        <v>500</v>
      </c>
      <c r="B367" s="16"/>
      <c r="C367" s="22"/>
      <c r="D367" s="25">
        <v>56918033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41272.75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110872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2975.95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905710.89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229031.22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470092.79999999999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1759955.61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1759955.61</v>
      </c>
      <c r="E383" s="16"/>
    </row>
    <row r="384" spans="1:6" x14ac:dyDescent="0.25">
      <c r="A384" s="16" t="s">
        <v>517</v>
      </c>
      <c r="B384" s="16"/>
      <c r="C384" s="22"/>
      <c r="D384" s="25">
        <v>58677988.609999999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26280199.999999996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6021280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2119538.5300000003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7639233.620000001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617381.91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11334416.050000001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2771587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415403.21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2">
        <v>481601.53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2">
        <v>602443.88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2">
        <v>0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167118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167118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58450203.729999989</v>
      </c>
      <c r="E416" s="25"/>
    </row>
    <row r="417" spans="1:13" x14ac:dyDescent="0.25">
      <c r="A417" s="25" t="s">
        <v>531</v>
      </c>
      <c r="B417" s="16"/>
      <c r="C417" s="22"/>
      <c r="D417" s="25">
        <v>227784.88000001013</v>
      </c>
      <c r="E417" s="25"/>
    </row>
    <row r="418" spans="1:13" x14ac:dyDescent="0.25">
      <c r="A418" s="25" t="s">
        <v>532</v>
      </c>
      <c r="B418" s="16"/>
      <c r="C418" s="294">
        <v>4458503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1306538.9500000002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5765041.9500000002</v>
      </c>
      <c r="E420" s="25"/>
    </row>
    <row r="421" spans="1:13" x14ac:dyDescent="0.25">
      <c r="A421" s="25" t="s">
        <v>535</v>
      </c>
      <c r="B421" s="16"/>
      <c r="C421" s="22"/>
      <c r="D421" s="25">
        <v>5992826.8300000103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5992826.8300000103</v>
      </c>
      <c r="E424" s="16"/>
    </row>
    <row r="426" spans="1:13" ht="29.1" customHeight="1" x14ac:dyDescent="0.25">
      <c r="A426" s="347" t="s">
        <v>539</v>
      </c>
      <c r="B426" s="347"/>
      <c r="C426" s="347"/>
      <c r="D426" s="347"/>
      <c r="E426" s="34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73176</v>
      </c>
      <c r="E612" s="219">
        <f>SUM(C624:D647)+SUM(C668:D713)</f>
        <v>51558568.738291249</v>
      </c>
      <c r="F612" s="219">
        <f>CE64-(AX64+BD64+BE64+BG64+BJ64+BN64+BP64+BQ64+CB64+CC64+CD64)</f>
        <v>7427532.3699999992</v>
      </c>
      <c r="G612" s="217">
        <f>CE91-(AX91+AY91+BD91+BE91+BG91+BJ91+BN91+BP91+BQ91+CB91+CC91+CD91)</f>
        <v>31580</v>
      </c>
      <c r="H612" s="222">
        <f>CE60-(AX60+AY60+AZ60+BD60+BE60+BG60+BJ60+BN60+BO60+BP60+BQ60+BR60+CB60+CC60+CD60)</f>
        <v>180.62000000000006</v>
      </c>
      <c r="I612" s="217">
        <f>CE92-(AX92+AY92+AZ92+BD92+BE92+BF92+BG92+BJ92+BN92+BO92+BP92+BQ92+BR92+CB92+CC92+CD92)</f>
        <v>33411.250000000007</v>
      </c>
      <c r="J612" s="217">
        <f>CE93-(AX93+AY93+AZ93+BA93+BD93+BE93+BF93+BG93+BJ93+BN93+BO93+BP93+BQ93+BR93+CB93+CC93+CD93)</f>
        <v>187595</v>
      </c>
      <c r="K612" s="217">
        <f>CE89-(AW89+AX89+AY89+AZ89+BA89+BB89+BC89+BD89+BE89+BF89+BG89+BH89+BI89+BJ89+BK89+BL89+BM89+BN89+BO89+BP89+BQ89+BR89+BS89+BT89+BU89+BV89+BW89+BX89+CB89+CC89+CD89)</f>
        <v>196560841.68000001</v>
      </c>
      <c r="L612" s="223">
        <f>CE94-(AW94+AX94+AY94+AZ94+BA94+BB94+BC94+BD94+BE94+BF94+BG94+BH94+BI94+BJ94+BK94+BL94+BM94+BN94+BO94+BP94+BQ94+BR94+BS94+BT94+BU94+BV94+BW94+BX94+BY94+BZ94+CA94+CB94+CC94+CD94)</f>
        <v>69.004038461538457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2357387.7400000002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1071130.22</v>
      </c>
      <c r="D615" s="217">
        <f>SUM(C614:C615)</f>
        <v>3428517.96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59470.080000000002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89973.360000000015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27355.83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2506463.5799999996</v>
      </c>
      <c r="D619" s="217">
        <f>(D615/D612)*BN90</f>
        <v>389957.8411102001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3487498.66</v>
      </c>
      <c r="D620" s="217">
        <f>(D615/D612)*CC90</f>
        <v>79415.900598556909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219786.69999999998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6859921.9517087564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51132.35</v>
      </c>
      <c r="D624" s="217">
        <f>(D615/D612)*BD90</f>
        <v>150866.78461790751</v>
      </c>
      <c r="E624" s="219">
        <f>(E623/E612)*SUM(C624:D624)</f>
        <v>26876.197918241141</v>
      </c>
      <c r="F624" s="219">
        <f>SUM(C624:E624)</f>
        <v>228875.33253614866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0</v>
      </c>
      <c r="D625" s="217">
        <f>(D615/D612)*AY90</f>
        <v>0</v>
      </c>
      <c r="E625" s="219">
        <f>(E623/E612)*SUM(C625:D625)</f>
        <v>0</v>
      </c>
      <c r="F625" s="219">
        <f>(F624/F612)*AY64</f>
        <v>0</v>
      </c>
      <c r="G625" s="217">
        <f>SUM(C625:F625)</f>
        <v>0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789441.56</v>
      </c>
      <c r="D626" s="217">
        <f>(D615/D612)*BR90</f>
        <v>0</v>
      </c>
      <c r="E626" s="219">
        <f>(E623/E612)*SUM(C626:D626)</f>
        <v>105036.03221656627</v>
      </c>
      <c r="F626" s="219">
        <f>(F624/F612)*BR64</f>
        <v>51.746399480804826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96799.400000000009</v>
      </c>
      <c r="D627" s="217">
        <f>(D615/D612)*BO90</f>
        <v>0</v>
      </c>
      <c r="E627" s="219">
        <f>(E623/E612)*SUM(C627:D627)</f>
        <v>12879.262268563978</v>
      </c>
      <c r="F627" s="219">
        <f>(F624/F612)*BO64</f>
        <v>352.39437019602269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1576837.39</v>
      </c>
      <c r="D628" s="217">
        <f>(D615/D612)*AZ90</f>
        <v>207840.07967858313</v>
      </c>
      <c r="E628" s="219">
        <f>(E623/E612)*SUM(C628:D628)</f>
        <v>237453.219718176</v>
      </c>
      <c r="F628" s="219">
        <f>(F624/F612)*AZ64</f>
        <v>10406.478912752653</v>
      </c>
      <c r="G628" s="217">
        <f>(G625/G612)*AZ91</f>
        <v>0</v>
      </c>
      <c r="H628" s="219">
        <f>SUM(C626:G628)</f>
        <v>3037097.5635643187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1371597.58</v>
      </c>
      <c r="D629" s="217">
        <f>(D615/D612)*BF90</f>
        <v>18038.419899967204</v>
      </c>
      <c r="E629" s="219">
        <f>(E623/E612)*SUM(C629:D629)</f>
        <v>184892.53549660248</v>
      </c>
      <c r="F629" s="219">
        <f>(F624/F612)*BF64</f>
        <v>2271.3390406338549</v>
      </c>
      <c r="G629" s="217">
        <f>(G625/G612)*BF91</f>
        <v>0</v>
      </c>
      <c r="H629" s="219">
        <f>(H628/H612)*BF60</f>
        <v>263656.79214200255</v>
      </c>
      <c r="I629" s="217">
        <f>SUM(C629:H629)</f>
        <v>1840456.6665792062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308532.69</v>
      </c>
      <c r="D630" s="217">
        <f>(D615/D612)*BA90</f>
        <v>19350.304983601181</v>
      </c>
      <c r="E630" s="219">
        <f>(E623/E612)*SUM(C630:D630)</f>
        <v>43625.178315114004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371508.17329871521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145829.83000000002</v>
      </c>
      <c r="D634" s="217">
        <f>(D615/D612)*BI90</f>
        <v>0</v>
      </c>
      <c r="E634" s="219">
        <f>(E623/E612)*SUM(C634:D634)</f>
        <v>19402.812694604505</v>
      </c>
      <c r="F634" s="219">
        <f>(F624/F612)*BI64</f>
        <v>113.92410692642936</v>
      </c>
      <c r="G634" s="217">
        <f>(G625/G612)*BI91</f>
        <v>0</v>
      </c>
      <c r="H634" s="219">
        <f>(H628/H612)*BI60</f>
        <v>1345.1877150102173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2989351.12</v>
      </c>
      <c r="D635" s="217">
        <f>(D615/D612)*BK90</f>
        <v>56223.646441456214</v>
      </c>
      <c r="E635" s="219">
        <f>(E623/E612)*SUM(C635:D635)</f>
        <v>405216.93497604318</v>
      </c>
      <c r="F635" s="219">
        <f>(F624/F612)*BK64</f>
        <v>21.0052868379376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2551908.9099999997</v>
      </c>
      <c r="D636" s="217">
        <f>(D615/D612)*BH90</f>
        <v>80118.696179075108</v>
      </c>
      <c r="E636" s="219">
        <f>(E623/E612)*SUM(C636:D636)</f>
        <v>350194.04911684291</v>
      </c>
      <c r="F636" s="219">
        <f>(F624/F612)*BH64</f>
        <v>1439.3433160516579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14301.87</v>
      </c>
      <c r="D637" s="217">
        <f>(D615/D612)*BL90</f>
        <v>19678.276254509678</v>
      </c>
      <c r="E637" s="219">
        <f>(E623/E612)*SUM(C637:D637)</f>
        <v>4521.0942995100386</v>
      </c>
      <c r="F637" s="219">
        <f>(F624/F612)*BL64</f>
        <v>249.01774171482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7925.0400000000009</v>
      </c>
      <c r="D642" s="217">
        <f>(D615/D612)*BV90</f>
        <v>127768.23653820925</v>
      </c>
      <c r="E642" s="219">
        <f>(E623/E612)*SUM(C642:D642)</f>
        <v>18054.133565046643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740670.44999999984</v>
      </c>
      <c r="D643" s="217">
        <f>(D615/D612)*BW90</f>
        <v>0</v>
      </c>
      <c r="E643" s="219">
        <f>(E623/E612)*SUM(C643:D643)</f>
        <v>98546.984590041873</v>
      </c>
      <c r="F643" s="219">
        <f>(F624/F612)*BW64</f>
        <v>21.375984683904697</v>
      </c>
      <c r="G643" s="217">
        <f>(G625/G612)*BW91</f>
        <v>0</v>
      </c>
      <c r="H643" s="219">
        <f>(H628/H612)*BW60</f>
        <v>13620.025614478451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594628.25</v>
      </c>
      <c r="D644" s="217">
        <f>(D615/D612)*BX90</f>
        <v>0</v>
      </c>
      <c r="E644" s="219">
        <f>(E623/E612)*SUM(C644:D644)</f>
        <v>79115.915842941453</v>
      </c>
      <c r="F644" s="219">
        <f>(F624/F612)*BX64</f>
        <v>76.038663810788151</v>
      </c>
      <c r="G644" s="217">
        <f>(G625/G612)*BX91</f>
        <v>0</v>
      </c>
      <c r="H644" s="219">
        <f>(H628/H612)*BX60</f>
        <v>55152.6963154189</v>
      </c>
      <c r="I644" s="217">
        <f>(I629/I612)*BX92</f>
        <v>0</v>
      </c>
      <c r="J644" s="217">
        <f>(J630/J612)*BX93</f>
        <v>0</v>
      </c>
      <c r="K644" s="219">
        <f>SUM(C631:J644)</f>
        <v>8375494.8652432142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1023614.9199999999</v>
      </c>
      <c r="D645" s="217">
        <f>(D615/D612)*BY90</f>
        <v>34999.219909806496</v>
      </c>
      <c r="E645" s="219">
        <f>(E623/E612)*SUM(C645:D645)</f>
        <v>140849.72788166741</v>
      </c>
      <c r="F645" s="219">
        <f>(F624/F612)*BY64</f>
        <v>3.7251589857823819</v>
      </c>
      <c r="G645" s="217">
        <f>(G625/G612)*BY91</f>
        <v>0</v>
      </c>
      <c r="H645" s="219">
        <f>(H628/H612)*BY60</f>
        <v>100384.63323263745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32555.4</v>
      </c>
      <c r="D647" s="217">
        <f>(D615/D612)*CA90</f>
        <v>0</v>
      </c>
      <c r="E647" s="219">
        <f>(E623/E612)*SUM(C647:D647)</f>
        <v>4331.5303076052915</v>
      </c>
      <c r="F647" s="219">
        <f>(F624/F612)*CA64</f>
        <v>260.48688039054338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1336999.6433710929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22114192.93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3167.05</v>
      </c>
      <c r="D668" s="217">
        <f>(D615/D612)*C90</f>
        <v>0</v>
      </c>
      <c r="E668" s="219">
        <f>(E623/E612)*SUM(C668:D668)</f>
        <v>421.37934292625306</v>
      </c>
      <c r="F668" s="219">
        <f>(F624/F612)*C64</f>
        <v>-0.42986159195685525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1.6387879181025595</v>
      </c>
      <c r="L668" s="217">
        <f>(L647/L612)*C94</f>
        <v>0</v>
      </c>
      <c r="M668" s="202">
        <f t="shared" ref="M668:M713" si="0">ROUND(SUM(D668:L668),0)</f>
        <v>423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1266409.3</v>
      </c>
      <c r="D669" s="217">
        <f>(D615/D612)*D90</f>
        <v>103076.68514266972</v>
      </c>
      <c r="E669" s="219">
        <f>(E623/E612)*SUM(C669:D669)</f>
        <v>182211.55478004154</v>
      </c>
      <c r="F669" s="219">
        <f>(F624/F612)*D64</f>
        <v>881.83409325483171</v>
      </c>
      <c r="G669" s="217">
        <f>(G625/G612)*D91</f>
        <v>0</v>
      </c>
      <c r="H669" s="219">
        <f>(H628/H612)*D60</f>
        <v>100216.48476826119</v>
      </c>
      <c r="I669" s="217">
        <f>(I629/I612)*D92</f>
        <v>55176.248084706211</v>
      </c>
      <c r="J669" s="217">
        <f>(J630/J612)*D93</f>
        <v>12953.999563420255</v>
      </c>
      <c r="K669" s="217">
        <f>(K644/K612)*D89</f>
        <v>72423.980518088312</v>
      </c>
      <c r="L669" s="217">
        <f>(L647/L612)*D94</f>
        <v>115431.49983391144</v>
      </c>
      <c r="M669" s="202">
        <f t="shared" si="0"/>
        <v>642372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4026161.07</v>
      </c>
      <c r="D670" s="217">
        <f>(D615/D612)*E90</f>
        <v>432219.28201869468</v>
      </c>
      <c r="E670" s="219">
        <f>(E623/E612)*SUM(C670:D670)</f>
        <v>593192.2082849826</v>
      </c>
      <c r="F670" s="219">
        <f>(F624/F612)*E64</f>
        <v>9337.6380790485164</v>
      </c>
      <c r="G670" s="217">
        <f>(G625/G612)*E91</f>
        <v>0</v>
      </c>
      <c r="H670" s="219">
        <f>(H628/H612)*E60</f>
        <v>413645.22236564179</v>
      </c>
      <c r="I670" s="217">
        <f>(I629/I612)*E92</f>
        <v>231461.53004752452</v>
      </c>
      <c r="J670" s="217">
        <f>(J630/J612)*E93</f>
        <v>160885.38755368619</v>
      </c>
      <c r="K670" s="217">
        <f>(K644/K612)*E89</f>
        <v>397066.63352919678</v>
      </c>
      <c r="L670" s="217">
        <f>(L647/L612)*E94</f>
        <v>296775.03161822533</v>
      </c>
      <c r="M670" s="202">
        <f t="shared" si="0"/>
        <v>2534583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-1079</v>
      </c>
      <c r="D672" s="217">
        <f>(D615/D612)*G90</f>
        <v>0</v>
      </c>
      <c r="E672" s="219">
        <f>(E623/E612)*SUM(C672:D672)</f>
        <v>-143.56208806852658</v>
      </c>
      <c r="F672" s="219">
        <f>(F624/F612)*G64</f>
        <v>-33.248792668204075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-177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512650.72000000003</v>
      </c>
      <c r="D673" s="217">
        <f>(D615/D612)*H90</f>
        <v>0</v>
      </c>
      <c r="E673" s="219">
        <f>(E623/E612)*SUM(C673:D673)</f>
        <v>68208.719011152512</v>
      </c>
      <c r="F673" s="219">
        <f>(F624/F612)*H64</f>
        <v>12134.777656073791</v>
      </c>
      <c r="G673" s="217">
        <f>(G625/G612)*H91</f>
        <v>0</v>
      </c>
      <c r="H673" s="219">
        <f>(H628/H612)*H60</f>
        <v>3867.4146806543745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2235.6545074637656</v>
      </c>
      <c r="M673" s="202">
        <f t="shared" si="0"/>
        <v>86447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4527375.8999999994</v>
      </c>
      <c r="D674" s="217">
        <f>(D615/D612)*I90</f>
        <v>0</v>
      </c>
      <c r="E674" s="219">
        <f>(E623/E612)*SUM(C674:D674)</f>
        <v>602372.13871651958</v>
      </c>
      <c r="F674" s="219">
        <f>(F624/F612)*I64</f>
        <v>4653.0502064231805</v>
      </c>
      <c r="G674" s="217">
        <f>(G625/G612)*I91</f>
        <v>0</v>
      </c>
      <c r="H674" s="219">
        <f>(H628/H612)*I60</f>
        <v>469302.36407418951</v>
      </c>
      <c r="I674" s="217">
        <f>(I629/I612)*I92</f>
        <v>391154.74372283445</v>
      </c>
      <c r="J674" s="217">
        <f>(J630/J612)*I93</f>
        <v>14646.169337873484</v>
      </c>
      <c r="K674" s="217">
        <f>(K644/K612)*I89</f>
        <v>295978.08090819814</v>
      </c>
      <c r="L674" s="217">
        <f>(L647/L612)*I94</f>
        <v>183817.93556272058</v>
      </c>
      <c r="M674" s="202">
        <f t="shared" si="0"/>
        <v>1961924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2198702.91</v>
      </c>
      <c r="D679" s="217">
        <f>(D615/D612)*N90</f>
        <v>0</v>
      </c>
      <c r="E679" s="219">
        <f>(E623/E612)*SUM(C679:D679)</f>
        <v>292539.74124369386</v>
      </c>
      <c r="F679" s="219">
        <f>(F624/F612)*N64</f>
        <v>23.444558781973775</v>
      </c>
      <c r="G679" s="217">
        <f>(G625/G612)*N91</f>
        <v>0</v>
      </c>
      <c r="H679" s="219">
        <f>(H628/H612)*N60</f>
        <v>32957.099017750319</v>
      </c>
      <c r="I679" s="217">
        <f>(I629/I612)*N92</f>
        <v>0</v>
      </c>
      <c r="J679" s="217">
        <f>(J630/J612)*N93</f>
        <v>0</v>
      </c>
      <c r="K679" s="217">
        <f>(K644/K612)*N89</f>
        <v>60790.254062407636</v>
      </c>
      <c r="L679" s="217">
        <f>(L647/L612)*N94</f>
        <v>0</v>
      </c>
      <c r="M679" s="202">
        <f t="shared" si="0"/>
        <v>386311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>
        <f>(H628/H612)*O60</f>
        <v>0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0"/>
        <v>0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4742294.0000000009</v>
      </c>
      <c r="D681" s="217">
        <f>(D615/D612)*P90</f>
        <v>302155.24658412597</v>
      </c>
      <c r="E681" s="219">
        <f>(E623/E612)*SUM(C681:D681)</f>
        <v>671169.2928594281</v>
      </c>
      <c r="F681" s="219">
        <f>(F624/F612)*P64</f>
        <v>94467.572578104024</v>
      </c>
      <c r="G681" s="217">
        <f>(G625/G612)*P91</f>
        <v>0</v>
      </c>
      <c r="H681" s="219">
        <f>(H628/H612)*P60</f>
        <v>138218.03771729983</v>
      </c>
      <c r="I681" s="217">
        <f>(I629/I612)*P92</f>
        <v>136002.70147477309</v>
      </c>
      <c r="J681" s="217">
        <f>(J630/J612)*P93</f>
        <v>99104.466531640297</v>
      </c>
      <c r="K681" s="217">
        <f>(K644/K612)*P89</f>
        <v>1119870.7007056084</v>
      </c>
      <c r="L681" s="217">
        <f>(L647/L612)*P94</f>
        <v>99037.165873866194</v>
      </c>
      <c r="M681" s="202">
        <f t="shared" si="0"/>
        <v>2660025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590573.25</v>
      </c>
      <c r="D682" s="217">
        <f>(D615/D612)*Q90</f>
        <v>212947.06089701541</v>
      </c>
      <c r="E682" s="219">
        <f>(E623/E612)*SUM(C682:D682)</f>
        <v>106909.22487288894</v>
      </c>
      <c r="F682" s="219">
        <f>(F624/F612)*Q64</f>
        <v>155.56644791242039</v>
      </c>
      <c r="G682" s="217">
        <f>(G625/G612)*Q91</f>
        <v>0</v>
      </c>
      <c r="H682" s="219">
        <f>(H628/H612)*Q60</f>
        <v>47754.163882862711</v>
      </c>
      <c r="I682" s="217">
        <f>(I629/I612)*Q92</f>
        <v>15067.862539312033</v>
      </c>
      <c r="J682" s="217">
        <f>(J630/J612)*Q93</f>
        <v>0</v>
      </c>
      <c r="K682" s="217">
        <f>(K644/K612)*Q89</f>
        <v>182026.90391710386</v>
      </c>
      <c r="L682" s="217">
        <f>(L647/L612)*Q94</f>
        <v>55018.898515056411</v>
      </c>
      <c r="M682" s="202">
        <f t="shared" si="0"/>
        <v>619880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537493.46</v>
      </c>
      <c r="D683" s="217">
        <f>(D615/D612)*R90</f>
        <v>8527.2530436208599</v>
      </c>
      <c r="E683" s="219">
        <f>(E623/E612)*SUM(C683:D683)</f>
        <v>72648.631782398486</v>
      </c>
      <c r="F683" s="219">
        <f>(F624/F612)*R64</f>
        <v>1690.217628441417</v>
      </c>
      <c r="G683" s="217">
        <f>(G625/G612)*R91</f>
        <v>0</v>
      </c>
      <c r="H683" s="219">
        <f>(H628/H612)*R60</f>
        <v>0</v>
      </c>
      <c r="I683" s="217">
        <f>(I629/I612)*R92</f>
        <v>4572.6172445889133</v>
      </c>
      <c r="J683" s="217">
        <f>(J630/J612)*R93</f>
        <v>0</v>
      </c>
      <c r="K683" s="217">
        <f>(K644/K612)*R89</f>
        <v>117074.0829498121</v>
      </c>
      <c r="L683" s="217">
        <f>(L647/L612)*R94</f>
        <v>0</v>
      </c>
      <c r="M683" s="202">
        <f t="shared" si="0"/>
        <v>204513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367785.88</v>
      </c>
      <c r="D684" s="217">
        <f>(D615/D612)*S90</f>
        <v>0</v>
      </c>
      <c r="E684" s="219">
        <f>(E623/E612)*SUM(C684:D684)</f>
        <v>48934.299253865196</v>
      </c>
      <c r="F684" s="219">
        <f>(F624/F612)*S64</f>
        <v>5131.8208032094144</v>
      </c>
      <c r="G684" s="217">
        <f>(G625/G612)*S91</f>
        <v>0</v>
      </c>
      <c r="H684" s="219">
        <f>(H628/H612)*S60</f>
        <v>31780.059767116381</v>
      </c>
      <c r="I684" s="217">
        <f>(I629/I612)*S92</f>
        <v>0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0"/>
        <v>85846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3618497.5300000003</v>
      </c>
      <c r="D686" s="217">
        <f>(D615/D612)*U90</f>
        <v>59971.889537553296</v>
      </c>
      <c r="E686" s="219">
        <f>(E623/E612)*SUM(C686:D686)</f>
        <v>489424.23611217056</v>
      </c>
      <c r="F686" s="219">
        <f>(F624/F612)*U64</f>
        <v>34747.73883617275</v>
      </c>
      <c r="G686" s="217">
        <f>(G625/G612)*U91</f>
        <v>0</v>
      </c>
      <c r="H686" s="219">
        <f>(H628/H612)*U60</f>
        <v>261134.56517635842</v>
      </c>
      <c r="I686" s="217">
        <f>(I629/I612)*U92</f>
        <v>32138.96691911064</v>
      </c>
      <c r="J686" s="217">
        <f>(J630/J612)*U93</f>
        <v>0</v>
      </c>
      <c r="K686" s="217">
        <f>(K644/K612)*U89</f>
        <v>730137.56257666112</v>
      </c>
      <c r="L686" s="217">
        <f>(L647/L612)*U94</f>
        <v>-315.13413328124659</v>
      </c>
      <c r="M686" s="202">
        <f t="shared" si="0"/>
        <v>1607240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13316.217515442157</v>
      </c>
      <c r="L687" s="217">
        <f>(L647/L612)*V94</f>
        <v>0</v>
      </c>
      <c r="M687" s="202">
        <f t="shared" si="0"/>
        <v>13316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786788.99</v>
      </c>
      <c r="D688" s="217">
        <f>(D615/D612)*W90</f>
        <v>22489.458576582485</v>
      </c>
      <c r="E688" s="219">
        <f>(E623/E612)*SUM(C688:D688)</f>
        <v>107675.35116451517</v>
      </c>
      <c r="F688" s="219">
        <f>(F624/F612)*W64</f>
        <v>681.27084321660504</v>
      </c>
      <c r="G688" s="217">
        <f>(G625/G612)*W91</f>
        <v>0</v>
      </c>
      <c r="H688" s="219">
        <f>(H628/H612)*W60</f>
        <v>36488.216769652143</v>
      </c>
      <c r="I688" s="217">
        <f>(I629/I612)*W92</f>
        <v>12019.451042919427</v>
      </c>
      <c r="J688" s="217">
        <f>(J630/J612)*W93</f>
        <v>0</v>
      </c>
      <c r="K688" s="217">
        <f>(K644/K612)*W89</f>
        <v>382494.3996959409</v>
      </c>
      <c r="L688" s="217">
        <f>(L647/L612)*W94</f>
        <v>0</v>
      </c>
      <c r="M688" s="202">
        <f t="shared" si="0"/>
        <v>561848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1263130.77</v>
      </c>
      <c r="D689" s="217">
        <f>(D615/D612)*X90</f>
        <v>18975.480673991475</v>
      </c>
      <c r="E689" s="219">
        <f>(E623/E612)*SUM(C689:D689)</f>
        <v>170585.58894575344</v>
      </c>
      <c r="F689" s="219">
        <f>(F624/F612)*X64</f>
        <v>3.4219447875848585</v>
      </c>
      <c r="G689" s="217">
        <f>(G625/G612)*X91</f>
        <v>0</v>
      </c>
      <c r="H689" s="219">
        <f>(H628/H612)*X60</f>
        <v>127288.38753284181</v>
      </c>
      <c r="I689" s="217">
        <f>(I629/I612)*X92</f>
        <v>10103.306673758361</v>
      </c>
      <c r="J689" s="217">
        <f>(J630/J612)*X93</f>
        <v>0</v>
      </c>
      <c r="K689" s="217">
        <f>(K644/K612)*X89</f>
        <v>1551786.1938275103</v>
      </c>
      <c r="L689" s="217">
        <f>(L647/L612)*X94</f>
        <v>0</v>
      </c>
      <c r="M689" s="202">
        <f t="shared" si="0"/>
        <v>1878742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1623400.02</v>
      </c>
      <c r="D690" s="217">
        <f>(D615/D612)*Y90</f>
        <v>167640.17247294195</v>
      </c>
      <c r="E690" s="219">
        <f>(E623/E612)*SUM(C690:D690)</f>
        <v>238299.78669700766</v>
      </c>
      <c r="F690" s="219">
        <f>(F624/F612)*Y64</f>
        <v>5125.6856460080808</v>
      </c>
      <c r="G690" s="217">
        <f>(G625/G612)*Y91</f>
        <v>0</v>
      </c>
      <c r="H690" s="219">
        <f>(H628/H612)*Y60</f>
        <v>96180.921623230533</v>
      </c>
      <c r="I690" s="217">
        <f>(I629/I612)*Y92</f>
        <v>63885.995217256517</v>
      </c>
      <c r="J690" s="217">
        <f>(J630/J612)*Y93</f>
        <v>0</v>
      </c>
      <c r="K690" s="217">
        <f>(K644/K612)*Y89</f>
        <v>519005.00418926799</v>
      </c>
      <c r="L690" s="217">
        <f>(L647/L612)*Y94</f>
        <v>0</v>
      </c>
      <c r="M690" s="202">
        <f t="shared" si="0"/>
        <v>1090138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11.504751375134973</v>
      </c>
      <c r="L691" s="217">
        <f>(L647/L612)*Z94</f>
        <v>0</v>
      </c>
      <c r="M691" s="202">
        <f t="shared" si="0"/>
        <v>12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10712.988973036881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10713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1998026.27</v>
      </c>
      <c r="D693" s="217">
        <f>(D615/D612)*AB90</f>
        <v>37997.814386684156</v>
      </c>
      <c r="E693" s="219">
        <f>(E623/E612)*SUM(C693:D693)</f>
        <v>270895.15191136452</v>
      </c>
      <c r="F693" s="219">
        <f>(F624/F612)*AB64</f>
        <v>25379.648992176612</v>
      </c>
      <c r="G693" s="217">
        <f>(G625/G612)*AB91</f>
        <v>0</v>
      </c>
      <c r="H693" s="219">
        <f>(H628/H612)*AB60</f>
        <v>86092.013760653907</v>
      </c>
      <c r="I693" s="217">
        <f>(I629/I612)*AB92</f>
        <v>20337.259554504973</v>
      </c>
      <c r="J693" s="217">
        <f>(J630/J612)*AB93</f>
        <v>0</v>
      </c>
      <c r="K693" s="217">
        <f>(K644/K612)*AB89</f>
        <v>502093.26510251552</v>
      </c>
      <c r="L693" s="217">
        <f>(L647/L612)*AB94</f>
        <v>0</v>
      </c>
      <c r="M693" s="202">
        <f t="shared" si="0"/>
        <v>942795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765037.27999999991</v>
      </c>
      <c r="D694" s="217">
        <f>(D615/D612)*AC90</f>
        <v>35842.574606428338</v>
      </c>
      <c r="E694" s="219">
        <f>(E623/E612)*SUM(C694:D694)</f>
        <v>106557.90937842151</v>
      </c>
      <c r="F694" s="219">
        <f>(F624/F612)*AC64</f>
        <v>597.24753885328209</v>
      </c>
      <c r="G694" s="217">
        <f>(G625/G612)*AC91</f>
        <v>0</v>
      </c>
      <c r="H694" s="219">
        <f>(H628/H612)*AC60</f>
        <v>75162.363576195887</v>
      </c>
      <c r="I694" s="217">
        <f>(I629/I612)*AC92</f>
        <v>19161.443691610682</v>
      </c>
      <c r="J694" s="217">
        <f>(J630/J612)*AC93</f>
        <v>0</v>
      </c>
      <c r="K694" s="217">
        <f>(K644/K612)*AC89</f>
        <v>38947.418321956931</v>
      </c>
      <c r="L694" s="217">
        <f>(L647/L612)*AC94</f>
        <v>335.34817611956487</v>
      </c>
      <c r="M694" s="202">
        <f t="shared" si="0"/>
        <v>276604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104420.19637766811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104420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824860.6</v>
      </c>
      <c r="D696" s="217">
        <f>(D615/D612)*AE90</f>
        <v>12181.790062315513</v>
      </c>
      <c r="E696" s="219">
        <f>(E623/E612)*SUM(C696:D696)</f>
        <v>111369.37286303625</v>
      </c>
      <c r="F696" s="219">
        <f>(F624/F612)*AE64</f>
        <v>339.39652660438674</v>
      </c>
      <c r="G696" s="217">
        <f>(G625/G612)*AE91</f>
        <v>0</v>
      </c>
      <c r="H696" s="219">
        <f>(H628/H612)*AE60</f>
        <v>0</v>
      </c>
      <c r="I696" s="217">
        <f>(I629/I612)*AE92</f>
        <v>6488.7616137499817</v>
      </c>
      <c r="J696" s="217">
        <f>(J630/J612)*AE93</f>
        <v>0</v>
      </c>
      <c r="K696" s="217">
        <f>(K644/K612)*AE89</f>
        <v>146591.993993757</v>
      </c>
      <c r="L696" s="217">
        <f>(L647/L612)*AE94</f>
        <v>0</v>
      </c>
      <c r="M696" s="202">
        <f t="shared" si="0"/>
        <v>276971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495365.3760525125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495365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5354674.79</v>
      </c>
      <c r="D698" s="217">
        <f>(D615/D612)*AG90</f>
        <v>365453.70186946541</v>
      </c>
      <c r="E698" s="219">
        <f>(E623/E612)*SUM(C698:D698)</f>
        <v>761069.12911311607</v>
      </c>
      <c r="F698" s="219">
        <f>(F624/F612)*AG64</f>
        <v>15994.057772569853</v>
      </c>
      <c r="G698" s="217">
        <f>(G625/G612)*AG91</f>
        <v>0</v>
      </c>
      <c r="H698" s="219">
        <f>(H628/H612)*AG60</f>
        <v>0</v>
      </c>
      <c r="I698" s="217">
        <f>(I629/I612)*AG92</f>
        <v>195708.01806840548</v>
      </c>
      <c r="J698" s="217">
        <f>(J630/J612)*AG93</f>
        <v>83918.150312095007</v>
      </c>
      <c r="K698" s="217">
        <f>(K644/K612)*AG89</f>
        <v>2146935.0340847978</v>
      </c>
      <c r="L698" s="217">
        <f>(L647/L612)*AG94</f>
        <v>393560.52079399099</v>
      </c>
      <c r="M698" s="202">
        <f t="shared" si="0"/>
        <v>3962639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15067.862539312033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15068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943692.13</v>
      </c>
      <c r="D701" s="217">
        <f>(D615/D612)*AJ90</f>
        <v>181555.52496720236</v>
      </c>
      <c r="E701" s="219">
        <f>(E623/E612)*SUM(C701:D701)</f>
        <v>149715.38734133873</v>
      </c>
      <c r="F701" s="219">
        <f>(F624/F612)*AJ64</f>
        <v>2297.7451763049303</v>
      </c>
      <c r="G701" s="217">
        <f>(G625/G612)*AJ91</f>
        <v>0</v>
      </c>
      <c r="H701" s="219">
        <f>(H628/H612)*AJ60</f>
        <v>65914.198035500638</v>
      </c>
      <c r="I701" s="217">
        <f>(I629/I612)*AJ92</f>
        <v>0</v>
      </c>
      <c r="J701" s="217">
        <f>(J630/J612)*AJ93</f>
        <v>0</v>
      </c>
      <c r="K701" s="217">
        <f>(K644/K612)*AJ89</f>
        <v>98576.73857564725</v>
      </c>
      <c r="L701" s="217">
        <f>(L647/L612)*AJ94</f>
        <v>72136.094099181588</v>
      </c>
      <c r="M701" s="202">
        <f t="shared" si="0"/>
        <v>570196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266908.84000000003</v>
      </c>
      <c r="D702" s="217">
        <f>(D615/D612)*AK90</f>
        <v>0</v>
      </c>
      <c r="E702" s="219">
        <f>(E623/E612)*SUM(C702:D702)</f>
        <v>35512.502682435836</v>
      </c>
      <c r="F702" s="219">
        <f>(F624/F612)*AK64</f>
        <v>0</v>
      </c>
      <c r="G702" s="217">
        <f>(G625/G612)*AK91</f>
        <v>0</v>
      </c>
      <c r="H702" s="219">
        <f>(H628/H612)*AK60</f>
        <v>17151.143366380271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52664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10.524716998734586</v>
      </c>
      <c r="L707" s="217">
        <f>(L647/L612)*AP94</f>
        <v>0</v>
      </c>
      <c r="M707" s="202">
        <f t="shared" si="0"/>
        <v>11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87746</v>
      </c>
      <c r="D713" s="217">
        <f>(D615/D612)*AV90</f>
        <v>283226.6189488357</v>
      </c>
      <c r="E713" s="219">
        <f>(E623/E612)*SUM(C713:D713)</f>
        <v>49358.298232200832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621396.90917180188</v>
      </c>
      <c r="J713" s="217">
        <f>(J630/J612)*AV93</f>
        <v>0</v>
      </c>
      <c r="K713" s="217">
        <f>(K644/K612)*AV89</f>
        <v>356.73251300974073</v>
      </c>
      <c r="L713" s="217">
        <f>(L647/L612)*AV94</f>
        <v>118966.6285238385</v>
      </c>
      <c r="M713" s="202">
        <f t="shared" si="0"/>
        <v>1073305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58418490.690000005</v>
      </c>
      <c r="D715" s="202">
        <f>SUM(D616:D647)+SUM(D668:D713)</f>
        <v>3428517.96</v>
      </c>
      <c r="E715" s="202">
        <f>SUM(E624:E647)+SUM(E668:E713)</f>
        <v>6859921.9517087564</v>
      </c>
      <c r="F715" s="202">
        <f>SUM(F625:F648)+SUM(F668:F713)</f>
        <v>228875.33253614869</v>
      </c>
      <c r="G715" s="202">
        <f>SUM(G626:G647)+SUM(G668:G713)</f>
        <v>0</v>
      </c>
      <c r="H715" s="202">
        <f>SUM(H629:H647)+SUM(H668:H713)</f>
        <v>3037097.5635643178</v>
      </c>
      <c r="I715" s="202">
        <f>SUM(I630:I647)+SUM(I668:I713)</f>
        <v>1840456.666579206</v>
      </c>
      <c r="J715" s="202">
        <f>SUM(J631:J647)+SUM(J668:J713)</f>
        <v>371508.17329871521</v>
      </c>
      <c r="K715" s="202">
        <f>SUM(K668:K713)</f>
        <v>8375494.8652432133</v>
      </c>
      <c r="L715" s="202">
        <f>SUM(L668:L713)</f>
        <v>1336999.6433710933</v>
      </c>
      <c r="M715" s="202">
        <f>SUM(M668:M713)</f>
        <v>22114194</v>
      </c>
      <c r="N715" s="211" t="s">
        <v>694</v>
      </c>
    </row>
    <row r="716" spans="1:14" s="202" customFormat="1" ht="12.6" customHeight="1" x14ac:dyDescent="0.2">
      <c r="C716" s="214">
        <f>CE85</f>
        <v>58418490.689999998</v>
      </c>
      <c r="D716" s="202">
        <f>D615</f>
        <v>3428517.96</v>
      </c>
      <c r="E716" s="202">
        <f>E623</f>
        <v>6859921.9517087564</v>
      </c>
      <c r="F716" s="202">
        <f>F624</f>
        <v>228875.33253614866</v>
      </c>
      <c r="G716" s="202">
        <f>G625</f>
        <v>0</v>
      </c>
      <c r="H716" s="202">
        <f>H628</f>
        <v>3037097.5635643187</v>
      </c>
      <c r="I716" s="202">
        <f>I629</f>
        <v>1840456.6665792062</v>
      </c>
      <c r="J716" s="202">
        <f>J630</f>
        <v>371508.17329871521</v>
      </c>
      <c r="K716" s="202">
        <f>K644</f>
        <v>8375494.8652432142</v>
      </c>
      <c r="L716" s="202">
        <f>L647</f>
        <v>1336999.6433710929</v>
      </c>
      <c r="M716" s="202">
        <f>C648</f>
        <v>22114192.93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104</v>
      </c>
      <c r="C2" s="11" t="str">
        <f>SUBSTITUTE(LEFT(data!C98,49),",","")</f>
        <v>EvergreenHealth Monroe</v>
      </c>
      <c r="D2" s="11" t="str">
        <f>LEFT(data!C99, 49)</f>
        <v>14701 179th Ave SE</v>
      </c>
      <c r="E2" s="11" t="str">
        <f>LEFT(data!C100, 100)</f>
        <v>Monroe</v>
      </c>
      <c r="F2" s="11" t="str">
        <f>LEFT(data!C101, 2)</f>
        <v>WA</v>
      </c>
      <c r="G2" s="11" t="str">
        <f>LEFT(data!C102, 100)</f>
        <v>98272</v>
      </c>
      <c r="H2" s="11" t="str">
        <f>LEFT(data!C103, 100)</f>
        <v>Snohomish</v>
      </c>
      <c r="I2" s="11" t="str">
        <f>LEFT(data!C104, 49)</f>
        <v/>
      </c>
      <c r="J2" s="11" t="str">
        <f>LEFT(data!C105, 49)</f>
        <v/>
      </c>
      <c r="K2" s="11" t="str">
        <f>LEFT(data!C107, 49)</f>
        <v>360-794-7497</v>
      </c>
      <c r="L2" s="11" t="str">
        <f>LEFT(data!C108, 49)</f>
        <v>360-863-4672</v>
      </c>
      <c r="M2" s="11" t="str">
        <f>LEFT(data!C109, 49)</f>
        <v xml:space="preserve">Rubyann </v>
      </c>
      <c r="N2" s="11" t="str">
        <f>LEFT(data!C110, 49)</f>
        <v>rtoledo@evergreenhealthmonroe.com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104</v>
      </c>
      <c r="B2" s="200" t="str">
        <f>RIGHT(data!C96,4)</f>
        <v>2024</v>
      </c>
      <c r="C2" s="12" t="s">
        <v>1163</v>
      </c>
      <c r="D2" s="199">
        <f>ROUND(N(data!C181),0)</f>
        <v>1667076</v>
      </c>
      <c r="E2" s="199">
        <f>ROUND(N(data!C182),0)</f>
        <v>-33872</v>
      </c>
      <c r="F2" s="199">
        <f>ROUND(N(data!C183),0)</f>
        <v>223034</v>
      </c>
      <c r="G2" s="199">
        <f>ROUND(N(data!C184),0)</f>
        <v>0</v>
      </c>
      <c r="H2" s="199">
        <f>ROUND(N(data!C185),0)</f>
        <v>0</v>
      </c>
      <c r="I2" s="199">
        <f>ROUND(N(data!C186),0)</f>
        <v>644575</v>
      </c>
      <c r="J2" s="199">
        <f>ROUND(N(data!C187)+N(data!C188),0)</f>
        <v>521478</v>
      </c>
      <c r="K2" s="199">
        <f>ROUND(N(data!C191),0)</f>
        <v>180904</v>
      </c>
      <c r="L2" s="199">
        <f>ROUND(N(data!C192),0)</f>
        <v>329935</v>
      </c>
      <c r="M2" s="199">
        <f>ROUND(N(data!C195),0)</f>
        <v>0</v>
      </c>
      <c r="N2" s="199">
        <f>ROUND(N(data!C196),0)</f>
        <v>546111</v>
      </c>
      <c r="O2" s="199">
        <f>ROUND(N(data!C199),0)</f>
        <v>41172</v>
      </c>
      <c r="P2" s="199">
        <f>ROUND(N(data!C200),0)</f>
        <v>734504</v>
      </c>
      <c r="Q2" s="199">
        <f>ROUND(N(data!C201),0)</f>
        <v>1500</v>
      </c>
      <c r="R2" s="199">
        <f>ROUND(N(data!C204),0)</f>
        <v>0</v>
      </c>
      <c r="S2" s="199">
        <f>ROUND(N(data!C205),0)</f>
        <v>0</v>
      </c>
      <c r="T2" s="199">
        <f>ROUND(N(data!B211),0)</f>
        <v>1878610</v>
      </c>
      <c r="U2" s="199">
        <f>ROUND(N(data!C211),0)</f>
        <v>0</v>
      </c>
      <c r="V2" s="199">
        <f>ROUND(N(data!D211),0)</f>
        <v>0</v>
      </c>
      <c r="W2" s="199">
        <f>ROUND(N(data!B212),0)</f>
        <v>1233751</v>
      </c>
      <c r="X2" s="199">
        <f>ROUND(N(data!C212),0)</f>
        <v>0</v>
      </c>
      <c r="Y2" s="199">
        <f>ROUND(N(data!D212),0)</f>
        <v>0</v>
      </c>
      <c r="Z2" s="199">
        <f>ROUND(N(data!B213),0)</f>
        <v>27306534</v>
      </c>
      <c r="AA2" s="199">
        <f>ROUND(N(data!C213),0)</f>
        <v>3057033</v>
      </c>
      <c r="AB2" s="199">
        <f>ROUND(N(data!D213),0)</f>
        <v>0</v>
      </c>
      <c r="AC2" s="199">
        <f>ROUND(N(data!B214),0)</f>
        <v>2731403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21310238</v>
      </c>
      <c r="AJ2" s="199">
        <f>ROUND(N(data!C216),0)</f>
        <v>1214850</v>
      </c>
      <c r="AK2" s="199">
        <f>ROUND(N(data!D216),0)</f>
        <v>304683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3109130</v>
      </c>
      <c r="AP2" s="199">
        <f>ROUND(N(data!C218),0)</f>
        <v>0</v>
      </c>
      <c r="AQ2" s="199">
        <f>ROUND(N(data!D218),0)</f>
        <v>0</v>
      </c>
      <c r="AR2" s="199">
        <f>ROUND(N(data!B219),0)</f>
        <v>1653238</v>
      </c>
      <c r="AS2" s="199">
        <f>ROUND(N(data!C219),0)</f>
        <v>4173295</v>
      </c>
      <c r="AT2" s="199">
        <f>ROUND(N(data!D219),0)</f>
        <v>4383694</v>
      </c>
      <c r="AU2" s="199">
        <v>0</v>
      </c>
      <c r="AV2" s="199">
        <v>0</v>
      </c>
      <c r="AW2" s="199">
        <v>0</v>
      </c>
      <c r="AX2" s="199">
        <f>ROUND(N(data!B225),0)</f>
        <v>-1126153</v>
      </c>
      <c r="AY2" s="199">
        <f>ROUND(N(data!C225),0)</f>
        <v>-62359</v>
      </c>
      <c r="AZ2" s="199">
        <f>ROUND(N(data!D225),0)</f>
        <v>0</v>
      </c>
      <c r="BA2" s="199">
        <f>ROUND(N(data!B226),0)</f>
        <v>-22605520</v>
      </c>
      <c r="BB2" s="199">
        <f>ROUND(N(data!C226),0)</f>
        <v>-879723</v>
      </c>
      <c r="BC2" s="199">
        <f>ROUND(N(data!D226),0)</f>
        <v>0</v>
      </c>
      <c r="BD2" s="199">
        <f>ROUND(N(data!B227),0)</f>
        <v>-2573881</v>
      </c>
      <c r="BE2" s="199">
        <f>ROUND(N(data!C227),0)</f>
        <v>-28241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-18249389</v>
      </c>
      <c r="BK2" s="199">
        <f>ROUND(N(data!C229),0)</f>
        <v>-924402</v>
      </c>
      <c r="BL2" s="199">
        <f>ROUND(N(data!D229),0)</f>
        <v>-296880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-2527520</v>
      </c>
      <c r="BQ2" s="199">
        <f>ROUND(N(data!C231),0)</f>
        <v>-70133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64396451</v>
      </c>
      <c r="BW2" s="199">
        <f>ROUND(N(data!C240),0)</f>
        <v>36616099</v>
      </c>
      <c r="BX2" s="199">
        <f>ROUND(N(data!C241),0)</f>
        <v>2738773</v>
      </c>
      <c r="BY2" s="199">
        <f>ROUND(N(data!C242),0)</f>
        <v>2966865</v>
      </c>
      <c r="BZ2" s="199">
        <f>ROUND(N(data!C243),0)</f>
        <v>37867406</v>
      </c>
      <c r="CA2" s="199">
        <f>ROUND(N(data!C244),0)</f>
        <v>-116057</v>
      </c>
      <c r="CB2" s="199">
        <f>ROUND(N(data!C247),0)</f>
        <v>640</v>
      </c>
      <c r="CC2" s="199">
        <f>ROUND(N(data!C249),0)</f>
        <v>355567</v>
      </c>
      <c r="CD2" s="199">
        <f>ROUND(N(data!C250),0)</f>
        <v>1359808</v>
      </c>
      <c r="CE2" s="199">
        <f>ROUND(N(data!C254)+N(data!C255),0)</f>
        <v>2969971</v>
      </c>
      <c r="CF2" s="199">
        <f>ROUND(N(data!D237),0)</f>
        <v>8475180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104</v>
      </c>
      <c r="B2" s="12" t="str">
        <f>RIGHT(data!C96,4)</f>
        <v>2024</v>
      </c>
      <c r="C2" s="12" t="s">
        <v>1163</v>
      </c>
      <c r="D2" s="198">
        <f>ROUND(N(data!C127),0)</f>
        <v>0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0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4</v>
      </c>
      <c r="N2" s="198">
        <f>ROUND(N(data!C134),0)</f>
        <v>22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36</v>
      </c>
      <c r="V2" s="198">
        <f>ROUND(N(data!C142),0)</f>
        <v>0</v>
      </c>
      <c r="W2" s="198">
        <f>ROUND(N(data!C144),0)</f>
        <v>112</v>
      </c>
      <c r="X2" s="198">
        <f>ROUND(N(data!C145),0)</f>
        <v>0</v>
      </c>
      <c r="Y2" s="198">
        <f>ROUND(N(data!B154),0)</f>
        <v>593</v>
      </c>
      <c r="Z2" s="198">
        <f>ROUND(N(data!B155),0)</f>
        <v>2455</v>
      </c>
      <c r="AA2" s="198">
        <f>ROUND(N(data!B156),0)</f>
        <v>0</v>
      </c>
      <c r="AB2" s="198">
        <f>ROUND(N(data!B157),0)</f>
        <v>22373921</v>
      </c>
      <c r="AC2" s="198">
        <f>ROUND(N(data!B158),0)</f>
        <v>58007600</v>
      </c>
      <c r="AD2" s="198">
        <f>ROUND(N(data!C154),0)</f>
        <v>181</v>
      </c>
      <c r="AE2" s="198">
        <f>ROUND(N(data!C155),0)</f>
        <v>600</v>
      </c>
      <c r="AF2" s="198">
        <f>ROUND(N(data!C156),0)</f>
        <v>0</v>
      </c>
      <c r="AG2" s="198">
        <f>ROUND(N(data!C157),0)</f>
        <v>8113257</v>
      </c>
      <c r="AH2" s="198">
        <f>ROUND(N(data!C158),0)</f>
        <v>35811501</v>
      </c>
      <c r="AI2" s="198">
        <f>ROUND(N(data!D154),0)</f>
        <v>259</v>
      </c>
      <c r="AJ2" s="198">
        <f>ROUND(N(data!D155),0)</f>
        <v>671</v>
      </c>
      <c r="AK2" s="198">
        <f>ROUND(N(data!D156),0)</f>
        <v>0</v>
      </c>
      <c r="AL2" s="198">
        <f>ROUND(N(data!D157),0)</f>
        <v>9282347</v>
      </c>
      <c r="AM2" s="198">
        <f>ROUND(N(data!D158),0)</f>
        <v>86967732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68</v>
      </c>
      <c r="BD2" s="198">
        <f>ROUND(N(data!B167),0)</f>
        <v>814</v>
      </c>
      <c r="BE2" s="198">
        <f>ROUND(N(data!B168),0)</f>
        <v>0</v>
      </c>
      <c r="BF2" s="198">
        <f>ROUND(N(data!B169),0)</f>
        <v>1059396</v>
      </c>
      <c r="BG2" s="198">
        <f>ROUND(N(data!B170),0)</f>
        <v>99805</v>
      </c>
      <c r="BH2" s="198">
        <f>ROUND(N(data!C166),0)</f>
        <v>449</v>
      </c>
      <c r="BI2" s="198">
        <f>ROUND(N(data!C167),0)</f>
        <v>4228</v>
      </c>
      <c r="BJ2" s="198">
        <f>ROUND(N(data!C168),0)</f>
        <v>0</v>
      </c>
      <c r="BK2" s="198">
        <f>ROUND(N(data!C169),0)</f>
        <v>4337245</v>
      </c>
      <c r="BL2" s="198">
        <f>ROUND(N(data!C170),0)</f>
        <v>408607</v>
      </c>
      <c r="BM2" s="198">
        <f>ROUND(N(data!D166),0)</f>
        <v>268</v>
      </c>
      <c r="BN2" s="198">
        <f>ROUND(N(data!D167),0)</f>
        <v>1997</v>
      </c>
      <c r="BO2" s="198">
        <f>ROUND(N(data!D168),0)</f>
        <v>0</v>
      </c>
      <c r="BP2" s="198">
        <f>ROUND(N(data!D169),0)</f>
        <v>2296043</v>
      </c>
      <c r="BQ2" s="198">
        <f>ROUND(N(data!D170),0)</f>
        <v>216308</v>
      </c>
      <c r="BR2" s="198">
        <f>ROUND(N(data!B173),0)</f>
        <v>73392</v>
      </c>
      <c r="BS2" s="198">
        <f>ROUND(N(data!C173),0)</f>
        <v>1556481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104</v>
      </c>
      <c r="B2" s="200" t="str">
        <f>RIGHT(data!C96,4)</f>
        <v>2024</v>
      </c>
      <c r="C2" s="12" t="s">
        <v>1163</v>
      </c>
      <c r="D2" s="198">
        <f>ROUND(N(data!C266),0)</f>
        <v>28350013</v>
      </c>
      <c r="E2" s="198">
        <f>ROUND(N(data!C267),0)</f>
        <v>0</v>
      </c>
      <c r="F2" s="198">
        <f>ROUND(N(data!C268),0)</f>
        <v>31012867</v>
      </c>
      <c r="G2" s="198">
        <f>ROUND(N(data!C269),0)</f>
        <v>21227520</v>
      </c>
      <c r="H2" s="198">
        <f>ROUND(N(data!C270),0)</f>
        <v>2001476</v>
      </c>
      <c r="I2" s="198">
        <f>ROUND(N(data!C271),0)</f>
        <v>426665</v>
      </c>
      <c r="J2" s="198">
        <f>ROUND(N(data!C272),0)</f>
        <v>39178</v>
      </c>
      <c r="K2" s="198">
        <f>ROUND(N(data!C273),0)</f>
        <v>899887</v>
      </c>
      <c r="L2" s="198">
        <f>ROUND(N(data!C274),0)</f>
        <v>242583</v>
      </c>
      <c r="M2" s="198">
        <f>ROUND(N(data!C275),0)</f>
        <v>0</v>
      </c>
      <c r="N2" s="198">
        <f>ROUND(N(data!C278),0)</f>
        <v>221741</v>
      </c>
      <c r="O2" s="198">
        <f>ROUND(N(data!C279),0)</f>
        <v>0</v>
      </c>
      <c r="P2" s="198">
        <f>ROUND(N(data!C280),0)</f>
        <v>0</v>
      </c>
      <c r="Q2" s="198">
        <f>ROUND(N(data!C283),0)</f>
        <v>1878610</v>
      </c>
      <c r="R2" s="198">
        <f>ROUND(N(data!C284),0)</f>
        <v>1233751</v>
      </c>
      <c r="S2" s="198">
        <f>ROUND(N(data!C285),0)</f>
        <v>37642488</v>
      </c>
      <c r="T2" s="198">
        <f>ROUND(N(data!C286),0)</f>
        <v>0</v>
      </c>
      <c r="U2" s="198">
        <f>ROUND(N(data!C287),0)</f>
        <v>0</v>
      </c>
      <c r="V2" s="198">
        <f>ROUND(N(data!C288),0)</f>
        <v>25107178</v>
      </c>
      <c r="W2" s="198">
        <f>ROUND(N(data!C289),0)</f>
        <v>3109130</v>
      </c>
      <c r="X2" s="198">
        <f>ROUND(N(data!C290),0)</f>
        <v>1442839</v>
      </c>
      <c r="Y2" s="198">
        <f>ROUND(N(data!C291),0)</f>
        <v>0</v>
      </c>
      <c r="Z2" s="198">
        <f>ROUND(N(data!C292),0)</f>
        <v>48750440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6033422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1637107</v>
      </c>
      <c r="AJ2" s="198">
        <f>ROUND(N(data!C315),0)</f>
        <v>1310647</v>
      </c>
      <c r="AK2" s="198">
        <f>ROUND(N(data!C316),0)</f>
        <v>3643677</v>
      </c>
      <c r="AL2" s="198">
        <f>ROUND(N(data!C317),0)</f>
        <v>1289885</v>
      </c>
      <c r="AM2" s="198">
        <f>ROUND(N(data!C318),0)</f>
        <v>0</v>
      </c>
      <c r="AN2" s="198">
        <f>ROUND(N(data!C319),0)</f>
        <v>1364128</v>
      </c>
      <c r="AO2" s="198">
        <f>ROUND(N(data!C320),0)</f>
        <v>0</v>
      </c>
      <c r="AP2" s="198">
        <f>ROUND(N(data!C321),0)</f>
        <v>0</v>
      </c>
      <c r="AQ2" s="198">
        <f>ROUND(N(data!C322),0)</f>
        <v>624147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5674474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22064875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34495761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221741</v>
      </c>
      <c r="BJ2" s="198">
        <f>ROUND(N(data!C349),0)</f>
        <v>0</v>
      </c>
      <c r="BK2" s="198">
        <f>ROUND(N(data!CE60),2)</f>
        <v>222.86</v>
      </c>
      <c r="BL2" s="198">
        <f>ROUND(N(data!C358),0)</f>
        <v>47462208</v>
      </c>
      <c r="BM2" s="198">
        <f>ROUND(N(data!C359),0)</f>
        <v>181511555</v>
      </c>
      <c r="BN2" s="198">
        <f>ROUND(N(data!C363),0)</f>
        <v>144469538</v>
      </c>
      <c r="BO2" s="198">
        <f>ROUND(N(data!C364),0)</f>
        <v>1715375</v>
      </c>
      <c r="BP2" s="198">
        <f>ROUND(N(data!C365),0)</f>
        <v>2969971</v>
      </c>
      <c r="BQ2" s="198">
        <f>ROUND(N(data!D381),0)</f>
        <v>2877263</v>
      </c>
      <c r="BR2" s="198">
        <f>ROUND(N(data!C370),0)</f>
        <v>16094</v>
      </c>
      <c r="BS2" s="198">
        <f>ROUND(N(data!C371),0)</f>
        <v>25750</v>
      </c>
      <c r="BT2" s="198">
        <f>ROUND(N(data!C372),0)</f>
        <v>0</v>
      </c>
      <c r="BU2" s="198">
        <f>ROUND(N(data!C373),0)</f>
        <v>0</v>
      </c>
      <c r="BV2" s="198">
        <f>ROUND(N(data!C374),0)</f>
        <v>7401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872497</v>
      </c>
      <c r="CA2" s="198">
        <f>ROUND(N(data!C379),0)</f>
        <v>331025</v>
      </c>
      <c r="CB2" s="198">
        <f>ROUND(N(data!C380),0)</f>
        <v>1624497</v>
      </c>
      <c r="CC2" s="198">
        <f>ROUND(N(data!C382),0)</f>
        <v>0</v>
      </c>
      <c r="CD2" s="198">
        <f>ROUND(N(data!C389),0)</f>
        <v>26150371</v>
      </c>
      <c r="CE2" s="198">
        <f>ROUND(N(data!C390),0)</f>
        <v>6903659</v>
      </c>
      <c r="CF2" s="198">
        <f>ROUND(N(data!C391),0)</f>
        <v>1754053</v>
      </c>
      <c r="CG2" s="198">
        <f>ROUND(N(data!C392),0)</f>
        <v>7444469</v>
      </c>
      <c r="CH2" s="198">
        <f>ROUND(N(data!C393),0)</f>
        <v>583724</v>
      </c>
      <c r="CI2" s="198">
        <f>ROUND(N(data!C394),0)</f>
        <v>14027313</v>
      </c>
      <c r="CJ2" s="198">
        <f>ROUND(N(data!C395),0)</f>
        <v>2696515</v>
      </c>
      <c r="CK2" s="198">
        <f>ROUND(N(data!C396),0)</f>
        <v>510838</v>
      </c>
      <c r="CL2" s="198">
        <f>ROUND(N(data!C397),0)</f>
        <v>546111</v>
      </c>
      <c r="CM2" s="198">
        <f>ROUND(N(data!C398),0)</f>
        <v>777176</v>
      </c>
      <c r="CN2" s="198">
        <f>ROUND(N(data!C399),0)</f>
        <v>0</v>
      </c>
      <c r="CO2" s="198">
        <f>ROUND(N(data!C362),0)</f>
        <v>8475180</v>
      </c>
      <c r="CP2" s="198">
        <f>ROUND(N(data!D415),0)</f>
        <v>352661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352661</v>
      </c>
      <c r="DE2" s="52">
        <f>ROUND(N(data!C419),0)</f>
        <v>1577494</v>
      </c>
      <c r="DF2" s="198">
        <f>ROUND(N(data!D420),0)</f>
        <v>6574649</v>
      </c>
      <c r="DG2" s="198">
        <f>ROUND(N(data!C422),0)</f>
        <v>0</v>
      </c>
      <c r="DH2" s="198">
        <f>ROUND(N(data!C423),0)</f>
        <v>0</v>
      </c>
    </row>
  </sheetData>
  <sheetProtection algorithmName="SHA-512" hashValue="HWX4YFvSTe8aOcS8txQ2/wXyiHbS7xXqumdz8GKzEHRpE86stDUuP/bYN2XJwR9DjsaReAlKECoZUm5DwS2DjQ==" saltValue="0K9CRsSwWu1F3rhRGRirM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104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3181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248</v>
      </c>
      <c r="AF2" s="198">
        <f>ROUND(N(data!C87), 0)</f>
        <v>172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104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-0.2</v>
      </c>
      <c r="G3" s="198">
        <f>ROUND(N(data!D61), 0)</f>
        <v>-29086</v>
      </c>
      <c r="H3" s="198">
        <f>ROUND(N(data!D62), 0)</f>
        <v>-863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20891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-8740</v>
      </c>
      <c r="AF3" s="198">
        <f>ROUND(N(data!D87), 0)</f>
        <v>-12920</v>
      </c>
      <c r="AG3" s="198">
        <f>ROUND(N(data!D90), 0)</f>
        <v>2200</v>
      </c>
      <c r="AH3" s="198">
        <f>ROUND(N(data!D91), 0)</f>
        <v>2518</v>
      </c>
      <c r="AI3" s="198">
        <f>ROUND(N(data!D92), 0)</f>
        <v>1027</v>
      </c>
      <c r="AJ3" s="198">
        <f>ROUND(N(data!D93), 0)</f>
        <v>0</v>
      </c>
      <c r="AK3" s="271">
        <f>ROUND(N(data!D94), 2)</f>
        <v>-0.2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104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4534</v>
      </c>
      <c r="F4" s="271">
        <f>ROUND(N(data!E60), 2)</f>
        <v>31.79</v>
      </c>
      <c r="G4" s="198">
        <f>ROUND(N(data!E61), 0)</f>
        <v>3926763</v>
      </c>
      <c r="H4" s="198">
        <f>ROUND(N(data!E62), 0)</f>
        <v>956257</v>
      </c>
      <c r="I4" s="198">
        <f>ROUND(N(data!E63), 0)</f>
        <v>400</v>
      </c>
      <c r="J4" s="198">
        <f>ROUND(N(data!E64), 0)</f>
        <v>325178</v>
      </c>
      <c r="K4" s="198">
        <f>ROUND(N(data!E65), 0)</f>
        <v>0</v>
      </c>
      <c r="L4" s="198">
        <f>ROUND(N(data!E66), 0)</f>
        <v>33683</v>
      </c>
      <c r="M4" s="198">
        <f>ROUND(N(data!E67), 0)</f>
        <v>130797</v>
      </c>
      <c r="N4" s="198">
        <f>ROUND(N(data!E68), 0)</f>
        <v>6603</v>
      </c>
      <c r="O4" s="198">
        <f>ROUND(N(data!E69), 0)</f>
        <v>350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350</v>
      </c>
      <c r="AD4" s="198">
        <f>ROUND(N(data!E84), 0)</f>
        <v>0</v>
      </c>
      <c r="AE4" s="198">
        <f>ROUND(N(data!E89), 0)</f>
        <v>10640855</v>
      </c>
      <c r="AF4" s="198">
        <f>ROUND(N(data!E87), 0)</f>
        <v>8968751</v>
      </c>
      <c r="AG4" s="198">
        <f>ROUND(N(data!E90), 0)</f>
        <v>9225</v>
      </c>
      <c r="AH4" s="198">
        <f>ROUND(N(data!E91), 0)</f>
        <v>12230</v>
      </c>
      <c r="AI4" s="198">
        <f>ROUND(N(data!E92), 0)</f>
        <v>4306</v>
      </c>
      <c r="AJ4" s="198">
        <f>ROUND(N(data!E93), 0)</f>
        <v>121735</v>
      </c>
      <c r="AK4" s="271">
        <f>ROUND(N(data!E94), 2)</f>
        <v>21.77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104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104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104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95893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104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7039</v>
      </c>
      <c r="F8" s="271">
        <f>ROUND(N(data!I60), 2)</f>
        <v>28.67</v>
      </c>
      <c r="G8" s="198">
        <f>ROUND(N(data!I61), 0)</f>
        <v>2916261</v>
      </c>
      <c r="H8" s="198">
        <f>ROUND(N(data!I62), 0)</f>
        <v>830187</v>
      </c>
      <c r="I8" s="198">
        <f>ROUND(N(data!I63), 0)</f>
        <v>0</v>
      </c>
      <c r="J8" s="198">
        <f>ROUND(N(data!I64), 0)</f>
        <v>181679</v>
      </c>
      <c r="K8" s="198">
        <f>ROUND(N(data!I65), 0)</f>
        <v>60191</v>
      </c>
      <c r="L8" s="198">
        <f>ROUND(N(data!I66), 0)</f>
        <v>338862</v>
      </c>
      <c r="M8" s="198">
        <f>ROUND(N(data!I67), 0)</f>
        <v>403037</v>
      </c>
      <c r="N8" s="198">
        <f>ROUND(N(data!I68), 0)</f>
        <v>3002</v>
      </c>
      <c r="O8" s="198">
        <f>ROUND(N(data!I69), 0)</f>
        <v>26972</v>
      </c>
      <c r="P8" s="198">
        <f>ROUND(N(data!I70), 0)</f>
        <v>0</v>
      </c>
      <c r="Q8" s="198">
        <f>ROUND(N(data!I71), 0)</f>
        <v>0</v>
      </c>
      <c r="R8" s="198">
        <f>ROUND(N(data!I72), 0)</f>
        <v>13238</v>
      </c>
      <c r="S8" s="198">
        <f>ROUND(N(data!I73), 0)</f>
        <v>12410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1324</v>
      </c>
      <c r="AD8" s="198">
        <f>ROUND(N(data!I84), 0)</f>
        <v>0</v>
      </c>
      <c r="AE8" s="198">
        <f>ROUND(N(data!I89), 0)</f>
        <v>8417404</v>
      </c>
      <c r="AF8" s="198">
        <f>ROUND(N(data!I87), 0)</f>
        <v>7692684</v>
      </c>
      <c r="AG8" s="198">
        <f>ROUND(N(data!I90), 0)</f>
        <v>0</v>
      </c>
      <c r="AH8" s="198">
        <f>ROUND(N(data!I91), 0)</f>
        <v>20818</v>
      </c>
      <c r="AI8" s="198">
        <f>ROUND(N(data!I92), 0)</f>
        <v>7277</v>
      </c>
      <c r="AJ8" s="198">
        <f>ROUND(N(data!I93), 0)</f>
        <v>10487</v>
      </c>
      <c r="AK8" s="271">
        <f>ROUND(N(data!I94), 2)</f>
        <v>9.32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104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104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104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104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104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1.37</v>
      </c>
      <c r="G13" s="198">
        <f>ROUND(N(data!N61), 0)</f>
        <v>109009</v>
      </c>
      <c r="H13" s="198">
        <f>ROUND(N(data!N62), 0)</f>
        <v>50479</v>
      </c>
      <c r="I13" s="198">
        <f>ROUND(N(data!N63), 0)</f>
        <v>500</v>
      </c>
      <c r="J13" s="198">
        <f>ROUND(N(data!N64), 0)</f>
        <v>581</v>
      </c>
      <c r="K13" s="198">
        <f>ROUND(N(data!N65), 0)</f>
        <v>0</v>
      </c>
      <c r="L13" s="198">
        <f>ROUND(N(data!N66), 0)</f>
        <v>1574445</v>
      </c>
      <c r="M13" s="198">
        <f>ROUND(N(data!N67), 0)</f>
        <v>0</v>
      </c>
      <c r="N13" s="198">
        <f>ROUND(N(data!N68), 0)</f>
        <v>0</v>
      </c>
      <c r="O13" s="198">
        <f>ROUND(N(data!N69), 0)</f>
        <v>2395</v>
      </c>
      <c r="P13" s="198">
        <f>ROUND(N(data!N70), 0)</f>
        <v>0</v>
      </c>
      <c r="Q13" s="198">
        <f>ROUND(N(data!N71), 0)</f>
        <v>0</v>
      </c>
      <c r="R13" s="198">
        <f>ROUND(N(data!N72), 0)</f>
        <v>956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1439</v>
      </c>
      <c r="AD13" s="198">
        <f>ROUND(N(data!N84), 0)</f>
        <v>0</v>
      </c>
      <c r="AE13" s="198">
        <f>ROUND(N(data!N89), 0)</f>
        <v>459374</v>
      </c>
      <c r="AF13" s="198">
        <f>ROUND(N(data!N87), 0)</f>
        <v>242970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104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104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111841</v>
      </c>
      <c r="F15" s="271">
        <f>ROUND(N(data!P60), 2)</f>
        <v>8.35</v>
      </c>
      <c r="G15" s="198">
        <f>ROUND(N(data!P61), 0)</f>
        <v>1211449</v>
      </c>
      <c r="H15" s="198">
        <f>ROUND(N(data!P62), 0)</f>
        <v>267848</v>
      </c>
      <c r="I15" s="198">
        <f>ROUND(N(data!P63), 0)</f>
        <v>0</v>
      </c>
      <c r="J15" s="198">
        <f>ROUND(N(data!P64), 0)</f>
        <v>3186101</v>
      </c>
      <c r="K15" s="198">
        <f>ROUND(N(data!P65), 0)</f>
        <v>475</v>
      </c>
      <c r="L15" s="198">
        <f>ROUND(N(data!P66), 0)</f>
        <v>192885</v>
      </c>
      <c r="M15" s="198">
        <f>ROUND(N(data!P67), 0)</f>
        <v>131068</v>
      </c>
      <c r="N15" s="198">
        <f>ROUND(N(data!P68), 0)</f>
        <v>126001</v>
      </c>
      <c r="O15" s="198">
        <f>ROUND(N(data!P69), 0)</f>
        <v>119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119</v>
      </c>
      <c r="AD15" s="198">
        <f>ROUND(N(data!P84), 0)</f>
        <v>0</v>
      </c>
      <c r="AE15" s="198">
        <f>ROUND(N(data!P89), 0)</f>
        <v>28099258</v>
      </c>
      <c r="AF15" s="198">
        <f>ROUND(N(data!P87), 0)</f>
        <v>5668934</v>
      </c>
      <c r="AG15" s="198">
        <f>ROUND(N(data!P90), 0)</f>
        <v>6449</v>
      </c>
      <c r="AH15" s="198">
        <f>ROUND(N(data!P91), 0)</f>
        <v>0</v>
      </c>
      <c r="AI15" s="198">
        <f>ROUND(N(data!P92), 0)</f>
        <v>2530</v>
      </c>
      <c r="AJ15" s="198">
        <f>ROUND(N(data!P93), 0)</f>
        <v>55293</v>
      </c>
      <c r="AK15" s="271">
        <f>ROUND(N(data!P94), 2)</f>
        <v>3.99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104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99732</v>
      </c>
      <c r="F16" s="271">
        <f>ROUND(N(data!Q60), 2)</f>
        <v>2.87</v>
      </c>
      <c r="G16" s="198">
        <f>ROUND(N(data!Q61), 0)</f>
        <v>429912</v>
      </c>
      <c r="H16" s="198">
        <f>ROUND(N(data!Q62), 0)</f>
        <v>118319</v>
      </c>
      <c r="I16" s="198">
        <f>ROUND(N(data!Q63), 0)</f>
        <v>0</v>
      </c>
      <c r="J16" s="198">
        <f>ROUND(N(data!Q64), 0)</f>
        <v>8913</v>
      </c>
      <c r="K16" s="198">
        <f>ROUND(N(data!Q65), 0)</f>
        <v>0</v>
      </c>
      <c r="L16" s="198">
        <f>ROUND(N(data!Q66), 0)</f>
        <v>0</v>
      </c>
      <c r="M16" s="198">
        <f>ROUND(N(data!Q67), 0)</f>
        <v>41850</v>
      </c>
      <c r="N16" s="198">
        <f>ROUND(N(data!Q68), 0)</f>
        <v>0</v>
      </c>
      <c r="O16" s="198">
        <f>ROUND(N(data!Q69), 0)</f>
        <v>55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55</v>
      </c>
      <c r="AD16" s="198">
        <f>ROUND(N(data!Q84), 0)</f>
        <v>0</v>
      </c>
      <c r="AE16" s="198">
        <f>ROUND(N(data!Q89), 0)</f>
        <v>2199851</v>
      </c>
      <c r="AF16" s="198">
        <f>ROUND(N(data!Q87), 0)</f>
        <v>337450</v>
      </c>
      <c r="AG16" s="198">
        <f>ROUND(N(data!Q90), 0)</f>
        <v>4545</v>
      </c>
      <c r="AH16" s="198">
        <f>ROUND(N(data!Q91), 0)</f>
        <v>0</v>
      </c>
      <c r="AI16" s="198">
        <f>ROUND(N(data!Q92), 0)</f>
        <v>280</v>
      </c>
      <c r="AJ16" s="198">
        <f>ROUND(N(data!Q93), 0)</f>
        <v>0</v>
      </c>
      <c r="AK16" s="271">
        <f>ROUND(N(data!Q94), 2)</f>
        <v>2.87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104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120814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42800</v>
      </c>
      <c r="K17" s="198">
        <f>ROUND(N(data!R65), 0)</f>
        <v>0</v>
      </c>
      <c r="L17" s="198">
        <f>ROUND(N(data!R66), 0)</f>
        <v>696887</v>
      </c>
      <c r="M17" s="198">
        <f>ROUND(N(data!R67), 0)</f>
        <v>1676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3035352</v>
      </c>
      <c r="AF17" s="198">
        <f>ROUND(N(data!R87), 0)</f>
        <v>626418</v>
      </c>
      <c r="AG17" s="198">
        <f>ROUND(N(data!R90), 0)</f>
        <v>182</v>
      </c>
      <c r="AH17" s="198">
        <f>ROUND(N(data!R91), 0)</f>
        <v>0</v>
      </c>
      <c r="AI17" s="198">
        <f>ROUND(N(data!R92), 0)</f>
        <v>85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104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1.95</v>
      </c>
      <c r="G18" s="198">
        <f>ROUND(N(data!S61), 0)</f>
        <v>187781</v>
      </c>
      <c r="H18" s="198">
        <f>ROUND(N(data!S62), 0)</f>
        <v>49905</v>
      </c>
      <c r="I18" s="198">
        <f>ROUND(N(data!S63), 0)</f>
        <v>0</v>
      </c>
      <c r="J18" s="198">
        <f>ROUND(N(data!S64), 0)</f>
        <v>83015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104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104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179142</v>
      </c>
      <c r="F20" s="271">
        <f>ROUND(N(data!U60), 2)</f>
        <v>16.920000000000002</v>
      </c>
      <c r="G20" s="198">
        <f>ROUND(N(data!U61), 0)</f>
        <v>1498085</v>
      </c>
      <c r="H20" s="198">
        <f>ROUND(N(data!U62), 0)</f>
        <v>393382</v>
      </c>
      <c r="I20" s="198">
        <f>ROUND(N(data!U63), 0)</f>
        <v>8267</v>
      </c>
      <c r="J20" s="198">
        <f>ROUND(N(data!U64), 0)</f>
        <v>1145121</v>
      </c>
      <c r="K20" s="198">
        <f>ROUND(N(data!U65), 0)</f>
        <v>0</v>
      </c>
      <c r="L20" s="198">
        <f>ROUND(N(data!U66), 0)</f>
        <v>941768</v>
      </c>
      <c r="M20" s="198">
        <f>ROUND(N(data!U67), 0)</f>
        <v>47839</v>
      </c>
      <c r="N20" s="198">
        <f>ROUND(N(data!U68), 0)</f>
        <v>0</v>
      </c>
      <c r="O20" s="198">
        <f>ROUND(N(data!U69), 0)</f>
        <v>9533</v>
      </c>
      <c r="P20" s="198">
        <f>ROUND(N(data!U70), 0)</f>
        <v>0</v>
      </c>
      <c r="Q20" s="198">
        <f>ROUND(N(data!U71), 0)</f>
        <v>0</v>
      </c>
      <c r="R20" s="198">
        <f>ROUND(N(data!U72), 0)</f>
        <v>4957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4576</v>
      </c>
      <c r="AD20" s="198">
        <f>ROUND(N(data!U84), 0)</f>
        <v>0</v>
      </c>
      <c r="AE20" s="198">
        <f>ROUND(N(data!U89), 0)</f>
        <v>28705707</v>
      </c>
      <c r="AF20" s="198">
        <f>ROUND(N(data!U87), 0)</f>
        <v>5429985</v>
      </c>
      <c r="AG20" s="198">
        <f>ROUND(N(data!U90), 0)</f>
        <v>1280</v>
      </c>
      <c r="AH20" s="198">
        <f>ROUND(N(data!U91), 0)</f>
        <v>0</v>
      </c>
      <c r="AI20" s="198">
        <f>ROUND(N(data!U92), 0)</f>
        <v>598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104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909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309781</v>
      </c>
      <c r="AF21" s="198">
        <f>ROUND(N(data!V87), 0)</f>
        <v>59059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104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2.7</v>
      </c>
      <c r="G22" s="198">
        <f>ROUND(N(data!W61), 0)</f>
        <v>574538</v>
      </c>
      <c r="H22" s="198">
        <f>ROUND(N(data!W62), 0)</f>
        <v>37812</v>
      </c>
      <c r="I22" s="198">
        <f>ROUND(N(data!W63), 0)</f>
        <v>0</v>
      </c>
      <c r="J22" s="198">
        <f>ROUND(N(data!W64), 0)</f>
        <v>28010</v>
      </c>
      <c r="K22" s="198">
        <f>ROUND(N(data!W65), 0)</f>
        <v>0</v>
      </c>
      <c r="L22" s="198">
        <f>ROUND(N(data!W66), 0)</f>
        <v>79205</v>
      </c>
      <c r="M22" s="198">
        <f>ROUND(N(data!W67), 0)</f>
        <v>227525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9734604</v>
      </c>
      <c r="AF22" s="198">
        <f>ROUND(N(data!W87), 0)</f>
        <v>608454</v>
      </c>
      <c r="AG22" s="198">
        <f>ROUND(N(data!W90), 0)</f>
        <v>480</v>
      </c>
      <c r="AH22" s="198">
        <f>ROUND(N(data!W91), 0)</f>
        <v>0</v>
      </c>
      <c r="AI22" s="198">
        <f>ROUND(N(data!W92), 0)</f>
        <v>224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104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7.96</v>
      </c>
      <c r="G23" s="198">
        <f>ROUND(N(data!X61), 0)</f>
        <v>1215792</v>
      </c>
      <c r="H23" s="198">
        <f>ROUND(N(data!X62), 0)</f>
        <v>211443</v>
      </c>
      <c r="I23" s="198">
        <f>ROUND(N(data!X63), 0)</f>
        <v>0</v>
      </c>
      <c r="J23" s="198">
        <f>ROUND(N(data!X64), 0)</f>
        <v>3535</v>
      </c>
      <c r="K23" s="198">
        <f>ROUND(N(data!X65), 0)</f>
        <v>0</v>
      </c>
      <c r="L23" s="198">
        <f>ROUND(N(data!X66), 0)</f>
        <v>74041</v>
      </c>
      <c r="M23" s="198">
        <f>ROUND(N(data!X67), 0)</f>
        <v>85336</v>
      </c>
      <c r="N23" s="198">
        <f>ROUND(N(data!X68), 0)</f>
        <v>0</v>
      </c>
      <c r="O23" s="198">
        <f>ROUND(N(data!X69), 0)</f>
        <v>280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280</v>
      </c>
      <c r="AD23" s="198">
        <f>ROUND(N(data!X84), 0)</f>
        <v>0</v>
      </c>
      <c r="AE23" s="198">
        <f>ROUND(N(data!X89), 0)</f>
        <v>42453979</v>
      </c>
      <c r="AF23" s="198">
        <f>ROUND(N(data!X87), 0)</f>
        <v>4516237</v>
      </c>
      <c r="AG23" s="198">
        <f>ROUND(N(data!X90), 0)</f>
        <v>405</v>
      </c>
      <c r="AH23" s="198">
        <f>ROUND(N(data!X91), 0)</f>
        <v>0</v>
      </c>
      <c r="AI23" s="198">
        <f>ROUND(N(data!X92), 0)</f>
        <v>188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104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7.69</v>
      </c>
      <c r="G24" s="198">
        <f>ROUND(N(data!Y61), 0)</f>
        <v>1269587</v>
      </c>
      <c r="H24" s="198">
        <f>ROUND(N(data!Y62), 0)</f>
        <v>144826</v>
      </c>
      <c r="I24" s="198">
        <f>ROUND(N(data!Y63), 0)</f>
        <v>0</v>
      </c>
      <c r="J24" s="198">
        <f>ROUND(N(data!Y64), 0)</f>
        <v>166772</v>
      </c>
      <c r="K24" s="198">
        <f>ROUND(N(data!Y65), 0)</f>
        <v>0</v>
      </c>
      <c r="L24" s="198">
        <f>ROUND(N(data!Y66), 0)</f>
        <v>154187</v>
      </c>
      <c r="M24" s="198">
        <f>ROUND(N(data!Y67), 0)</f>
        <v>69872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15819516</v>
      </c>
      <c r="AF24" s="198">
        <f>ROUND(N(data!Y87), 0)</f>
        <v>1193475</v>
      </c>
      <c r="AG24" s="198">
        <f>ROUND(N(data!Y90), 0)</f>
        <v>3578</v>
      </c>
      <c r="AH24" s="198">
        <f>ROUND(N(data!Y91), 0)</f>
        <v>0</v>
      </c>
      <c r="AI24" s="198">
        <f>ROUND(N(data!Y92), 0)</f>
        <v>1189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104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104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199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104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5.14</v>
      </c>
      <c r="G27" s="198">
        <f>ROUND(N(data!AB61), 0)</f>
        <v>816958</v>
      </c>
      <c r="H27" s="198">
        <f>ROUND(N(data!AB62), 0)</f>
        <v>206517</v>
      </c>
      <c r="I27" s="198">
        <f>ROUND(N(data!AB63), 0)</f>
        <v>0</v>
      </c>
      <c r="J27" s="198">
        <f>ROUND(N(data!AB64), 0)</f>
        <v>768100</v>
      </c>
      <c r="K27" s="198">
        <f>ROUND(N(data!AB65), 0)</f>
        <v>0</v>
      </c>
      <c r="L27" s="198">
        <f>ROUND(N(data!AB66), 0)</f>
        <v>24914</v>
      </c>
      <c r="M27" s="198">
        <f>ROUND(N(data!AB67), 0)</f>
        <v>7468</v>
      </c>
      <c r="N27" s="198">
        <f>ROUND(N(data!AB68), 0)</f>
        <v>162485</v>
      </c>
      <c r="O27" s="198">
        <f>ROUND(N(data!AB69), 0)</f>
        <v>2628</v>
      </c>
      <c r="P27" s="198">
        <f>ROUND(N(data!AB70), 0)</f>
        <v>0</v>
      </c>
      <c r="Q27" s="198">
        <f>ROUND(N(data!AB71), 0)</f>
        <v>0</v>
      </c>
      <c r="R27" s="198">
        <f>ROUND(N(data!AB72), 0)</f>
        <v>2628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0</v>
      </c>
      <c r="AE27" s="198">
        <f>ROUND(N(data!AB89), 0)</f>
        <v>11845937</v>
      </c>
      <c r="AF27" s="198">
        <f>ROUND(N(data!AB87), 0)</f>
        <v>5835408</v>
      </c>
      <c r="AG27" s="198">
        <f>ROUND(N(data!AB90), 0)</f>
        <v>811</v>
      </c>
      <c r="AH27" s="198">
        <f>ROUND(N(data!AB91), 0)</f>
        <v>0</v>
      </c>
      <c r="AI27" s="198">
        <f>ROUND(N(data!AB92), 0)</f>
        <v>378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104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1591</v>
      </c>
      <c r="F28" s="271">
        <f>ROUND(N(data!AC60), 2)</f>
        <v>4.7699999999999996</v>
      </c>
      <c r="G28" s="198">
        <f>ROUND(N(data!AC61), 0)</f>
        <v>563984</v>
      </c>
      <c r="H28" s="198">
        <f>ROUND(N(data!AC62), 0)</f>
        <v>125759</v>
      </c>
      <c r="I28" s="198">
        <f>ROUND(N(data!AC63), 0)</f>
        <v>0</v>
      </c>
      <c r="J28" s="198">
        <f>ROUND(N(data!AC64), 0)</f>
        <v>26335</v>
      </c>
      <c r="K28" s="198">
        <f>ROUND(N(data!AC65), 0)</f>
        <v>475</v>
      </c>
      <c r="L28" s="198">
        <f>ROUND(N(data!AC66), 0)</f>
        <v>188</v>
      </c>
      <c r="M28" s="198">
        <f>ROUND(N(data!AC67), 0)</f>
        <v>11264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839746</v>
      </c>
      <c r="AF28" s="198">
        <f>ROUND(N(data!AC87), 0)</f>
        <v>524250</v>
      </c>
      <c r="AG28" s="198">
        <f>ROUND(N(data!AC90), 0)</f>
        <v>765</v>
      </c>
      <c r="AH28" s="198">
        <f>ROUND(N(data!AC91), 0)</f>
        <v>0</v>
      </c>
      <c r="AI28" s="198">
        <f>ROUND(N(data!AC92), 0)</f>
        <v>356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104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104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7.9</v>
      </c>
      <c r="G30" s="198">
        <f>ROUND(N(data!AE61), 0)</f>
        <v>806229</v>
      </c>
      <c r="H30" s="198">
        <f>ROUND(N(data!AE62), 0)</f>
        <v>248504</v>
      </c>
      <c r="I30" s="198">
        <f>ROUND(N(data!AE63), 0)</f>
        <v>16983</v>
      </c>
      <c r="J30" s="198">
        <f>ROUND(N(data!AE64), 0)</f>
        <v>11538</v>
      </c>
      <c r="K30" s="198">
        <f>ROUND(N(data!AE65), 0)</f>
        <v>0</v>
      </c>
      <c r="L30" s="198">
        <f>ROUND(N(data!AE66), 0)</f>
        <v>137</v>
      </c>
      <c r="M30" s="198">
        <f>ROUND(N(data!AE67), 0)</f>
        <v>76170</v>
      </c>
      <c r="N30" s="198">
        <f>ROUND(N(data!AE68), 0)</f>
        <v>45868</v>
      </c>
      <c r="O30" s="198">
        <f>ROUND(N(data!AE69), 0)</f>
        <v>3010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3010</v>
      </c>
      <c r="AD30" s="198">
        <f>ROUND(N(data!AE84), 0)</f>
        <v>0</v>
      </c>
      <c r="AE30" s="198">
        <f>ROUND(N(data!AE89), 0)</f>
        <v>3707834</v>
      </c>
      <c r="AF30" s="198">
        <f>ROUND(N(data!AE87), 0)</f>
        <v>519376</v>
      </c>
      <c r="AG30" s="198">
        <f>ROUND(N(data!AE90), 0)</f>
        <v>260</v>
      </c>
      <c r="AH30" s="198">
        <f>ROUND(N(data!AE91), 0)</f>
        <v>0</v>
      </c>
      <c r="AI30" s="198">
        <f>ROUND(N(data!AE92), 0)</f>
        <v>121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104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104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19970</v>
      </c>
      <c r="F32" s="271">
        <f>ROUND(N(data!AG60), 2)</f>
        <v>30.12</v>
      </c>
      <c r="G32" s="198">
        <f>ROUND(N(data!AG61), 0)</f>
        <v>3546664</v>
      </c>
      <c r="H32" s="198">
        <f>ROUND(N(data!AG62), 0)</f>
        <v>841036</v>
      </c>
      <c r="I32" s="198">
        <f>ROUND(N(data!AG63), 0)</f>
        <v>663578</v>
      </c>
      <c r="J32" s="198">
        <f>ROUND(N(data!AG64), 0)</f>
        <v>607221</v>
      </c>
      <c r="K32" s="198">
        <f>ROUND(N(data!AG65), 0)</f>
        <v>910</v>
      </c>
      <c r="L32" s="198">
        <f>ROUND(N(data!AG66), 0)</f>
        <v>19182</v>
      </c>
      <c r="M32" s="198">
        <f>ROUND(N(data!AG67), 0)</f>
        <v>164813</v>
      </c>
      <c r="N32" s="198">
        <f>ROUND(N(data!AG68), 0)</f>
        <v>0</v>
      </c>
      <c r="O32" s="198">
        <f>ROUND(N(data!AG69), 0)</f>
        <v>2580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2580</v>
      </c>
      <c r="AD32" s="198">
        <f>ROUND(N(data!AG84), 0)</f>
        <v>0</v>
      </c>
      <c r="AE32" s="198">
        <f>ROUND(N(data!AG89), 0)</f>
        <v>60036022</v>
      </c>
      <c r="AF32" s="198">
        <f>ROUND(N(data!AG87), 0)</f>
        <v>5251497</v>
      </c>
      <c r="AG32" s="198">
        <f>ROUND(N(data!AG90), 0)</f>
        <v>7800</v>
      </c>
      <c r="AH32" s="198">
        <f>ROUND(N(data!AG91), 0)</f>
        <v>918</v>
      </c>
      <c r="AI32" s="198">
        <f>ROUND(N(data!AG92), 0)</f>
        <v>3641</v>
      </c>
      <c r="AJ32" s="198">
        <f>ROUND(N(data!AG93), 0)</f>
        <v>51990</v>
      </c>
      <c r="AK32" s="271">
        <f>ROUND(N(data!AG94), 2)</f>
        <v>21.27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104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104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280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104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2413</v>
      </c>
      <c r="F35" s="271">
        <f>ROUND(N(data!AJ60), 2)</f>
        <v>4.88</v>
      </c>
      <c r="G35" s="198">
        <f>ROUND(N(data!AJ61), 0)</f>
        <v>757501</v>
      </c>
      <c r="H35" s="198">
        <f>ROUND(N(data!AJ62), 0)</f>
        <v>150722</v>
      </c>
      <c r="I35" s="198">
        <f>ROUND(N(data!AJ63), 0)</f>
        <v>0</v>
      </c>
      <c r="J35" s="198">
        <f>ROUND(N(data!AJ64), 0)</f>
        <v>72671</v>
      </c>
      <c r="K35" s="198">
        <f>ROUND(N(data!AJ65), 0)</f>
        <v>0</v>
      </c>
      <c r="L35" s="198">
        <f>ROUND(N(data!AJ66), 0)</f>
        <v>90066</v>
      </c>
      <c r="M35" s="198">
        <f>ROUND(N(data!AJ67), 0)</f>
        <v>38862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2673903</v>
      </c>
      <c r="AF35" s="198">
        <f>ROUND(N(data!AJ87), 0)</f>
        <v>8</v>
      </c>
      <c r="AG35" s="198">
        <f>ROUND(N(data!AJ90), 0)</f>
        <v>3875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4.58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104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278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104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104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104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104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104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116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104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104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104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104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104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104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55662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3133</v>
      </c>
      <c r="AF47" s="198">
        <f>ROUND(N(data!AV87), 0)</f>
        <v>0</v>
      </c>
      <c r="AG47" s="198">
        <f>ROUND(N(data!AV90), 0)</f>
        <v>6045</v>
      </c>
      <c r="AH47" s="198">
        <f>ROUND(N(data!AV91), 0)</f>
        <v>0</v>
      </c>
      <c r="AI47" s="198">
        <f>ROUND(N(data!AV92), 0)</f>
        <v>11561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104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104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69419</v>
      </c>
      <c r="M49" s="198">
        <f>ROUND(N(data!AX67), 0)</f>
        <v>0</v>
      </c>
      <c r="N49" s="198">
        <f>ROUND(N(data!AX68), 0)</f>
        <v>0</v>
      </c>
      <c r="O49" s="198">
        <f>ROUND(N(data!AX69), 0)</f>
        <v>5947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5947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104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0</v>
      </c>
      <c r="G50" s="198">
        <f>ROUND(N(data!AY61), 0)</f>
        <v>0</v>
      </c>
      <c r="H50" s="198">
        <f>ROUND(N(data!AY62), 0)</f>
        <v>0</v>
      </c>
      <c r="I50" s="198">
        <f>ROUND(N(data!AY63), 0)</f>
        <v>0</v>
      </c>
      <c r="J50" s="198">
        <f>ROUND(N(data!AY64), 0)</f>
        <v>0</v>
      </c>
      <c r="K50" s="198">
        <f>ROUND(N(data!AY65), 0)</f>
        <v>0</v>
      </c>
      <c r="L50" s="198">
        <f>ROUND(N(data!AY66), 0)</f>
        <v>0</v>
      </c>
      <c r="M50" s="198">
        <f>ROUND(N(data!AY67), 0)</f>
        <v>0</v>
      </c>
      <c r="N50" s="198">
        <f>ROUND(N(data!AY68), 0)</f>
        <v>0</v>
      </c>
      <c r="O50" s="198">
        <f>ROUND(N(data!AY69), 0)</f>
        <v>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104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15.67</v>
      </c>
      <c r="G51" s="198">
        <f>ROUND(N(data!AZ61), 0)</f>
        <v>955827</v>
      </c>
      <c r="H51" s="198">
        <f>ROUND(N(data!AZ62), 0)</f>
        <v>266258</v>
      </c>
      <c r="I51" s="198">
        <f>ROUND(N(data!AZ63), 0)</f>
        <v>108214</v>
      </c>
      <c r="J51" s="198">
        <f>ROUND(N(data!AZ64), 0)</f>
        <v>346301</v>
      </c>
      <c r="K51" s="198">
        <f>ROUND(N(data!AZ65), 0)</f>
        <v>0</v>
      </c>
      <c r="L51" s="198">
        <f>ROUND(N(data!AZ66), 0)</f>
        <v>18822</v>
      </c>
      <c r="M51" s="198">
        <f>ROUND(N(data!AZ67), 0)</f>
        <v>41710</v>
      </c>
      <c r="N51" s="198">
        <f>ROUND(N(data!AZ68), 0)</f>
        <v>0</v>
      </c>
      <c r="O51" s="198">
        <f>ROUND(N(data!AZ69), 0)</f>
        <v>1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1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4436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104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293503</v>
      </c>
      <c r="M52" s="198">
        <f>ROUND(N(data!BA67), 0)</f>
        <v>3803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413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104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104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104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-1995</v>
      </c>
      <c r="K55" s="198">
        <f>ROUND(N(data!BD65), 0)</f>
        <v>0</v>
      </c>
      <c r="L55" s="198">
        <f>ROUND(N(data!BD66), 0)</f>
        <v>4184</v>
      </c>
      <c r="M55" s="198">
        <f>ROUND(N(data!BD67), 0)</f>
        <v>29650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3220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104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83652</v>
      </c>
      <c r="F56" s="271">
        <f>ROUND(N(data!BE60), 2)</f>
        <v>5.74</v>
      </c>
      <c r="G56" s="198">
        <f>ROUND(N(data!BE61), 0)</f>
        <v>532662</v>
      </c>
      <c r="H56" s="198">
        <f>ROUND(N(data!BE62), 0)</f>
        <v>132710</v>
      </c>
      <c r="I56" s="198">
        <f>ROUND(N(data!BE63), 0)</f>
        <v>0</v>
      </c>
      <c r="J56" s="198">
        <f>ROUND(N(data!BE64), 0)</f>
        <v>157805</v>
      </c>
      <c r="K56" s="198">
        <f>ROUND(N(data!BE65), 0)</f>
        <v>528063</v>
      </c>
      <c r="L56" s="198">
        <f>ROUND(N(data!BE66), 0)</f>
        <v>524580</v>
      </c>
      <c r="M56" s="198">
        <f>ROUND(N(data!BE67), 0)</f>
        <v>520904</v>
      </c>
      <c r="N56" s="198">
        <f>ROUND(N(data!BE68), 0)</f>
        <v>1581</v>
      </c>
      <c r="O56" s="198">
        <f>ROUND(N(data!BE69), 0)</f>
        <v>745</v>
      </c>
      <c r="P56" s="198">
        <f>ROUND(N(data!BE70), 0)</f>
        <v>0</v>
      </c>
      <c r="Q56" s="198">
        <f>ROUND(N(data!BE71), 0)</f>
        <v>0</v>
      </c>
      <c r="R56" s="198">
        <f>ROUND(N(data!BE72), 0)</f>
        <v>745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10476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104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16.579999999999998</v>
      </c>
      <c r="G57" s="198">
        <f>ROUND(N(data!BF61), 0)</f>
        <v>996074</v>
      </c>
      <c r="H57" s="198">
        <f>ROUND(N(data!BF62), 0)</f>
        <v>365817</v>
      </c>
      <c r="I57" s="198">
        <f>ROUND(N(data!BF63), 0)</f>
        <v>0</v>
      </c>
      <c r="J57" s="198">
        <f>ROUND(N(data!BF64), 0)</f>
        <v>70365</v>
      </c>
      <c r="K57" s="198">
        <f>ROUND(N(data!BF65), 0)</f>
        <v>-10000</v>
      </c>
      <c r="L57" s="198">
        <f>ROUND(N(data!BF66), 0)</f>
        <v>121152</v>
      </c>
      <c r="M57" s="198">
        <f>ROUND(N(data!BF67), 0)</f>
        <v>3545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385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104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49026</v>
      </c>
      <c r="K58" s="198">
        <f>ROUND(N(data!BG65), 0)</f>
        <v>2659</v>
      </c>
      <c r="L58" s="198">
        <f>ROUND(N(data!BG66), 0)</f>
        <v>5393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104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2256866</v>
      </c>
      <c r="M59" s="198">
        <f>ROUND(N(data!BH67), 0)</f>
        <v>224656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1710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104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-0.03</v>
      </c>
      <c r="G60" s="198">
        <f>ROUND(N(data!BI61), 0)</f>
        <v>30324</v>
      </c>
      <c r="H60" s="198">
        <f>ROUND(N(data!BI62), 0)</f>
        <v>0</v>
      </c>
      <c r="I60" s="198">
        <f>ROUND(N(data!BI63), 0)</f>
        <v>6027</v>
      </c>
      <c r="J60" s="198">
        <f>ROUND(N(data!BI64), 0)</f>
        <v>0</v>
      </c>
      <c r="K60" s="198">
        <f>ROUND(N(data!BI65), 0)</f>
        <v>0</v>
      </c>
      <c r="L60" s="198">
        <f>ROUND(N(data!BI66), 0)</f>
        <v>545</v>
      </c>
      <c r="M60" s="198">
        <f>ROUND(N(data!BI67), 0)</f>
        <v>0</v>
      </c>
      <c r="N60" s="198">
        <f>ROUND(N(data!BI68), 0)</f>
        <v>33264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104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60903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-127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40</v>
      </c>
      <c r="AB61" s="198">
        <f>ROUND(N(data!BJ82), 0)</f>
        <v>0</v>
      </c>
      <c r="AC61" s="198">
        <f>ROUND(N(data!BJ83), 0)</f>
        <v>-167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104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112</v>
      </c>
      <c r="J62" s="198">
        <f>ROUND(N(data!BK64), 0)</f>
        <v>944</v>
      </c>
      <c r="K62" s="198">
        <f>ROUND(N(data!BK65), 0)</f>
        <v>0</v>
      </c>
      <c r="L62" s="198">
        <f>ROUND(N(data!BK66), 0)</f>
        <v>2774394</v>
      </c>
      <c r="M62" s="198">
        <f>ROUND(N(data!BK67), 0)</f>
        <v>11050</v>
      </c>
      <c r="N62" s="198">
        <f>ROUND(N(data!BK68), 0)</f>
        <v>0</v>
      </c>
      <c r="O62" s="198">
        <f>ROUND(N(data!BK69), 0)</f>
        <v>51064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51064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1200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104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2904</v>
      </c>
      <c r="K63" s="198">
        <f>ROUND(N(data!BL65), 0)</f>
        <v>0</v>
      </c>
      <c r="L63" s="198">
        <f>ROUND(N(data!BL66), 0)</f>
        <v>0</v>
      </c>
      <c r="M63" s="198">
        <f>ROUND(N(data!BL67), 0)</f>
        <v>3867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420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104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104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6.81</v>
      </c>
      <c r="G65" s="198">
        <f>ROUND(N(data!BN61), 0)</f>
        <v>1680452</v>
      </c>
      <c r="H65" s="198">
        <f>ROUND(N(data!BN62), 0)</f>
        <v>461596</v>
      </c>
      <c r="I65" s="198">
        <f>ROUND(N(data!BN63), 0)</f>
        <v>110042</v>
      </c>
      <c r="J65" s="198">
        <f>ROUND(N(data!BN64), 0)</f>
        <v>41108</v>
      </c>
      <c r="K65" s="198">
        <f>ROUND(N(data!BN65), 0)</f>
        <v>0</v>
      </c>
      <c r="L65" s="198">
        <f>ROUND(N(data!BN66), 0)</f>
        <v>742916</v>
      </c>
      <c r="M65" s="198">
        <f>ROUND(N(data!BN67), 0)</f>
        <v>149732</v>
      </c>
      <c r="N65" s="198">
        <f>ROUND(N(data!BN68), 0)</f>
        <v>45609</v>
      </c>
      <c r="O65" s="198">
        <f>ROUND(N(data!BN69), 0)</f>
        <v>225459</v>
      </c>
      <c r="P65" s="198">
        <f>ROUND(N(data!BN70), 0)</f>
        <v>0</v>
      </c>
      <c r="Q65" s="198">
        <f>ROUND(N(data!BN71), 0)</f>
        <v>0</v>
      </c>
      <c r="R65" s="198">
        <f>ROUND(N(data!BN72), 0)</f>
        <v>18648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206812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8323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104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0.4</v>
      </c>
      <c r="G66" s="198">
        <f>ROUND(N(data!BO61), 0)</f>
        <v>59950</v>
      </c>
      <c r="H66" s="198">
        <f>ROUND(N(data!BO62), 0)</f>
        <v>35317</v>
      </c>
      <c r="I66" s="198">
        <f>ROUND(N(data!BO63), 0)</f>
        <v>0</v>
      </c>
      <c r="J66" s="198">
        <f>ROUND(N(data!BO64), 0)</f>
        <v>3883</v>
      </c>
      <c r="K66" s="198">
        <f>ROUND(N(data!BO65), 0)</f>
        <v>0</v>
      </c>
      <c r="L66" s="198">
        <f>ROUND(N(data!BO66), 0)</f>
        <v>79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104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1690</v>
      </c>
      <c r="K67" s="198">
        <f>ROUND(N(data!BP65), 0)</f>
        <v>0</v>
      </c>
      <c r="L67" s="198">
        <f>ROUND(N(data!BP66), 0)</f>
        <v>120399</v>
      </c>
      <c r="M67" s="198">
        <f>ROUND(N(data!BP67), 0)</f>
        <v>0</v>
      </c>
      <c r="N67" s="198">
        <f>ROUND(N(data!BP68), 0)</f>
        <v>0</v>
      </c>
      <c r="O67" s="198">
        <f>ROUND(N(data!BP69), 0)</f>
        <v>5750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5750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104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104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3</v>
      </c>
      <c r="G69" s="198">
        <f>ROUND(N(data!BR61), 0)</f>
        <v>336794</v>
      </c>
      <c r="H69" s="198">
        <f>ROUND(N(data!BR62), 0)</f>
        <v>113775</v>
      </c>
      <c r="I69" s="198">
        <f>ROUND(N(data!BR63), 0)</f>
        <v>107129</v>
      </c>
      <c r="J69" s="198">
        <f>ROUND(N(data!BR64), 0)</f>
        <v>1084</v>
      </c>
      <c r="K69" s="198">
        <f>ROUND(N(data!BR65), 0)</f>
        <v>0</v>
      </c>
      <c r="L69" s="198">
        <f>ROUND(N(data!BR66), 0)</f>
        <v>113518</v>
      </c>
      <c r="M69" s="198">
        <f>ROUND(N(data!BR67), 0)</f>
        <v>0</v>
      </c>
      <c r="N69" s="198">
        <f>ROUND(N(data!BR68), 0)</f>
        <v>0</v>
      </c>
      <c r="O69" s="198">
        <f>ROUND(N(data!BR69), 0)</f>
        <v>1049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1049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104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104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104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104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443</v>
      </c>
      <c r="K73" s="198">
        <f>ROUND(N(data!BV65), 0)</f>
        <v>0</v>
      </c>
      <c r="L73" s="198">
        <f>ROUND(N(data!BV66), 0)</f>
        <v>0</v>
      </c>
      <c r="M73" s="198">
        <f>ROUND(N(data!BV67), 0)</f>
        <v>25110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2727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104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0.8</v>
      </c>
      <c r="G74" s="198">
        <f>ROUND(N(data!BW61), 0)</f>
        <v>87075</v>
      </c>
      <c r="H74" s="198">
        <f>ROUND(N(data!BW62), 0)</f>
        <v>37080</v>
      </c>
      <c r="I74" s="198">
        <f>ROUND(N(data!BW63), 0)</f>
        <v>660910</v>
      </c>
      <c r="J74" s="198">
        <f>ROUND(N(data!BW64), 0)</f>
        <v>1120</v>
      </c>
      <c r="K74" s="198">
        <f>ROUND(N(data!BW65), 0)</f>
        <v>0</v>
      </c>
      <c r="L74" s="198">
        <f>ROUND(N(data!BW66), 0)</f>
        <v>14487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104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3.8</v>
      </c>
      <c r="G75" s="198">
        <f>ROUND(N(data!BX61), 0)</f>
        <v>464264</v>
      </c>
      <c r="H75" s="198">
        <f>ROUND(N(data!BX62), 0)</f>
        <v>98730</v>
      </c>
      <c r="I75" s="198">
        <f>ROUND(N(data!BX63), 0)</f>
        <v>0</v>
      </c>
      <c r="J75" s="198">
        <f>ROUND(N(data!BX64), 0)</f>
        <v>588</v>
      </c>
      <c r="K75" s="198">
        <f>ROUND(N(data!BX65), 0)</f>
        <v>359</v>
      </c>
      <c r="L75" s="198">
        <f>ROUND(N(data!BX66), 0)</f>
        <v>143424</v>
      </c>
      <c r="M75" s="198">
        <f>ROUND(N(data!BX67), 0)</f>
        <v>0</v>
      </c>
      <c r="N75" s="198">
        <f>ROUND(N(data!BX68), 0)</f>
        <v>0</v>
      </c>
      <c r="O75" s="198">
        <f>ROUND(N(data!BX69), 0)</f>
        <v>2256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2256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104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5.37</v>
      </c>
      <c r="G76" s="198">
        <f>ROUND(N(data!BY61), 0)</f>
        <v>744315</v>
      </c>
      <c r="H76" s="198">
        <f>ROUND(N(data!BY62), 0)</f>
        <v>155470</v>
      </c>
      <c r="I76" s="198">
        <f>ROUND(N(data!BY63), 0)</f>
        <v>0</v>
      </c>
      <c r="J76" s="198">
        <f>ROUND(N(data!BY64), 0)</f>
        <v>1015</v>
      </c>
      <c r="K76" s="198">
        <f>ROUND(N(data!BY65), 0)</f>
        <v>475</v>
      </c>
      <c r="L76" s="198">
        <f>ROUND(N(data!BY66), 0)</f>
        <v>0</v>
      </c>
      <c r="M76" s="198">
        <f>ROUND(N(data!BY67), 0)</f>
        <v>6878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747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104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104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0.31</v>
      </c>
      <c r="G78" s="198">
        <f>ROUND(N(data!CA61), 0)</f>
        <v>38757</v>
      </c>
      <c r="H78" s="198">
        <f>ROUND(N(data!CA62), 0)</f>
        <v>14028</v>
      </c>
      <c r="I78" s="198">
        <f>ROUND(N(data!CA63), 0)</f>
        <v>0</v>
      </c>
      <c r="J78" s="198">
        <f>ROUND(N(data!CA64), 0)</f>
        <v>10504</v>
      </c>
      <c r="K78" s="198">
        <f>ROUND(N(data!CA65), 0)</f>
        <v>0</v>
      </c>
      <c r="L78" s="198">
        <f>ROUND(N(data!CA66), 0)</f>
        <v>0</v>
      </c>
      <c r="M78" s="198">
        <f>ROUND(N(data!CA67), 0)</f>
        <v>4187</v>
      </c>
      <c r="N78" s="198">
        <f>ROUND(N(data!CA68), 0)</f>
        <v>0</v>
      </c>
      <c r="O78" s="198">
        <f>ROUND(N(data!CA69), 0)</f>
        <v>24716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24716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104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104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1.54</v>
      </c>
      <c r="G80" s="198">
        <f>ROUND(N(data!CC61), 0)</f>
        <v>422450</v>
      </c>
      <c r="H80" s="198">
        <f>ROUND(N(data!CC62), 0)</f>
        <v>590745</v>
      </c>
      <c r="I80" s="198">
        <f>ROUND(N(data!CC63), 0)</f>
        <v>10989</v>
      </c>
      <c r="J80" s="198">
        <f>ROUND(N(data!CC64), 0)</f>
        <v>4222</v>
      </c>
      <c r="K80" s="198">
        <f>ROUND(N(data!CC65), 0)</f>
        <v>0</v>
      </c>
      <c r="L80" s="198">
        <f>ROUND(N(data!CC66), 0)</f>
        <v>2602905</v>
      </c>
      <c r="M80" s="198">
        <f>ROUND(N(data!CC67), 0)</f>
        <v>154114</v>
      </c>
      <c r="N80" s="198">
        <f>ROUND(N(data!CC68), 0)</f>
        <v>86425</v>
      </c>
      <c r="O80" s="198">
        <f>ROUND(N(data!CC69), 0)</f>
        <v>1460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1460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1695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/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EvergreenHealth Monroe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H-104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14701 179th Ave SE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14701 179th Ave SE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Monroe,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 t="s">
        <v>1370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1371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 t="s">
        <v>1372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 filterMode="1">
    <tabColor rgb="FF92D050"/>
  </sheetPr>
  <dimension ref="A2:M94"/>
  <sheetViews>
    <sheetView zoomScale="85" zoomScaleNormal="85" workbookViewId="0">
      <pane xSplit="1" ySplit="14" topLeftCell="B103" activePane="bottomRight" state="frozen"/>
      <selection pane="topRight" activeCell="B1" sqref="B1"/>
      <selection pane="bottomLeft" activeCell="A15" sqref="A15"/>
      <selection pane="bottomRight" activeCell="I95" sqref="I95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104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hidden="1" x14ac:dyDescent="0.25">
      <c r="A15" s="1" t="s">
        <v>732</v>
      </c>
      <c r="B15" s="228">
        <f>ROUND(N('Prior Year'!C85), 0)</f>
        <v>3167</v>
      </c>
      <c r="C15" s="228">
        <f>data!C85</f>
        <v>3181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hidden="1" x14ac:dyDescent="0.25">
      <c r="A16" s="1" t="s">
        <v>733</v>
      </c>
      <c r="B16" s="228">
        <f>ROUND(N('Prior Year'!D85), 0)</f>
        <v>1266409</v>
      </c>
      <c r="C16" s="228">
        <f>data!D85</f>
        <v>-9058.0299999999988</v>
      </c>
      <c r="D16" s="228">
        <f>ROUND(N('Prior Year'!D59), 0)</f>
        <v>528</v>
      </c>
      <c r="E16" s="1">
        <f>data!D59</f>
        <v>0</v>
      </c>
      <c r="F16" s="205">
        <f t="shared" si="0"/>
        <v>2398.501893939394</v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hidden="1" x14ac:dyDescent="0.25">
      <c r="A17" s="1" t="s">
        <v>734</v>
      </c>
      <c r="B17" s="228">
        <f>ROUND(N('Prior Year'!E85), 0)</f>
        <v>4026161</v>
      </c>
      <c r="C17" s="228">
        <f>data!E85</f>
        <v>5380030.1100000003</v>
      </c>
      <c r="D17" s="228">
        <f>ROUND(N('Prior Year'!E59), 0)</f>
        <v>3523</v>
      </c>
      <c r="E17" s="1">
        <f>data!E59</f>
        <v>4533.8900000000003</v>
      </c>
      <c r="F17" s="205">
        <f t="shared" si="0"/>
        <v>1142.821742832813</v>
      </c>
      <c r="G17" s="205">
        <f t="shared" si="1"/>
        <v>1186.625637146027</v>
      </c>
      <c r="H17" s="6" t="str">
        <f t="shared" si="2"/>
        <v/>
      </c>
      <c r="I17" s="228" t="str">
        <f t="shared" si="3"/>
        <v/>
      </c>
      <c r="M17" s="7"/>
    </row>
    <row r="18" spans="1:13" hidden="1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hidden="1" x14ac:dyDescent="0.25">
      <c r="A19" s="1" t="s">
        <v>736</v>
      </c>
      <c r="B19" s="228">
        <f>ROUND(N('Prior Year'!G85), 0)</f>
        <v>-1079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hidden="1" x14ac:dyDescent="0.25">
      <c r="A20" s="1" t="s">
        <v>737</v>
      </c>
      <c r="B20" s="228">
        <f>ROUND(N('Prior Year'!H85), 0)</f>
        <v>512651</v>
      </c>
      <c r="C20" s="228">
        <f>data!H85</f>
        <v>95893.4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hidden="1" x14ac:dyDescent="0.25">
      <c r="A21" s="1" t="s">
        <v>738</v>
      </c>
      <c r="B21" s="228">
        <f>ROUND(N('Prior Year'!I85), 0)</f>
        <v>4527376</v>
      </c>
      <c r="C21" s="228">
        <f>data!I85</f>
        <v>4760190.0599999996</v>
      </c>
      <c r="D21" s="228">
        <f>ROUND(N('Prior Year'!I59), 0)</f>
        <v>5780</v>
      </c>
      <c r="E21" s="1">
        <f>data!I59</f>
        <v>7039</v>
      </c>
      <c r="F21" s="205">
        <f t="shared" si="0"/>
        <v>783.28304498269893</v>
      </c>
      <c r="G21" s="205">
        <f t="shared" si="1"/>
        <v>676.25942037221193</v>
      </c>
      <c r="H21" s="6" t="str">
        <f t="shared" si="2"/>
        <v/>
      </c>
      <c r="I21" s="228" t="str">
        <f t="shared" si="3"/>
        <v/>
      </c>
      <c r="M21" s="7"/>
    </row>
    <row r="22" spans="1:13" hidden="1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hidden="1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hidden="1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hidden="1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hidden="1" x14ac:dyDescent="0.25">
      <c r="A26" s="1" t="s">
        <v>743</v>
      </c>
      <c r="B26" s="1">
        <f>ROUND(N('Prior Year'!N85), 0)</f>
        <v>2198703</v>
      </c>
      <c r="C26" s="228">
        <f>data!N85</f>
        <v>1737409.72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hidden="1" x14ac:dyDescent="0.25">
      <c r="A27" s="1" t="s">
        <v>744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hidden="1" x14ac:dyDescent="0.25">
      <c r="A28" s="1" t="s">
        <v>745</v>
      </c>
      <c r="B28" s="228">
        <f>ROUND(N('Prior Year'!P85), 0)</f>
        <v>4742294</v>
      </c>
      <c r="C28" s="228">
        <f>data!P85</f>
        <v>5115946.8500000006</v>
      </c>
      <c r="D28" s="228">
        <f>ROUND(N('Prior Year'!P59), 0)</f>
        <v>117859</v>
      </c>
      <c r="E28" s="1">
        <f>data!P59</f>
        <v>111841</v>
      </c>
      <c r="F28" s="205">
        <f t="shared" si="0"/>
        <v>40.237012022840851</v>
      </c>
      <c r="G28" s="205">
        <f t="shared" si="1"/>
        <v>45.74303564882289</v>
      </c>
      <c r="H28" s="6" t="str">
        <f t="shared" si="2"/>
        <v/>
      </c>
      <c r="I28" s="228" t="str">
        <f t="shared" si="3"/>
        <v/>
      </c>
      <c r="M28" s="7"/>
    </row>
    <row r="29" spans="1:13" hidden="1" x14ac:dyDescent="0.25">
      <c r="A29" s="1" t="s">
        <v>746</v>
      </c>
      <c r="B29" s="228">
        <f>ROUND(N('Prior Year'!Q85), 0)</f>
        <v>590573</v>
      </c>
      <c r="C29" s="228">
        <f>data!Q85</f>
        <v>599048.76</v>
      </c>
      <c r="D29" s="228">
        <f>ROUND(N('Prior Year'!Q59), 0)</f>
        <v>82255</v>
      </c>
      <c r="E29" s="1">
        <f>data!Q59</f>
        <v>99732</v>
      </c>
      <c r="F29" s="205">
        <f t="shared" si="0"/>
        <v>7.1797823840496022</v>
      </c>
      <c r="G29" s="205">
        <f t="shared" si="1"/>
        <v>6.006585248465889</v>
      </c>
      <c r="H29" s="6" t="str">
        <f t="shared" si="2"/>
        <v/>
      </c>
      <c r="I29" s="228" t="str">
        <f t="shared" si="3"/>
        <v/>
      </c>
      <c r="M29" s="7"/>
    </row>
    <row r="30" spans="1:13" hidden="1" x14ac:dyDescent="0.25">
      <c r="A30" s="1" t="s">
        <v>747</v>
      </c>
      <c r="B30" s="228">
        <f>ROUND(N('Prior Year'!R85), 0)</f>
        <v>537493</v>
      </c>
      <c r="C30" s="228">
        <f>data!R85</f>
        <v>741362.75</v>
      </c>
      <c r="D30" s="228">
        <f>ROUND(N('Prior Year'!R59), 0)</f>
        <v>109015</v>
      </c>
      <c r="E30" s="1">
        <f>data!R59</f>
        <v>120814</v>
      </c>
      <c r="F30" s="205">
        <f t="shared" si="0"/>
        <v>4.9304499380819156</v>
      </c>
      <c r="G30" s="205">
        <f>IFERROR(IF(C30=0,"",IF(E30=0,"",C30/E30)),"")</f>
        <v>6.1363976856986771</v>
      </c>
      <c r="H30" s="6" t="str">
        <f t="shared" si="2"/>
        <v/>
      </c>
      <c r="I30" s="228" t="str">
        <f t="shared" si="3"/>
        <v/>
      </c>
      <c r="M30" s="7"/>
    </row>
    <row r="31" spans="1:13" hidden="1" x14ac:dyDescent="0.25">
      <c r="A31" s="1" t="s">
        <v>748</v>
      </c>
      <c r="B31" s="228">
        <f>ROUND(N('Prior Year'!S85), 0)</f>
        <v>367786</v>
      </c>
      <c r="C31" s="228">
        <f>data!S85</f>
        <v>320700.56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hidden="1" x14ac:dyDescent="0.25">
      <c r="A32" s="1" t="s">
        <v>750</v>
      </c>
      <c r="B32" s="228">
        <f>ROUND(N('Prior Year'!T85), 0)</f>
        <v>0</v>
      </c>
      <c r="C32" s="228">
        <f>data!T85</f>
        <v>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hidden="1" x14ac:dyDescent="0.25">
      <c r="A33" s="1" t="s">
        <v>751</v>
      </c>
      <c r="B33" s="228">
        <f>ROUND(N('Prior Year'!U85), 0)</f>
        <v>3618498</v>
      </c>
      <c r="C33" s="228">
        <f>data!U85</f>
        <v>4043994.28</v>
      </c>
      <c r="D33" s="228">
        <f>ROUND(N('Prior Year'!U59), 0)</f>
        <v>145223</v>
      </c>
      <c r="E33" s="1">
        <f>data!U59</f>
        <v>179142</v>
      </c>
      <c r="F33" s="205">
        <f t="shared" si="0"/>
        <v>24.916838241876288</v>
      </c>
      <c r="G33" s="205">
        <f t="shared" ref="G33:G69" si="4">IF(C33=0,"",IF(E33=0,"",C33/E33))</f>
        <v>22.574238760313047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hidden="1" x14ac:dyDescent="0.25">
      <c r="A34" s="1" t="s">
        <v>752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909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hidden="1" x14ac:dyDescent="0.25">
      <c r="A35" s="1" t="s">
        <v>753</v>
      </c>
      <c r="B35" s="228">
        <f>ROUND(N('Prior Year'!W85), 0)</f>
        <v>786789</v>
      </c>
      <c r="C35" s="228">
        <f>data!W85</f>
        <v>947089.33000000007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hidden="1" x14ac:dyDescent="0.25">
      <c r="A36" s="1" t="s">
        <v>754</v>
      </c>
      <c r="B36" s="228">
        <f>ROUND(N('Prior Year'!X85), 0)</f>
        <v>1263131</v>
      </c>
      <c r="C36" s="228">
        <f>data!X85</f>
        <v>1590426.91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hidden="1" x14ac:dyDescent="0.25">
      <c r="A37" s="1" t="s">
        <v>755</v>
      </c>
      <c r="B37" s="228">
        <f>ROUND(N('Prior Year'!Y85), 0)</f>
        <v>1623400</v>
      </c>
      <c r="C37" s="228">
        <f>data!Y85</f>
        <v>1805243.48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hidden="1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hidden="1" x14ac:dyDescent="0.25">
      <c r="A39" s="1" t="s">
        <v>757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hidden="1" x14ac:dyDescent="0.25">
      <c r="A40" s="1" t="s">
        <v>758</v>
      </c>
      <c r="B40" s="228">
        <f>ROUND(N('Prior Year'!AB85), 0)</f>
        <v>1998026</v>
      </c>
      <c r="C40" s="228">
        <f>data!AB85</f>
        <v>1989069.2499999998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hidden="1" x14ac:dyDescent="0.25">
      <c r="A41" s="1" t="s">
        <v>759</v>
      </c>
      <c r="B41" s="228">
        <f>ROUND(N('Prior Year'!AC85), 0)</f>
        <v>765037</v>
      </c>
      <c r="C41" s="228">
        <f>data!AC85</f>
        <v>728005.33000000007</v>
      </c>
      <c r="D41" s="228">
        <f>ROUND(N('Prior Year'!AC59), 0)</f>
        <v>1995</v>
      </c>
      <c r="E41" s="1">
        <f>data!AC59</f>
        <v>1591</v>
      </c>
      <c r="F41" s="205">
        <f t="shared" si="0"/>
        <v>383.47719298245613</v>
      </c>
      <c r="G41" s="205">
        <f t="shared" si="4"/>
        <v>457.57720301697049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hidden="1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hidden="1" x14ac:dyDescent="0.25">
      <c r="A43" s="1" t="s">
        <v>761</v>
      </c>
      <c r="B43" s="228">
        <f>ROUND(N('Prior Year'!AE85), 0)</f>
        <v>824861</v>
      </c>
      <c r="C43" s="228">
        <f>data!AE85</f>
        <v>1208438.1000000001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hidden="1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hidden="1" x14ac:dyDescent="0.25">
      <c r="A45" s="1" t="s">
        <v>763</v>
      </c>
      <c r="B45" s="228">
        <f>ROUND(N('Prior Year'!AG85), 0)</f>
        <v>5354675</v>
      </c>
      <c r="C45" s="228">
        <f>data!AG85</f>
        <v>5845984.9500000002</v>
      </c>
      <c r="D45" s="228">
        <f>ROUND(N('Prior Year'!AG59), 0)</f>
        <v>18952</v>
      </c>
      <c r="E45" s="1">
        <f>data!AG59</f>
        <v>19970</v>
      </c>
      <c r="F45" s="205">
        <f t="shared" si="0"/>
        <v>282.53878218657661</v>
      </c>
      <c r="G45" s="205">
        <f t="shared" si="4"/>
        <v>292.73835503254884</v>
      </c>
      <c r="H45" s="6" t="str">
        <f t="shared" si="6"/>
        <v/>
      </c>
      <c r="I45" s="228" t="str">
        <f t="shared" si="3"/>
        <v/>
      </c>
      <c r="M45" s="7"/>
    </row>
    <row r="46" spans="1:13" hidden="1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hidden="1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341" t="s">
        <v>766</v>
      </c>
      <c r="B48" s="342">
        <f>ROUND(N('Prior Year'!AJ85), 0)</f>
        <v>943692</v>
      </c>
      <c r="C48" s="342">
        <f>data!AJ85</f>
        <v>1109821.92</v>
      </c>
      <c r="D48" s="342">
        <f>ROUND(N('Prior Year'!AJ59), 0)</f>
        <v>1477</v>
      </c>
      <c r="E48" s="341">
        <f>data!AJ59</f>
        <v>2413</v>
      </c>
      <c r="F48" s="343">
        <f t="shared" si="0"/>
        <v>638.9248476641842</v>
      </c>
      <c r="G48" s="343">
        <f t="shared" si="4"/>
        <v>459.93448818897633</v>
      </c>
      <c r="H48" s="344">
        <f t="shared" si="6"/>
        <v>-0.28014305615061064</v>
      </c>
      <c r="I48" s="342" t="s">
        <v>1374</v>
      </c>
      <c r="M48" s="7"/>
    </row>
    <row r="49" spans="1:13" hidden="1" x14ac:dyDescent="0.25">
      <c r="A49" s="1" t="s">
        <v>767</v>
      </c>
      <c r="B49" s="228">
        <f>ROUND(N('Prior Year'!AK85), 0)</f>
        <v>266909</v>
      </c>
      <c r="C49" s="228">
        <f>data!AK85</f>
        <v>277.62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hidden="1" x14ac:dyDescent="0.25">
      <c r="A50" s="1" t="s">
        <v>768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hidden="1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hidden="1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hidden="1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hidden="1" x14ac:dyDescent="0.25">
      <c r="A54" s="1" t="s">
        <v>772</v>
      </c>
      <c r="B54" s="228">
        <f>ROUND(N('Prior Year'!AP85), 0)</f>
        <v>0</v>
      </c>
      <c r="C54" s="228">
        <f>data!AP85</f>
        <v>115.89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hidden="1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hidden="1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hidden="1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hidden="1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hidden="1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hidden="1" x14ac:dyDescent="0.25">
      <c r="A60" s="1" t="s">
        <v>778</v>
      </c>
      <c r="B60" s="228">
        <f>ROUND(N('Prior Year'!AV85), 0)</f>
        <v>87746</v>
      </c>
      <c r="C60" s="228">
        <f>data!AV85</f>
        <v>55662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hidden="1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hidden="1" x14ac:dyDescent="0.25">
      <c r="A62" s="1" t="s">
        <v>780</v>
      </c>
      <c r="B62" s="228">
        <f>ROUND(N('Prior Year'!AX85), 0)</f>
        <v>59470</v>
      </c>
      <c r="C62" s="228">
        <f>data!AX85</f>
        <v>75366.149999999994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hidden="1" x14ac:dyDescent="0.25">
      <c r="A63" s="1" t="s">
        <v>781</v>
      </c>
      <c r="B63" s="228">
        <f>ROUND(N('Prior Year'!AY85), 0)</f>
        <v>0</v>
      </c>
      <c r="C63" s="228">
        <f>data!AY85</f>
        <v>0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hidden="1" x14ac:dyDescent="0.25">
      <c r="A64" s="1" t="s">
        <v>782</v>
      </c>
      <c r="B64" s="228">
        <f>ROUND(N('Prior Year'!AZ85), 0)</f>
        <v>1576837</v>
      </c>
      <c r="C64" s="228">
        <f>data!AZ85</f>
        <v>1737133.7899999998</v>
      </c>
      <c r="D64" s="228">
        <f>ROUND(N('Prior Year'!AZ59), 0)</f>
        <v>31580</v>
      </c>
      <c r="E64" s="1">
        <f>data!AZ59</f>
        <v>0</v>
      </c>
      <c r="F64" s="205">
        <f>IF(B64=0,"",IF(D64=0,"",B64/D64))</f>
        <v>49.931507283090561</v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hidden="1" x14ac:dyDescent="0.25">
      <c r="A65" s="1" t="s">
        <v>783</v>
      </c>
      <c r="B65" s="228">
        <f>ROUND(N('Prior Year'!BA85), 0)</f>
        <v>308533</v>
      </c>
      <c r="C65" s="228">
        <f>data!BA85</f>
        <v>297306.45999999996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hidden="1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hidden="1" x14ac:dyDescent="0.25">
      <c r="A67" s="1" t="s">
        <v>785</v>
      </c>
      <c r="B67" s="228">
        <f>ROUND(N('Prior Year'!BC85), 0)</f>
        <v>0</v>
      </c>
      <c r="C67" s="228">
        <f>data!BC85</f>
        <v>0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hidden="1" x14ac:dyDescent="0.25">
      <c r="A68" s="1" t="s">
        <v>786</v>
      </c>
      <c r="B68" s="228">
        <f>ROUND(N('Prior Year'!BD85), 0)</f>
        <v>51132</v>
      </c>
      <c r="C68" s="228">
        <f>data!BD85</f>
        <v>31838.6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hidden="1" x14ac:dyDescent="0.25">
      <c r="A69" s="1" t="s">
        <v>787</v>
      </c>
      <c r="B69" s="228">
        <f>ROUND(N('Prior Year'!BE85), 0)</f>
        <v>2357388</v>
      </c>
      <c r="C69" s="228">
        <f>data!BE85</f>
        <v>2399050.4300000002</v>
      </c>
      <c r="D69" s="228">
        <f>ROUND(N('Prior Year'!BE59), 0)</f>
        <v>83637</v>
      </c>
      <c r="E69" s="1">
        <f>data!BE59</f>
        <v>83652</v>
      </c>
      <c r="F69" s="205">
        <f>IF(B69=0,"",IF(D69=0,"",B69/D69))</f>
        <v>28.185946411277307</v>
      </c>
      <c r="G69" s="205">
        <f t="shared" si="4"/>
        <v>28.678936905274234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hidden="1" x14ac:dyDescent="0.25">
      <c r="A70" s="1" t="s">
        <v>788</v>
      </c>
      <c r="B70" s="228">
        <f>ROUND(N('Prior Year'!BF85), 0)</f>
        <v>1371598</v>
      </c>
      <c r="C70" s="228">
        <f>data!BF85</f>
        <v>1546953.14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hidden="1" x14ac:dyDescent="0.25">
      <c r="A71" s="1" t="s">
        <v>789</v>
      </c>
      <c r="B71" s="228">
        <f>ROUND(N('Prior Year'!BG85), 0)</f>
        <v>27356</v>
      </c>
      <c r="C71" s="228">
        <f>data!BG85</f>
        <v>57079.239999999991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hidden="1" x14ac:dyDescent="0.25">
      <c r="A72" s="1" t="s">
        <v>790</v>
      </c>
      <c r="B72" s="228">
        <f>ROUND(N('Prior Year'!BH85), 0)</f>
        <v>2551909</v>
      </c>
      <c r="C72" s="228">
        <f>data!BH85</f>
        <v>2481522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hidden="1" x14ac:dyDescent="0.25">
      <c r="A73" s="1" t="s">
        <v>791</v>
      </c>
      <c r="B73" s="228">
        <f>ROUND(N('Prior Year'!BI85), 0)</f>
        <v>145830</v>
      </c>
      <c r="C73" s="228">
        <f>data!BI85</f>
        <v>70159.760000000009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hidden="1" x14ac:dyDescent="0.25">
      <c r="A74" s="1" t="s">
        <v>792</v>
      </c>
      <c r="B74" s="228">
        <f>ROUND(N('Prior Year'!BJ85), 0)</f>
        <v>89973</v>
      </c>
      <c r="C74" s="228">
        <f>data!BJ85</f>
        <v>60775.76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hidden="1" x14ac:dyDescent="0.25">
      <c r="A75" s="1" t="s">
        <v>793</v>
      </c>
      <c r="B75" s="228">
        <f>ROUND(N('Prior Year'!BK85), 0)</f>
        <v>2989351</v>
      </c>
      <c r="C75" s="228">
        <f>data!BK85</f>
        <v>2837564.57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hidden="1" x14ac:dyDescent="0.25">
      <c r="A76" s="1" t="s">
        <v>794</v>
      </c>
      <c r="B76" s="228">
        <f>ROUND(N('Prior Year'!BL85), 0)</f>
        <v>14302</v>
      </c>
      <c r="C76" s="228">
        <f>data!BL85</f>
        <v>6770.71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hidden="1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hidden="1" x14ac:dyDescent="0.25">
      <c r="A78" s="1" t="s">
        <v>796</v>
      </c>
      <c r="B78" s="228">
        <f>ROUND(N('Prior Year'!BN85), 0)</f>
        <v>2506464</v>
      </c>
      <c r="C78" s="228">
        <f>data!BN85</f>
        <v>3456915.6300000008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hidden="1" x14ac:dyDescent="0.25">
      <c r="A79" s="1" t="s">
        <v>797</v>
      </c>
      <c r="B79" s="228">
        <f>ROUND(N('Prior Year'!BO85), 0)</f>
        <v>96799</v>
      </c>
      <c r="C79" s="228">
        <f>data!BO85</f>
        <v>99229.36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hidden="1" x14ac:dyDescent="0.25">
      <c r="A80" s="1" t="s">
        <v>798</v>
      </c>
      <c r="B80" s="228">
        <f>ROUND(N('Prior Year'!BP85), 0)</f>
        <v>219787</v>
      </c>
      <c r="C80" s="228">
        <f>data!BP85</f>
        <v>127838.26000000001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hidden="1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hidden="1" x14ac:dyDescent="0.25">
      <c r="A82" s="1" t="s">
        <v>800</v>
      </c>
      <c r="B82" s="228">
        <f>ROUND(N('Prior Year'!BR85), 0)</f>
        <v>789442</v>
      </c>
      <c r="C82" s="228">
        <f>data!BR85</f>
        <v>673349.01000000013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hidden="1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hidden="1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hidden="1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hidden="1" x14ac:dyDescent="0.25">
      <c r="A86" s="1" t="s">
        <v>804</v>
      </c>
      <c r="B86" s="228">
        <f>ROUND(N('Prior Year'!BV85), 0)</f>
        <v>7925</v>
      </c>
      <c r="C86" s="228">
        <f>data!BV85</f>
        <v>25553.24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hidden="1" x14ac:dyDescent="0.25">
      <c r="A87" s="1" t="s">
        <v>805</v>
      </c>
      <c r="B87" s="228">
        <f>ROUND(N('Prior Year'!BW85), 0)</f>
        <v>740670</v>
      </c>
      <c r="C87" s="228">
        <f>data!BW85</f>
        <v>800671.6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hidden="1" x14ac:dyDescent="0.25">
      <c r="A88" s="1" t="s">
        <v>806</v>
      </c>
      <c r="B88" s="228">
        <f>ROUND(N('Prior Year'!BX85), 0)</f>
        <v>594628</v>
      </c>
      <c r="C88" s="228">
        <f>data!BX85</f>
        <v>709621.53999999992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hidden="1" x14ac:dyDescent="0.25">
      <c r="A89" s="1" t="s">
        <v>807</v>
      </c>
      <c r="B89" s="228">
        <f>ROUND(N('Prior Year'!BY85), 0)</f>
        <v>1023615</v>
      </c>
      <c r="C89" s="228">
        <f>data!BY85</f>
        <v>908153.50999999989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hidden="1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hidden="1" x14ac:dyDescent="0.25">
      <c r="A91" s="1" t="s">
        <v>809</v>
      </c>
      <c r="B91" s="228">
        <f>ROUND(N('Prior Year'!CA85), 0)</f>
        <v>32555</v>
      </c>
      <c r="C91" s="228">
        <f>data!CA85</f>
        <v>92192.239999999991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hidden="1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hidden="1" x14ac:dyDescent="0.25">
      <c r="A93" s="1" t="s">
        <v>811</v>
      </c>
      <c r="B93" s="228">
        <f>ROUND(N('Prior Year'!CC85), 0)</f>
        <v>3487499</v>
      </c>
      <c r="C93" s="228">
        <f>data!CC85</f>
        <v>3873310.0300000003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hidden="1" x14ac:dyDescent="0.25">
      <c r="A94" s="1" t="s">
        <v>812</v>
      </c>
      <c r="B94" s="228">
        <f>ROUND(N('Prior Year'!CD85), 0)</f>
        <v>1071130</v>
      </c>
      <c r="C94" s="228">
        <f>data!CD85</f>
        <v>1309703.48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autoFilter ref="A14:J94" xr:uid="{240888FA-A8B1-4E1B-BDC7-CC89A713B75A}">
    <filterColumn colId="7">
      <customFilters>
        <customFilter operator="notEqual" val=" "/>
      </customFilters>
    </filterColumn>
  </autoFilter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D21" sqref="D21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1624497.03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1" t="s">
        <v>1373</v>
      </c>
      <c r="B15" s="267"/>
      <c r="C15" s="267"/>
      <c r="D15" s="267">
        <v>1037449</v>
      </c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352661.11000000004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825</v>
      </c>
      <c r="B29" s="267"/>
      <c r="C29" s="267"/>
      <c r="D29" s="267"/>
    </row>
    <row r="30" spans="1:4" ht="15.75" x14ac:dyDescent="0.25">
      <c r="A30" s="267" t="s">
        <v>825</v>
      </c>
      <c r="B30" s="267"/>
      <c r="C30" s="267"/>
      <c r="D30" s="267"/>
    </row>
    <row r="31" spans="1:4" ht="15.75" x14ac:dyDescent="0.25">
      <c r="A31" s="267" t="s">
        <v>825</v>
      </c>
      <c r="B31" s="267"/>
      <c r="C31" s="267"/>
      <c r="D31" s="267"/>
    </row>
    <row r="32" spans="1:4" ht="15.75" x14ac:dyDescent="0.25">
      <c r="A32" s="267" t="s">
        <v>825</v>
      </c>
      <c r="B32" s="267"/>
      <c r="C32" s="267"/>
      <c r="D32" s="267"/>
    </row>
    <row r="33" spans="1:4" ht="15.75" x14ac:dyDescent="0.25">
      <c r="A33" s="267" t="s">
        <v>825</v>
      </c>
      <c r="B33" s="267"/>
      <c r="C33" s="267"/>
      <c r="D33" s="267"/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H-104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EvergreenHealth Monroe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Snohomish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360-794-7497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360-863-4672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0</v>
      </c>
      <c r="G23" s="67">
        <f>data!D127</f>
        <v>0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4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22</v>
      </c>
      <c r="E32" s="64" t="s">
        <v>844</v>
      </c>
      <c r="F32" s="67"/>
      <c r="G32" s="67">
        <f>data!C141</f>
        <v>36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62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112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EvergreenHealth Monroe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593</v>
      </c>
      <c r="C7" s="127">
        <f>data!B155</f>
        <v>2455.1067496976225</v>
      </c>
      <c r="D7" s="127">
        <f>data!B156</f>
        <v>0</v>
      </c>
      <c r="E7" s="127">
        <f>data!B157</f>
        <v>22373921</v>
      </c>
      <c r="F7" s="127">
        <f>data!B158</f>
        <v>58007600</v>
      </c>
      <c r="G7" s="127">
        <f>data!B157+data!B158</f>
        <v>80381521</v>
      </c>
    </row>
    <row r="8" spans="1:7" ht="20.100000000000001" customHeight="1" x14ac:dyDescent="0.25">
      <c r="A8" s="63" t="s">
        <v>354</v>
      </c>
      <c r="B8" s="127">
        <f>data!C154</f>
        <v>181</v>
      </c>
      <c r="C8" s="127">
        <f>data!C155</f>
        <v>600.48391575221353</v>
      </c>
      <c r="D8" s="127">
        <f>data!C156</f>
        <v>0</v>
      </c>
      <c r="E8" s="127">
        <f>data!C157</f>
        <v>8113257</v>
      </c>
      <c r="F8" s="127">
        <f>data!C158</f>
        <v>35811501</v>
      </c>
      <c r="G8" s="127">
        <f>data!C157+data!C158</f>
        <v>43924758</v>
      </c>
    </row>
    <row r="9" spans="1:7" ht="20.100000000000001" customHeight="1" x14ac:dyDescent="0.25">
      <c r="A9" s="63" t="s">
        <v>858</v>
      </c>
      <c r="B9" s="127">
        <f>data!D154</f>
        <v>259</v>
      </c>
      <c r="C9" s="127">
        <f>data!D155</f>
        <v>671.40933455016386</v>
      </c>
      <c r="D9" s="127">
        <f>data!D156</f>
        <v>0</v>
      </c>
      <c r="E9" s="127">
        <f>data!D157</f>
        <v>9282347</v>
      </c>
      <c r="F9" s="127">
        <f>data!D158</f>
        <v>86967732</v>
      </c>
      <c r="G9" s="127">
        <f>data!D157+data!D158</f>
        <v>96250079</v>
      </c>
    </row>
    <row r="10" spans="1:7" ht="20.100000000000001" customHeight="1" x14ac:dyDescent="0.25">
      <c r="A10" s="78" t="s">
        <v>229</v>
      </c>
      <c r="B10" s="127">
        <f>data!E154</f>
        <v>1033</v>
      </c>
      <c r="C10" s="127">
        <f>data!E155</f>
        <v>3726.9999999999995</v>
      </c>
      <c r="D10" s="127">
        <f>data!E156</f>
        <v>0</v>
      </c>
      <c r="E10" s="127">
        <f>data!E157</f>
        <v>39769525</v>
      </c>
      <c r="F10" s="127">
        <f>data!E158</f>
        <v>180786833</v>
      </c>
      <c r="G10" s="127">
        <f>E10+F10</f>
        <v>220556358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68</v>
      </c>
      <c r="C25" s="127">
        <f>data!B167</f>
        <v>814.01475184127025</v>
      </c>
      <c r="D25" s="127">
        <f>data!B168</f>
        <v>0</v>
      </c>
      <c r="E25" s="127">
        <f>data!B169</f>
        <v>1059396.3394752112</v>
      </c>
      <c r="F25" s="127">
        <f>data!B170</f>
        <v>99804.66052478888</v>
      </c>
      <c r="G25" s="127">
        <f>data!B169+data!B170</f>
        <v>1159201</v>
      </c>
    </row>
    <row r="26" spans="1:7" ht="20.100000000000001" customHeight="1" x14ac:dyDescent="0.25">
      <c r="A26" s="63" t="s">
        <v>354</v>
      </c>
      <c r="B26" s="127">
        <f>data!C166</f>
        <v>449</v>
      </c>
      <c r="C26" s="127">
        <f>data!C167</f>
        <v>4227.7426170420431</v>
      </c>
      <c r="D26" s="127">
        <f>data!C168</f>
        <v>0</v>
      </c>
      <c r="E26" s="127">
        <f>data!C169</f>
        <v>4337244.5645674132</v>
      </c>
      <c r="F26" s="127">
        <f>data!C170</f>
        <v>408607.43543258705</v>
      </c>
      <c r="G26" s="127">
        <f>data!C169+data!C170</f>
        <v>4745852</v>
      </c>
    </row>
    <row r="27" spans="1:7" ht="20.100000000000001" customHeight="1" x14ac:dyDescent="0.25">
      <c r="A27" s="63" t="s">
        <v>858</v>
      </c>
      <c r="B27" s="127">
        <f>data!D166</f>
        <v>268</v>
      </c>
      <c r="C27" s="127">
        <f>data!D167</f>
        <v>1997.2426311166869</v>
      </c>
      <c r="D27" s="127">
        <f>data!D168</f>
        <v>0</v>
      </c>
      <c r="E27" s="127">
        <f>data!D169</f>
        <v>2296043.0959573761</v>
      </c>
      <c r="F27" s="127">
        <f>data!D170</f>
        <v>216307.90404262405</v>
      </c>
      <c r="G27" s="127">
        <f>data!D169+data!D170</f>
        <v>2512351</v>
      </c>
    </row>
    <row r="28" spans="1:7" ht="20.100000000000001" customHeight="1" x14ac:dyDescent="0.25">
      <c r="A28" s="78" t="s">
        <v>229</v>
      </c>
      <c r="B28" s="127">
        <f>data!E166</f>
        <v>785</v>
      </c>
      <c r="C28" s="127">
        <f>data!E167</f>
        <v>7039</v>
      </c>
      <c r="D28" s="127">
        <f>data!E168</f>
        <v>0</v>
      </c>
      <c r="E28" s="127">
        <f>data!E169</f>
        <v>7692684</v>
      </c>
      <c r="F28" s="127">
        <f>data!E170</f>
        <v>724720</v>
      </c>
      <c r="G28" s="127">
        <f>data!E169+data!E170</f>
        <v>8417404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73391.839999999967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1556481.03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EvergreenHealth Monroe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1667075.73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-33872.1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223034.43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0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644575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521478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3022291.0599999996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180903.76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329934.58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510838.34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0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546111.23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546111.23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41171.9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734503.97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1499.8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777175.67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EvergreenHealth Monroe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1878609.67</v>
      </c>
      <c r="D7" s="67">
        <f>data!C211</f>
        <v>0</v>
      </c>
      <c r="E7" s="67">
        <f>data!D211</f>
        <v>0</v>
      </c>
      <c r="F7" s="67">
        <f>data!E211</f>
        <v>1878609.67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1233751.07</v>
      </c>
      <c r="D8" s="67">
        <f>data!C212</f>
        <v>0</v>
      </c>
      <c r="E8" s="67">
        <f>data!D212</f>
        <v>0</v>
      </c>
      <c r="F8" s="67">
        <f>data!E212</f>
        <v>1233751.07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27306533.529999997</v>
      </c>
      <c r="D9" s="67">
        <f>data!C213</f>
        <v>3057033.2800000003</v>
      </c>
      <c r="E9" s="67">
        <f>data!D213</f>
        <v>0</v>
      </c>
      <c r="F9" s="67">
        <f>data!E213</f>
        <v>30363566.809999999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2731402.69</v>
      </c>
      <c r="D10" s="67">
        <f>data!C214</f>
        <v>0</v>
      </c>
      <c r="E10" s="67">
        <f>data!D214</f>
        <v>0</v>
      </c>
      <c r="F10" s="67">
        <f>data!E214</f>
        <v>2731402.69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21310238.100000001</v>
      </c>
      <c r="D12" s="67">
        <f>data!C216</f>
        <v>1214850.01</v>
      </c>
      <c r="E12" s="67">
        <f>data!D216</f>
        <v>304682.90000000002</v>
      </c>
      <c r="F12" s="67">
        <f>data!E216</f>
        <v>22220405.210000005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3109130.11</v>
      </c>
      <c r="D14" s="67">
        <f>data!C218</f>
        <v>0</v>
      </c>
      <c r="E14" s="67">
        <f>data!D218</f>
        <v>0</v>
      </c>
      <c r="F14" s="67">
        <f>data!E218</f>
        <v>3109130.11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1653238.48</v>
      </c>
      <c r="D15" s="67">
        <f>data!C219</f>
        <v>4173295</v>
      </c>
      <c r="E15" s="67">
        <f>data!D219</f>
        <v>4383694</v>
      </c>
      <c r="F15" s="67">
        <f>data!E219</f>
        <v>1442839.4800000004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59222903.649999999</v>
      </c>
      <c r="D16" s="67">
        <f>data!C220</f>
        <v>8445178.2899999991</v>
      </c>
      <c r="E16" s="67">
        <f>data!D220</f>
        <v>4688376.9000000004</v>
      </c>
      <c r="F16" s="67">
        <f>data!E220</f>
        <v>62979705.040000007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-1126152.8</v>
      </c>
      <c r="D24" s="67">
        <f>data!C225</f>
        <v>-62358.79</v>
      </c>
      <c r="E24" s="67">
        <f>data!D225</f>
        <v>0</v>
      </c>
      <c r="F24" s="67">
        <f>data!E225</f>
        <v>-1188511.5900000001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-22605519.669999998</v>
      </c>
      <c r="D25" s="67">
        <f>data!C226</f>
        <v>-879722.90999999992</v>
      </c>
      <c r="E25" s="67">
        <f>data!D226</f>
        <v>0</v>
      </c>
      <c r="F25" s="67">
        <f>data!E226</f>
        <v>-23485242.579999998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-2573880.8199999998</v>
      </c>
      <c r="D26" s="67">
        <f>data!C227</f>
        <v>-28240.9</v>
      </c>
      <c r="E26" s="67">
        <f>data!D227</f>
        <v>0</v>
      </c>
      <c r="F26" s="67">
        <f>data!E227</f>
        <v>-2602121.7199999997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-18249388.950000003</v>
      </c>
      <c r="D28" s="67">
        <f>data!C229</f>
        <v>-924401.88000000012</v>
      </c>
      <c r="E28" s="67">
        <f>data!D229</f>
        <v>-296880</v>
      </c>
      <c r="F28" s="67">
        <f>data!E229</f>
        <v>-18876910.830000002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-2527520.3699999996</v>
      </c>
      <c r="D30" s="67">
        <f>data!C231</f>
        <v>-70132.89</v>
      </c>
      <c r="E30" s="67">
        <f>data!D231</f>
        <v>0</v>
      </c>
      <c r="F30" s="67">
        <f>data!E231</f>
        <v>-2597653.2599999998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-47082462.609999999</v>
      </c>
      <c r="D32" s="67">
        <f>data!C233</f>
        <v>-1964857.3699999999</v>
      </c>
      <c r="E32" s="67">
        <f>data!D233</f>
        <v>-296880</v>
      </c>
      <c r="F32" s="67">
        <f>data!E233</f>
        <v>-48750439.979999997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EvergreenHealth Monroe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8475180.4100000001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64396451.439999998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36616099.050000004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2738772.83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2966865.3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37867406.340000004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-116056.64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144469538.32000002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640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355566.88538029912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1359808.164619701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1715375.05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1880534.7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1089436.4300000002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2969971.13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2025-05-30T16:22:22Z</cp:lastPrinted>
  <dcterms:created xsi:type="dcterms:W3CDTF">1999-06-02T22:01:56Z</dcterms:created>
  <dcterms:modified xsi:type="dcterms:W3CDTF">2025-07-29T20:29:49Z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