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043896BC-A079-46AC-9C5E-EDA823D3D92A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C144" i="24" l="1"/>
  <c r="D23" i="33"/>
  <c r="D38" i="33" s="1"/>
  <c r="BR79" i="24"/>
  <c r="BR83" i="24"/>
  <c r="BG83" i="24"/>
  <c r="BN83" i="24"/>
  <c r="BN68" i="24"/>
  <c r="C333" i="24"/>
  <c r="C229" i="24"/>
  <c r="C228" i="24"/>
  <c r="C226" i="24"/>
  <c r="C225" i="24"/>
  <c r="C216" i="24"/>
  <c r="C213" i="24"/>
  <c r="C215" i="24"/>
  <c r="C219" i="24"/>
  <c r="BV83" i="24"/>
  <c r="BY80" i="24"/>
  <c r="BY83" i="24" s="1"/>
  <c r="BN80" i="24"/>
  <c r="BJ83" i="24"/>
  <c r="BH83" i="24"/>
  <c r="BE83" i="24"/>
  <c r="AJ83" i="24"/>
  <c r="AG80" i="24"/>
  <c r="AG83" i="24" s="1"/>
  <c r="AE80" i="24"/>
  <c r="AE83" i="24" s="1"/>
  <c r="AB83" i="24"/>
  <c r="K83" i="24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D615" i="34" s="1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41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F64" i="15" s="1"/>
  <c r="E63" i="15"/>
  <c r="D63" i="15"/>
  <c r="B63" i="15"/>
  <c r="I62" i="15"/>
  <c r="B62" i="15"/>
  <c r="I61" i="15"/>
  <c r="B61" i="15"/>
  <c r="I60" i="15"/>
  <c r="B60" i="15"/>
  <c r="E59" i="15"/>
  <c r="D59" i="15"/>
  <c r="B59" i="15"/>
  <c r="E58" i="15"/>
  <c r="D58" i="15"/>
  <c r="B58" i="15"/>
  <c r="E57" i="15"/>
  <c r="D57" i="15"/>
  <c r="B57" i="15"/>
  <c r="H57" i="15" s="1"/>
  <c r="I57" i="15" s="1"/>
  <c r="E56" i="15"/>
  <c r="D56" i="15"/>
  <c r="B56" i="15"/>
  <c r="E55" i="15"/>
  <c r="D55" i="15"/>
  <c r="B55" i="15"/>
  <c r="E54" i="15"/>
  <c r="D54" i="15"/>
  <c r="B54" i="15"/>
  <c r="E53" i="15"/>
  <c r="D53" i="15"/>
  <c r="B53" i="15"/>
  <c r="E52" i="15"/>
  <c r="D52" i="15"/>
  <c r="B52" i="15"/>
  <c r="E51" i="15"/>
  <c r="D51" i="15"/>
  <c r="B51" i="15"/>
  <c r="H51" i="15" s="1"/>
  <c r="I51" i="15" s="1"/>
  <c r="E50" i="15"/>
  <c r="D50" i="15"/>
  <c r="B50" i="15"/>
  <c r="F50" i="15" s="1"/>
  <c r="E49" i="15"/>
  <c r="D49" i="15"/>
  <c r="B49" i="15"/>
  <c r="F49" i="15" s="1"/>
  <c r="E48" i="15"/>
  <c r="D48" i="15"/>
  <c r="B48" i="15"/>
  <c r="F48" i="15" s="1"/>
  <c r="E47" i="15"/>
  <c r="D47" i="15"/>
  <c r="B47" i="15"/>
  <c r="E46" i="15"/>
  <c r="D46" i="15"/>
  <c r="B46" i="15"/>
  <c r="E45" i="15"/>
  <c r="D45" i="15"/>
  <c r="B45" i="15"/>
  <c r="E44" i="15"/>
  <c r="D44" i="15"/>
  <c r="B44" i="15"/>
  <c r="E43" i="15"/>
  <c r="D43" i="15"/>
  <c r="B43" i="15"/>
  <c r="F43" i="15" s="1"/>
  <c r="E42" i="15"/>
  <c r="D42" i="15"/>
  <c r="B42" i="15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F36" i="15" s="1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F29" i="15" s="1"/>
  <c r="E28" i="15"/>
  <c r="D28" i="15"/>
  <c r="B28" i="15"/>
  <c r="E27" i="15"/>
  <c r="D27" i="15"/>
  <c r="B27" i="15"/>
  <c r="E26" i="15"/>
  <c r="D26" i="15"/>
  <c r="B26" i="15"/>
  <c r="E25" i="15"/>
  <c r="D25" i="15"/>
  <c r="B25" i="15"/>
  <c r="E24" i="15"/>
  <c r="D24" i="15"/>
  <c r="B24" i="15"/>
  <c r="E23" i="15"/>
  <c r="D23" i="15"/>
  <c r="B23" i="15"/>
  <c r="F23" i="15" s="1"/>
  <c r="E22" i="15"/>
  <c r="D22" i="15"/>
  <c r="B22" i="15"/>
  <c r="E21" i="15"/>
  <c r="D21" i="15"/>
  <c r="B21" i="15"/>
  <c r="E20" i="15"/>
  <c r="D20" i="15"/>
  <c r="B20" i="15"/>
  <c r="E19" i="15"/>
  <c r="D19" i="15"/>
  <c r="B19" i="15"/>
  <c r="H19" i="15" s="1"/>
  <c r="I19" i="15" s="1"/>
  <c r="E18" i="15"/>
  <c r="D18" i="15"/>
  <c r="B18" i="15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381" i="24"/>
  <c r="BQ2" i="30" s="1"/>
  <c r="D360" i="24"/>
  <c r="C113" i="8" s="1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52" i="24"/>
  <c r="D22" i="7" s="1"/>
  <c r="D245" i="24"/>
  <c r="D13" i="7" s="1"/>
  <c r="D237" i="24"/>
  <c r="CF2" i="28" s="1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CE92" i="24"/>
  <c r="CE91" i="24"/>
  <c r="CE90" i="24"/>
  <c r="AV89" i="24"/>
  <c r="AU89" i="24"/>
  <c r="AT89" i="24"/>
  <c r="AS89" i="24"/>
  <c r="AR89" i="24"/>
  <c r="AQ89" i="24"/>
  <c r="AP89" i="24"/>
  <c r="AO89" i="24"/>
  <c r="AN89" i="24"/>
  <c r="AE39" i="31" s="1"/>
  <c r="AM89" i="24"/>
  <c r="AE38" i="31" s="1"/>
  <c r="AL89" i="24"/>
  <c r="AE37" i="31" s="1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AE20" i="31" s="1"/>
  <c r="T89" i="24"/>
  <c r="AE19" i="31" s="1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O47" i="31" s="1"/>
  <c r="AU69" i="24"/>
  <c r="E211" i="32" s="1"/>
  <c r="AT69" i="24"/>
  <c r="O45" i="31" s="1"/>
  <c r="AS69" i="24"/>
  <c r="AR69" i="24"/>
  <c r="AQ69" i="24"/>
  <c r="AP69" i="24"/>
  <c r="AO69" i="24"/>
  <c r="AN69" i="24"/>
  <c r="AM69" i="24"/>
  <c r="AL69" i="24"/>
  <c r="AK69" i="24"/>
  <c r="O36" i="31" s="1"/>
  <c r="AJ69" i="24"/>
  <c r="AI69" i="24"/>
  <c r="AH69" i="24"/>
  <c r="AG69" i="24"/>
  <c r="AF69" i="24"/>
  <c r="AE69" i="24"/>
  <c r="AD69" i="24"/>
  <c r="AC69" i="24"/>
  <c r="AB69" i="24"/>
  <c r="O27" i="31" s="1"/>
  <c r="AA69" i="24"/>
  <c r="O26" i="31" s="1"/>
  <c r="Z69" i="24"/>
  <c r="O25" i="31" s="1"/>
  <c r="Y69" i="24"/>
  <c r="X69" i="24"/>
  <c r="W69" i="24"/>
  <c r="V69" i="24"/>
  <c r="U69" i="24"/>
  <c r="T69" i="24"/>
  <c r="S69" i="24"/>
  <c r="R69" i="24"/>
  <c r="Q69" i="24"/>
  <c r="P69" i="24"/>
  <c r="O69" i="24"/>
  <c r="H51" i="32" s="1"/>
  <c r="N69" i="24"/>
  <c r="M69" i="24"/>
  <c r="L69" i="24"/>
  <c r="K69" i="24"/>
  <c r="J69" i="24"/>
  <c r="I69" i="24"/>
  <c r="H69" i="24"/>
  <c r="O7" i="31" s="1"/>
  <c r="G69" i="24"/>
  <c r="O6" i="31" s="1"/>
  <c r="F69" i="24"/>
  <c r="O5" i="31" s="1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H612" i="24" s="1"/>
  <c r="B53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H59" i="31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H28" i="31" s="1"/>
  <c r="AB48" i="24"/>
  <c r="AB62" i="24" s="1"/>
  <c r="H27" i="31" s="1"/>
  <c r="AA48" i="24"/>
  <c r="AA62" i="24" s="1"/>
  <c r="H26" i="31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8" i="31" s="1"/>
  <c r="H48" i="24"/>
  <c r="H62" i="24" s="1"/>
  <c r="H7" i="31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C365" i="24" l="1"/>
  <c r="H15" i="15"/>
  <c r="I15" i="15" s="1"/>
  <c r="F15" i="15"/>
  <c r="H21" i="15"/>
  <c r="I21" i="15" s="1"/>
  <c r="F21" i="15"/>
  <c r="H25" i="15"/>
  <c r="I25" i="15" s="1"/>
  <c r="F25" i="15"/>
  <c r="H27" i="15"/>
  <c r="I27" i="15" s="1"/>
  <c r="F27" i="15"/>
  <c r="H34" i="15"/>
  <c r="I34" i="15" s="1"/>
  <c r="F34" i="15"/>
  <c r="H38" i="15"/>
  <c r="I38" i="15" s="1"/>
  <c r="F38" i="15"/>
  <c r="H42" i="15"/>
  <c r="I42" i="15" s="1"/>
  <c r="F42" i="15"/>
  <c r="H44" i="15"/>
  <c r="I44" i="15" s="1"/>
  <c r="F44" i="15"/>
  <c r="H46" i="15"/>
  <c r="I46" i="15" s="1"/>
  <c r="F46" i="15"/>
  <c r="H47" i="15"/>
  <c r="I47" i="15" s="1"/>
  <c r="F47" i="15"/>
  <c r="H52" i="15"/>
  <c r="I52" i="15" s="1"/>
  <c r="F52" i="15"/>
  <c r="H54" i="15"/>
  <c r="I54" i="15" s="1"/>
  <c r="F54" i="15"/>
  <c r="H55" i="15"/>
  <c r="I55" i="15" s="1"/>
  <c r="F55" i="15"/>
  <c r="H56" i="15"/>
  <c r="I56" i="15" s="1"/>
  <c r="F56" i="15"/>
  <c r="H58" i="15"/>
  <c r="I58" i="15" s="1"/>
  <c r="F58" i="15"/>
  <c r="H59" i="15"/>
  <c r="I59" i="15" s="1"/>
  <c r="F59" i="15"/>
  <c r="C648" i="34"/>
  <c r="M716" i="34" s="1"/>
  <c r="DF2" i="30"/>
  <c r="C170" i="8"/>
  <c r="CP2" i="30"/>
  <c r="D416" i="24"/>
  <c r="E414" i="24" s="1"/>
  <c r="I366" i="32"/>
  <c r="F612" i="24"/>
  <c r="AE21" i="31"/>
  <c r="H90" i="32"/>
  <c r="I383" i="32"/>
  <c r="J612" i="24"/>
  <c r="I382" i="32"/>
  <c r="I612" i="24"/>
  <c r="I380" i="32"/>
  <c r="D612" i="24"/>
  <c r="CF90" i="24"/>
  <c r="I384" i="32"/>
  <c r="L612" i="24"/>
  <c r="G300" i="32"/>
  <c r="H69" i="31"/>
  <c r="O17" i="31"/>
  <c r="D83" i="32"/>
  <c r="O33" i="31"/>
  <c r="F147" i="32"/>
  <c r="O49" i="31"/>
  <c r="H211" i="32"/>
  <c r="E371" i="32"/>
  <c r="C615" i="24"/>
  <c r="H20" i="31"/>
  <c r="G76" i="32"/>
  <c r="H6" i="31"/>
  <c r="G12" i="32"/>
  <c r="CD85" i="24"/>
  <c r="F300" i="32"/>
  <c r="H68" i="31"/>
  <c r="H21" i="31"/>
  <c r="H76" i="32"/>
  <c r="AE30" i="31"/>
  <c r="C154" i="32"/>
  <c r="H54" i="31"/>
  <c r="F236" i="32"/>
  <c r="H36" i="31"/>
  <c r="I140" i="32"/>
  <c r="H38" i="31"/>
  <c r="D172" i="32"/>
  <c r="H58" i="32"/>
  <c r="AE14" i="31"/>
  <c r="H45" i="31"/>
  <c r="D204" i="32"/>
  <c r="I381" i="32"/>
  <c r="CF91" i="24"/>
  <c r="G612" i="24"/>
  <c r="BN2" i="30"/>
  <c r="C117" i="8"/>
  <c r="D366" i="24"/>
  <c r="H37" i="31"/>
  <c r="C172" i="32"/>
  <c r="H77" i="31"/>
  <c r="H332" i="32"/>
  <c r="H30" i="31"/>
  <c r="C140" i="32"/>
  <c r="CE89" i="24"/>
  <c r="H47" i="31"/>
  <c r="F204" i="32"/>
  <c r="H52" i="31"/>
  <c r="D236" i="32"/>
  <c r="H5" i="31"/>
  <c r="F12" i="32"/>
  <c r="E218" i="32"/>
  <c r="AE46" i="31"/>
  <c r="H46" i="31"/>
  <c r="E204" i="32"/>
  <c r="H31" i="31"/>
  <c r="D140" i="32"/>
  <c r="H79" i="31"/>
  <c r="C364" i="32"/>
  <c r="H16" i="31"/>
  <c r="C76" i="32"/>
  <c r="H32" i="31"/>
  <c r="E140" i="32"/>
  <c r="H48" i="31"/>
  <c r="G204" i="32"/>
  <c r="I268" i="32"/>
  <c r="H64" i="31"/>
  <c r="D364" i="32"/>
  <c r="H80" i="31"/>
  <c r="H4" i="31"/>
  <c r="E12" i="32"/>
  <c r="H53" i="31"/>
  <c r="E236" i="32"/>
  <c r="F268" i="32"/>
  <c r="H61" i="31"/>
  <c r="H14" i="31"/>
  <c r="H44" i="32"/>
  <c r="H15" i="31"/>
  <c r="I44" i="32"/>
  <c r="H63" i="31"/>
  <c r="H268" i="32"/>
  <c r="H17" i="31"/>
  <c r="D76" i="32"/>
  <c r="H33" i="31"/>
  <c r="F140" i="32"/>
  <c r="H49" i="31"/>
  <c r="H204" i="32"/>
  <c r="H65" i="31"/>
  <c r="C300" i="32"/>
  <c r="H29" i="31"/>
  <c r="I108" i="32"/>
  <c r="H78" i="31"/>
  <c r="I332" i="32"/>
  <c r="H22" i="31"/>
  <c r="I76" i="32"/>
  <c r="H18" i="31"/>
  <c r="E76" i="32"/>
  <c r="H66" i="31"/>
  <c r="D300" i="32"/>
  <c r="H13" i="31"/>
  <c r="G44" i="32"/>
  <c r="H62" i="31"/>
  <c r="G268" i="32"/>
  <c r="H2" i="31"/>
  <c r="C12" i="32"/>
  <c r="CE62" i="24"/>
  <c r="I364" i="32" s="1"/>
  <c r="H34" i="31"/>
  <c r="G140" i="32"/>
  <c r="H50" i="31"/>
  <c r="I204" i="32"/>
  <c r="H3" i="31"/>
  <c r="D12" i="32"/>
  <c r="H19" i="31"/>
  <c r="F76" i="32"/>
  <c r="H35" i="31"/>
  <c r="H140" i="32"/>
  <c r="H51" i="31"/>
  <c r="C236" i="32"/>
  <c r="H67" i="31"/>
  <c r="E300" i="32"/>
  <c r="H70" i="31"/>
  <c r="H300" i="32"/>
  <c r="C16" i="8"/>
  <c r="D308" i="24"/>
  <c r="H55" i="31"/>
  <c r="G236" i="32"/>
  <c r="O50" i="31"/>
  <c r="I211" i="32"/>
  <c r="H24" i="31"/>
  <c r="D108" i="32"/>
  <c r="H40" i="31"/>
  <c r="F172" i="32"/>
  <c r="H56" i="31"/>
  <c r="H236" i="32"/>
  <c r="H72" i="31"/>
  <c r="C332" i="32"/>
  <c r="O3" i="31"/>
  <c r="D19" i="32"/>
  <c r="O19" i="31"/>
  <c r="F83" i="32"/>
  <c r="O35" i="31"/>
  <c r="H147" i="32"/>
  <c r="O51" i="31"/>
  <c r="C243" i="32"/>
  <c r="E307" i="32"/>
  <c r="O67" i="31"/>
  <c r="AE16" i="31"/>
  <c r="C90" i="32"/>
  <c r="AE32" i="31"/>
  <c r="E154" i="32"/>
  <c r="F65" i="15"/>
  <c r="I12" i="32"/>
  <c r="BP2" i="30"/>
  <c r="C119" i="8"/>
  <c r="H9" i="31"/>
  <c r="C44" i="32"/>
  <c r="H25" i="31"/>
  <c r="E108" i="32"/>
  <c r="H41" i="31"/>
  <c r="G172" i="32"/>
  <c r="H57" i="31"/>
  <c r="I236" i="32"/>
  <c r="H73" i="31"/>
  <c r="D332" i="32"/>
  <c r="O4" i="31"/>
  <c r="E19" i="32"/>
  <c r="O20" i="31"/>
  <c r="G83" i="32"/>
  <c r="O52" i="31"/>
  <c r="D243" i="32"/>
  <c r="O68" i="31"/>
  <c r="F307" i="32"/>
  <c r="AE17" i="31"/>
  <c r="D90" i="32"/>
  <c r="AE33" i="31"/>
  <c r="F154" i="32"/>
  <c r="H16" i="15"/>
  <c r="I16" i="15" s="1"/>
  <c r="F16" i="15"/>
  <c r="F19" i="15"/>
  <c r="E115" i="32"/>
  <c r="D268" i="32"/>
  <c r="H39" i="31"/>
  <c r="E172" i="32"/>
  <c r="AE15" i="31"/>
  <c r="I58" i="32"/>
  <c r="H42" i="31"/>
  <c r="H172" i="32"/>
  <c r="O69" i="31"/>
  <c r="G307" i="32"/>
  <c r="F53" i="15"/>
  <c r="F115" i="32"/>
  <c r="D710" i="34"/>
  <c r="D682" i="34"/>
  <c r="D623" i="34"/>
  <c r="D681" i="34"/>
  <c r="O38" i="31"/>
  <c r="D179" i="32"/>
  <c r="H20" i="15"/>
  <c r="I20" i="15" s="1"/>
  <c r="F20" i="15"/>
  <c r="G115" i="32"/>
  <c r="AE3" i="31"/>
  <c r="D26" i="32"/>
  <c r="H44" i="31"/>
  <c r="C204" i="32"/>
  <c r="O23" i="31"/>
  <c r="C115" i="32"/>
  <c r="O55" i="31"/>
  <c r="G243" i="32"/>
  <c r="I307" i="32"/>
  <c r="O71" i="31"/>
  <c r="AE4" i="31"/>
  <c r="E26" i="32"/>
  <c r="AE36" i="31"/>
  <c r="I154" i="32"/>
  <c r="D383" i="24"/>
  <c r="D694" i="34"/>
  <c r="E83" i="32"/>
  <c r="O18" i="31"/>
  <c r="H12" i="31"/>
  <c r="F44" i="32"/>
  <c r="O8" i="31"/>
  <c r="I19" i="32"/>
  <c r="O24" i="31"/>
  <c r="D115" i="32"/>
  <c r="O40" i="31"/>
  <c r="F179" i="32"/>
  <c r="O56" i="31"/>
  <c r="H243" i="32"/>
  <c r="O72" i="31"/>
  <c r="C339" i="32"/>
  <c r="AE5" i="31"/>
  <c r="F26" i="32"/>
  <c r="F24" i="15"/>
  <c r="F28" i="15"/>
  <c r="F33" i="15"/>
  <c r="F37" i="15"/>
  <c r="O14" i="31"/>
  <c r="H23" i="31"/>
  <c r="C108" i="32"/>
  <c r="C19" i="32"/>
  <c r="O2" i="31"/>
  <c r="O21" i="31"/>
  <c r="H83" i="32"/>
  <c r="CE48" i="24"/>
  <c r="AE35" i="31"/>
  <c r="H154" i="32"/>
  <c r="O39" i="31"/>
  <c r="E179" i="32"/>
  <c r="O9" i="31"/>
  <c r="C51" i="32"/>
  <c r="O41" i="31"/>
  <c r="G179" i="32"/>
  <c r="O57" i="31"/>
  <c r="I243" i="32"/>
  <c r="O73" i="31"/>
  <c r="D339" i="32"/>
  <c r="AE6" i="31"/>
  <c r="G26" i="32"/>
  <c r="AE22" i="31"/>
  <c r="I90" i="32"/>
  <c r="F41" i="15"/>
  <c r="F57" i="15"/>
  <c r="D5" i="7"/>
  <c r="H58" i="31"/>
  <c r="C268" i="32"/>
  <c r="O10" i="31"/>
  <c r="D51" i="32"/>
  <c r="O42" i="31"/>
  <c r="H179" i="32"/>
  <c r="C275" i="32"/>
  <c r="O58" i="31"/>
  <c r="E339" i="32"/>
  <c r="O74" i="31"/>
  <c r="AE7" i="31"/>
  <c r="H26" i="32"/>
  <c r="AE23" i="31"/>
  <c r="C122" i="32"/>
  <c r="E233" i="24"/>
  <c r="F32" i="6" s="1"/>
  <c r="F19" i="32"/>
  <c r="O46" i="31"/>
  <c r="H10" i="31"/>
  <c r="D44" i="32"/>
  <c r="O53" i="31"/>
  <c r="E243" i="32"/>
  <c r="H307" i="32"/>
  <c r="O70" i="31"/>
  <c r="G332" i="32"/>
  <c r="H76" i="31"/>
  <c r="I362" i="32"/>
  <c r="BK2" i="30"/>
  <c r="O11" i="31"/>
  <c r="E51" i="32"/>
  <c r="O43" i="31"/>
  <c r="I179" i="32"/>
  <c r="D275" i="32"/>
  <c r="O59" i="31"/>
  <c r="O75" i="31"/>
  <c r="F339" i="32"/>
  <c r="AE8" i="31"/>
  <c r="I26" i="32"/>
  <c r="AE24" i="31"/>
  <c r="D122" i="32"/>
  <c r="AE40" i="31"/>
  <c r="F186" i="32"/>
  <c r="G28" i="4"/>
  <c r="E28" i="4"/>
  <c r="C167" i="8"/>
  <c r="D42" i="33"/>
  <c r="F17" i="15"/>
  <c r="F51" i="15"/>
  <c r="F63" i="15"/>
  <c r="G19" i="32"/>
  <c r="F108" i="32"/>
  <c r="G147" i="32"/>
  <c r="O34" i="31"/>
  <c r="AE47" i="31"/>
  <c r="F218" i="32"/>
  <c r="G19" i="4"/>
  <c r="E19" i="4"/>
  <c r="O12" i="31"/>
  <c r="F51" i="32"/>
  <c r="O28" i="31"/>
  <c r="H115" i="32"/>
  <c r="O44" i="31"/>
  <c r="C211" i="32"/>
  <c r="O60" i="31"/>
  <c r="E275" i="32"/>
  <c r="O76" i="31"/>
  <c r="G339" i="32"/>
  <c r="AE9" i="31"/>
  <c r="C58" i="32"/>
  <c r="AE25" i="31"/>
  <c r="E122" i="32"/>
  <c r="AE41" i="31"/>
  <c r="G186" i="32"/>
  <c r="H19" i="32"/>
  <c r="G108" i="32"/>
  <c r="C186" i="32"/>
  <c r="AE34" i="31"/>
  <c r="G154" i="32"/>
  <c r="H75" i="31"/>
  <c r="F332" i="32"/>
  <c r="O13" i="31"/>
  <c r="G51" i="32"/>
  <c r="O29" i="31"/>
  <c r="I115" i="32"/>
  <c r="O61" i="31"/>
  <c r="F275" i="32"/>
  <c r="O77" i="31"/>
  <c r="H339" i="32"/>
  <c r="AE10" i="31"/>
  <c r="D58" i="32"/>
  <c r="F122" i="32"/>
  <c r="AE26" i="31"/>
  <c r="AE42" i="31"/>
  <c r="H186" i="32"/>
  <c r="D341" i="24"/>
  <c r="C87" i="8" s="1"/>
  <c r="H18" i="15"/>
  <c r="I18" i="15" s="1"/>
  <c r="F18" i="15"/>
  <c r="F45" i="15"/>
  <c r="H108" i="32"/>
  <c r="D186" i="32"/>
  <c r="AE31" i="31"/>
  <c r="D154" i="32"/>
  <c r="O37" i="31"/>
  <c r="C179" i="32"/>
  <c r="E90" i="32"/>
  <c r="AE18" i="31"/>
  <c r="H11" i="31"/>
  <c r="E44" i="32"/>
  <c r="O54" i="31"/>
  <c r="F243" i="32"/>
  <c r="AH51" i="31"/>
  <c r="C253" i="32"/>
  <c r="C147" i="32"/>
  <c r="O30" i="31"/>
  <c r="G275" i="32"/>
  <c r="O62" i="31"/>
  <c r="I339" i="32"/>
  <c r="O78" i="31"/>
  <c r="AE11" i="31"/>
  <c r="E58" i="32"/>
  <c r="AE27" i="31"/>
  <c r="G122" i="32"/>
  <c r="AE43" i="31"/>
  <c r="I186" i="32"/>
  <c r="E220" i="24"/>
  <c r="D350" i="24"/>
  <c r="F420" i="24"/>
  <c r="E186" i="32"/>
  <c r="D211" i="32"/>
  <c r="D307" i="32"/>
  <c r="O66" i="31"/>
  <c r="H74" i="31"/>
  <c r="E332" i="32"/>
  <c r="H43" i="31"/>
  <c r="I172" i="32"/>
  <c r="E268" i="32"/>
  <c r="H60" i="31"/>
  <c r="O15" i="31"/>
  <c r="I51" i="32"/>
  <c r="O31" i="31"/>
  <c r="D147" i="32"/>
  <c r="H275" i="32"/>
  <c r="O63" i="31"/>
  <c r="O79" i="31"/>
  <c r="C371" i="32"/>
  <c r="AE12" i="31"/>
  <c r="F58" i="32"/>
  <c r="AE28" i="31"/>
  <c r="H122" i="32"/>
  <c r="AE44" i="31"/>
  <c r="C218" i="32"/>
  <c r="H22" i="15"/>
  <c r="I22" i="15" s="1"/>
  <c r="F22" i="15"/>
  <c r="F90" i="32"/>
  <c r="I147" i="32"/>
  <c r="D697" i="34"/>
  <c r="H71" i="31"/>
  <c r="I300" i="32"/>
  <c r="H12" i="32"/>
  <c r="AE2" i="31"/>
  <c r="C26" i="32"/>
  <c r="I83" i="32"/>
  <c r="O22" i="31"/>
  <c r="O16" i="31"/>
  <c r="C83" i="32"/>
  <c r="O32" i="31"/>
  <c r="E147" i="32"/>
  <c r="O48" i="31"/>
  <c r="G211" i="32"/>
  <c r="O64" i="31"/>
  <c r="I275" i="32"/>
  <c r="D371" i="32"/>
  <c r="O80" i="31"/>
  <c r="AE13" i="31"/>
  <c r="G58" i="32"/>
  <c r="AE29" i="31"/>
  <c r="I122" i="32"/>
  <c r="AE45" i="31"/>
  <c r="D218" i="32"/>
  <c r="D258" i="24"/>
  <c r="D27" i="7" s="1"/>
  <c r="D12" i="33"/>
  <c r="H26" i="15"/>
  <c r="I26" i="15" s="1"/>
  <c r="F26" i="15"/>
  <c r="F30" i="15"/>
  <c r="F35" i="15"/>
  <c r="H39" i="15"/>
  <c r="I39" i="15" s="1"/>
  <c r="F39" i="15"/>
  <c r="G90" i="32"/>
  <c r="F211" i="32"/>
  <c r="C715" i="34"/>
  <c r="D646" i="34"/>
  <c r="F69" i="15"/>
  <c r="D707" i="34"/>
  <c r="D691" i="34"/>
  <c r="D675" i="34"/>
  <c r="D644" i="34"/>
  <c r="D642" i="34"/>
  <c r="D640" i="34"/>
  <c r="D638" i="34"/>
  <c r="D636" i="34"/>
  <c r="D634" i="34"/>
  <c r="D632" i="34"/>
  <c r="D630" i="34"/>
  <c r="D624" i="34"/>
  <c r="D704" i="34"/>
  <c r="D688" i="34"/>
  <c r="D672" i="34"/>
  <c r="D616" i="34"/>
  <c r="D701" i="34"/>
  <c r="D685" i="34"/>
  <c r="D669" i="34"/>
  <c r="D627" i="34"/>
  <c r="D698" i="34"/>
  <c r="D711" i="34"/>
  <c r="D695" i="34"/>
  <c r="D679" i="34"/>
  <c r="D708" i="34"/>
  <c r="D692" i="34"/>
  <c r="D676" i="34"/>
  <c r="D622" i="34"/>
  <c r="D705" i="34"/>
  <c r="D689" i="34"/>
  <c r="D673" i="34"/>
  <c r="D702" i="34"/>
  <c r="D686" i="34"/>
  <c r="D670" i="34"/>
  <c r="D647" i="34"/>
  <c r="D645" i="34"/>
  <c r="D629" i="34"/>
  <c r="D626" i="34"/>
  <c r="D621" i="34"/>
  <c r="D716" i="34"/>
  <c r="D699" i="34"/>
  <c r="D683" i="34"/>
  <c r="D643" i="34"/>
  <c r="D641" i="34"/>
  <c r="D639" i="34"/>
  <c r="D637" i="34"/>
  <c r="D635" i="34"/>
  <c r="D633" i="34"/>
  <c r="D631" i="34"/>
  <c r="D712" i="34"/>
  <c r="D696" i="34"/>
  <c r="D680" i="34"/>
  <c r="D620" i="34"/>
  <c r="D709" i="34"/>
  <c r="D693" i="34"/>
  <c r="D677" i="34"/>
  <c r="D706" i="34"/>
  <c r="D690" i="34"/>
  <c r="D674" i="34"/>
  <c r="D619" i="34"/>
  <c r="D703" i="34"/>
  <c r="D687" i="34"/>
  <c r="D671" i="34"/>
  <c r="D625" i="34"/>
  <c r="D700" i="34"/>
  <c r="D684" i="34"/>
  <c r="D668" i="34"/>
  <c r="D628" i="34"/>
  <c r="D618" i="34"/>
  <c r="D678" i="34"/>
  <c r="D617" i="34"/>
  <c r="D713" i="34"/>
  <c r="E612" i="34" l="1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AC65" i="31"/>
  <c r="CE83" i="24"/>
  <c r="CE69" i="24" s="1"/>
  <c r="I371" i="32" s="1"/>
  <c r="BN69" i="24"/>
  <c r="C50" i="8"/>
  <c r="D352" i="24"/>
  <c r="C103" i="8" s="1"/>
  <c r="F309" i="24"/>
  <c r="C137" i="8"/>
  <c r="E380" i="24"/>
  <c r="E373" i="32"/>
  <c r="C94" i="15"/>
  <c r="G94" i="15" s="1"/>
  <c r="D715" i="34"/>
  <c r="F16" i="6"/>
  <c r="F234" i="24"/>
  <c r="E623" i="34"/>
  <c r="I378" i="32"/>
  <c r="K612" i="24"/>
  <c r="C120" i="8"/>
  <c r="D367" i="24"/>
  <c r="O65" i="31" l="1"/>
  <c r="C307" i="32"/>
  <c r="CE52" i="24"/>
  <c r="C67" i="24"/>
  <c r="M3" i="31"/>
  <c r="D85" i="24"/>
  <c r="D17" i="32"/>
  <c r="M4" i="31"/>
  <c r="E17" i="32"/>
  <c r="E85" i="24"/>
  <c r="M5" i="31"/>
  <c r="F17" i="32"/>
  <c r="F85" i="24"/>
  <c r="G85" i="24"/>
  <c r="M6" i="31"/>
  <c r="G17" i="32"/>
  <c r="H85" i="24"/>
  <c r="M7" i="31"/>
  <c r="H17" i="32"/>
  <c r="M8" i="31"/>
  <c r="I17" i="32"/>
  <c r="I85" i="24"/>
  <c r="J85" i="24"/>
  <c r="M9" i="31"/>
  <c r="C49" i="32"/>
  <c r="K85" i="24"/>
  <c r="M10" i="31"/>
  <c r="D49" i="32"/>
  <c r="L85" i="24"/>
  <c r="M11" i="31"/>
  <c r="E49" i="32"/>
  <c r="M12" i="31"/>
  <c r="F49" i="32"/>
  <c r="M85" i="24"/>
  <c r="M13" i="31"/>
  <c r="G49" i="32"/>
  <c r="N85" i="24"/>
  <c r="M14" i="31"/>
  <c r="H49" i="32"/>
  <c r="O85" i="24"/>
  <c r="P85" i="24"/>
  <c r="M15" i="31"/>
  <c r="I49" i="32"/>
  <c r="Q85" i="24"/>
  <c r="M16" i="31"/>
  <c r="C81" i="32"/>
  <c r="R85" i="24"/>
  <c r="M17" i="31"/>
  <c r="D81" i="32"/>
  <c r="M18" i="31"/>
  <c r="E81" i="32"/>
  <c r="S85" i="24"/>
  <c r="T85" i="24"/>
  <c r="M19" i="31"/>
  <c r="F81" i="32"/>
  <c r="U85" i="24"/>
  <c r="M20" i="31"/>
  <c r="G81" i="32"/>
  <c r="V85" i="24"/>
  <c r="M21" i="31"/>
  <c r="H81" i="32"/>
  <c r="W85" i="24"/>
  <c r="M22" i="31"/>
  <c r="I81" i="32"/>
  <c r="M23" i="31"/>
  <c r="X85" i="24"/>
  <c r="C113" i="32"/>
  <c r="M24" i="31"/>
  <c r="Y85" i="24"/>
  <c r="D113" i="32"/>
  <c r="M25" i="31"/>
  <c r="Z85" i="24"/>
  <c r="E113" i="32"/>
  <c r="M26" i="31"/>
  <c r="F113" i="32"/>
  <c r="AA85" i="24"/>
  <c r="M27" i="31"/>
  <c r="G113" i="32"/>
  <c r="AB85" i="24"/>
  <c r="M28" i="31"/>
  <c r="H113" i="32"/>
  <c r="AC85" i="24"/>
  <c r="M29" i="31"/>
  <c r="I113" i="32"/>
  <c r="AD85" i="24"/>
  <c r="AE85" i="24"/>
  <c r="M30" i="31"/>
  <c r="C145" i="32"/>
  <c r="AF85" i="24"/>
  <c r="M31" i="31"/>
  <c r="D145" i="32"/>
  <c r="AG85" i="24"/>
  <c r="M32" i="31"/>
  <c r="E145" i="32"/>
  <c r="AH85" i="24"/>
  <c r="M33" i="31"/>
  <c r="F145" i="32"/>
  <c r="M34" i="31"/>
  <c r="G145" i="32"/>
  <c r="AI85" i="24"/>
  <c r="M35" i="31"/>
  <c r="AJ85" i="24"/>
  <c r="H145" i="32"/>
  <c r="M36" i="31"/>
  <c r="AK85" i="24"/>
  <c r="I145" i="32"/>
  <c r="AL85" i="24"/>
  <c r="M37" i="31"/>
  <c r="C177" i="32"/>
  <c r="AM85" i="24"/>
  <c r="M38" i="31"/>
  <c r="D177" i="32"/>
  <c r="M39" i="31"/>
  <c r="E177" i="32"/>
  <c r="AN85" i="24"/>
  <c r="AO85" i="24"/>
  <c r="M40" i="31"/>
  <c r="F177" i="32"/>
  <c r="M41" i="31"/>
  <c r="G177" i="32"/>
  <c r="AP85" i="24"/>
  <c r="M42" i="31"/>
  <c r="H177" i="32"/>
  <c r="AQ85" i="24"/>
  <c r="AR85" i="24"/>
  <c r="M43" i="31"/>
  <c r="I177" i="32"/>
  <c r="M44" i="31"/>
  <c r="C209" i="32"/>
  <c r="AS85" i="24"/>
  <c r="AT85" i="24"/>
  <c r="M45" i="31"/>
  <c r="D209" i="32"/>
  <c r="AU85" i="24"/>
  <c r="M46" i="31"/>
  <c r="E209" i="32"/>
  <c r="AV85" i="24"/>
  <c r="M47" i="31"/>
  <c r="F209" i="32"/>
  <c r="AW85" i="24"/>
  <c r="M48" i="31"/>
  <c r="G209" i="32"/>
  <c r="AX85" i="24"/>
  <c r="M49" i="31"/>
  <c r="H209" i="32"/>
  <c r="M50" i="31"/>
  <c r="I209" i="32"/>
  <c r="AY85" i="24"/>
  <c r="AZ85" i="24"/>
  <c r="M51" i="31"/>
  <c r="C241" i="32"/>
  <c r="BA85" i="24"/>
  <c r="M52" i="31"/>
  <c r="D241" i="32"/>
  <c r="BB85" i="24"/>
  <c r="M53" i="31"/>
  <c r="E241" i="32"/>
  <c r="BC85" i="24"/>
  <c r="M54" i="31"/>
  <c r="F241" i="32"/>
  <c r="BD85" i="24"/>
  <c r="M55" i="31"/>
  <c r="G241" i="32"/>
  <c r="M56" i="31"/>
  <c r="H241" i="32"/>
  <c r="BE85" i="24"/>
  <c r="BF85" i="24"/>
  <c r="M57" i="31"/>
  <c r="I241" i="32"/>
  <c r="M58" i="31"/>
  <c r="C273" i="32"/>
  <c r="BG85" i="24"/>
  <c r="M59" i="31"/>
  <c r="D273" i="32"/>
  <c r="BH85" i="24"/>
  <c r="M60" i="31"/>
  <c r="E273" i="32"/>
  <c r="BI85" i="24"/>
  <c r="M61" i="31"/>
  <c r="F273" i="32"/>
  <c r="BJ85" i="24"/>
  <c r="M62" i="31"/>
  <c r="G273" i="32"/>
  <c r="BK85" i="24"/>
  <c r="BL85" i="24"/>
  <c r="H273" i="32"/>
  <c r="M63" i="31"/>
  <c r="BM85" i="24"/>
  <c r="M64" i="31"/>
  <c r="I273" i="32"/>
  <c r="BN85" i="24"/>
  <c r="M65" i="31"/>
  <c r="C305" i="32"/>
  <c r="M66" i="31"/>
  <c r="D305" i="32"/>
  <c r="BO85" i="24"/>
  <c r="BP85" i="24"/>
  <c r="E305" i="32"/>
  <c r="M67" i="31"/>
  <c r="BQ85" i="24"/>
  <c r="F305" i="32"/>
  <c r="M68" i="31"/>
  <c r="BR85" i="24"/>
  <c r="M69" i="31"/>
  <c r="G305" i="32"/>
  <c r="BS85" i="24"/>
  <c r="M70" i="31"/>
  <c r="H305" i="32"/>
  <c r="BT85" i="24"/>
  <c r="M71" i="31"/>
  <c r="I305" i="32"/>
  <c r="BU85" i="24"/>
  <c r="M72" i="31"/>
  <c r="C337" i="32"/>
  <c r="M73" i="31"/>
  <c r="D337" i="32"/>
  <c r="BV85" i="24"/>
  <c r="BW85" i="24"/>
  <c r="M74" i="31"/>
  <c r="E337" i="32"/>
  <c r="BX85" i="24"/>
  <c r="F337" i="32"/>
  <c r="M75" i="31"/>
  <c r="G337" i="32"/>
  <c r="M76" i="31"/>
  <c r="BY85" i="24"/>
  <c r="BZ85" i="24"/>
  <c r="M77" i="31"/>
  <c r="H337" i="32"/>
  <c r="M78" i="31"/>
  <c r="I337" i="32"/>
  <c r="CA85" i="24"/>
  <c r="CB85" i="24"/>
  <c r="C369" i="32"/>
  <c r="M79" i="31"/>
  <c r="CC85" i="24"/>
  <c r="M80" i="31"/>
  <c r="D369" i="32"/>
  <c r="C121" i="8"/>
  <c r="D384" i="24"/>
  <c r="E704" i="34"/>
  <c r="E688" i="34"/>
  <c r="E672" i="34"/>
  <c r="E701" i="34"/>
  <c r="E685" i="34"/>
  <c r="E669" i="34"/>
  <c r="E627" i="34"/>
  <c r="E698" i="34"/>
  <c r="E682" i="34"/>
  <c r="E711" i="34"/>
  <c r="E695" i="34"/>
  <c r="E708" i="34"/>
  <c r="E692" i="34"/>
  <c r="E676" i="34"/>
  <c r="E705" i="34"/>
  <c r="E689" i="34"/>
  <c r="E673" i="34"/>
  <c r="E702" i="34"/>
  <c r="E686" i="34"/>
  <c r="E670" i="34"/>
  <c r="E647" i="34"/>
  <c r="E645" i="34"/>
  <c r="E629" i="34"/>
  <c r="E626" i="34"/>
  <c r="E716" i="34"/>
  <c r="E699" i="34"/>
  <c r="E683" i="34"/>
  <c r="E643" i="34"/>
  <c r="E641" i="34"/>
  <c r="E639" i="34"/>
  <c r="E637" i="34"/>
  <c r="E635" i="34"/>
  <c r="E633" i="34"/>
  <c r="E631" i="34"/>
  <c r="E712" i="34"/>
  <c r="E696" i="34"/>
  <c r="E680" i="34"/>
  <c r="E709" i="34"/>
  <c r="E693" i="34"/>
  <c r="E677" i="34"/>
  <c r="E706" i="34"/>
  <c r="E690" i="34"/>
  <c r="E674" i="34"/>
  <c r="E703" i="34"/>
  <c r="E687" i="34"/>
  <c r="E671" i="34"/>
  <c r="E625" i="34"/>
  <c r="E700" i="34"/>
  <c r="E684" i="34"/>
  <c r="E668" i="34"/>
  <c r="E628" i="34"/>
  <c r="E713" i="34"/>
  <c r="E697" i="34"/>
  <c r="E681" i="34"/>
  <c r="E707" i="34"/>
  <c r="E636" i="34"/>
  <c r="E642" i="34"/>
  <c r="E679" i="34"/>
  <c r="E691" i="34"/>
  <c r="E678" i="34"/>
  <c r="E634" i="34"/>
  <c r="E646" i="34"/>
  <c r="E640" i="34"/>
  <c r="E710" i="34"/>
  <c r="E624" i="34"/>
  <c r="E632" i="34"/>
  <c r="E638" i="34"/>
  <c r="E694" i="34"/>
  <c r="E644" i="34"/>
  <c r="E675" i="34"/>
  <c r="E630" i="34"/>
  <c r="D373" i="32" l="1"/>
  <c r="C93" i="15"/>
  <c r="G93" i="15" s="1"/>
  <c r="C620" i="24"/>
  <c r="C373" i="32"/>
  <c r="C92" i="15"/>
  <c r="G92" i="15" s="1"/>
  <c r="C622" i="24"/>
  <c r="I341" i="32"/>
  <c r="C91" i="15"/>
  <c r="G91" i="15" s="1"/>
  <c r="C647" i="24"/>
  <c r="H341" i="32"/>
  <c r="C90" i="15"/>
  <c r="G90" i="15" s="1"/>
  <c r="C646" i="24"/>
  <c r="G341" i="32"/>
  <c r="C89" i="15"/>
  <c r="G89" i="15" s="1"/>
  <c r="C645" i="24"/>
  <c r="F341" i="32"/>
  <c r="C88" i="15"/>
  <c r="G88" i="15" s="1"/>
  <c r="C644" i="24"/>
  <c r="E341" i="32"/>
  <c r="C87" i="15"/>
  <c r="G87" i="15" s="1"/>
  <c r="C643" i="24"/>
  <c r="D341" i="32"/>
  <c r="C86" i="15"/>
  <c r="G86" i="15" s="1"/>
  <c r="C642" i="24"/>
  <c r="C341" i="32"/>
  <c r="C85" i="15"/>
  <c r="G85" i="15" s="1"/>
  <c r="C641" i="24"/>
  <c r="I309" i="32"/>
  <c r="C84" i="15"/>
  <c r="G84" i="15" s="1"/>
  <c r="C640" i="24"/>
  <c r="H309" i="32"/>
  <c r="C83" i="15"/>
  <c r="G83" i="15" s="1"/>
  <c r="C639" i="24"/>
  <c r="G309" i="32"/>
  <c r="C82" i="15"/>
  <c r="G82" i="15" s="1"/>
  <c r="C626" i="24"/>
  <c r="F309" i="32"/>
  <c r="C81" i="15"/>
  <c r="G81" i="15" s="1"/>
  <c r="C623" i="24"/>
  <c r="E309" i="32"/>
  <c r="C80" i="15"/>
  <c r="G80" i="15" s="1"/>
  <c r="C621" i="24"/>
  <c r="D309" i="32"/>
  <c r="C79" i="15"/>
  <c r="G79" i="15" s="1"/>
  <c r="C627" i="24"/>
  <c r="C309" i="32"/>
  <c r="C78" i="15"/>
  <c r="G78" i="15" s="1"/>
  <c r="C619" i="24"/>
  <c r="C77" i="15"/>
  <c r="G77" i="15" s="1"/>
  <c r="I277" i="32"/>
  <c r="C638" i="24"/>
  <c r="C76" i="15"/>
  <c r="G76" i="15" s="1"/>
  <c r="H277" i="32"/>
  <c r="C637" i="24"/>
  <c r="G277" i="32"/>
  <c r="C75" i="15"/>
  <c r="G75" i="15" s="1"/>
  <c r="C635" i="24"/>
  <c r="F277" i="32"/>
  <c r="C74" i="15"/>
  <c r="G74" i="15" s="1"/>
  <c r="C617" i="24"/>
  <c r="E277" i="32"/>
  <c r="C73" i="15"/>
  <c r="G73" i="15" s="1"/>
  <c r="C634" i="24"/>
  <c r="D277" i="32"/>
  <c r="C72" i="15"/>
  <c r="G72" i="15" s="1"/>
  <c r="C636" i="24"/>
  <c r="C277" i="32"/>
  <c r="C71" i="15"/>
  <c r="G71" i="15" s="1"/>
  <c r="C618" i="24"/>
  <c r="C70" i="15"/>
  <c r="G70" i="15" s="1"/>
  <c r="I245" i="32"/>
  <c r="C629" i="24"/>
  <c r="H245" i="32"/>
  <c r="C69" i="15"/>
  <c r="C614" i="24"/>
  <c r="G245" i="32"/>
  <c r="C68" i="15"/>
  <c r="G68" i="15" s="1"/>
  <c r="C624" i="24"/>
  <c r="C67" i="15"/>
  <c r="G67" i="15" s="1"/>
  <c r="F245" i="32"/>
  <c r="C633" i="24"/>
  <c r="C66" i="15"/>
  <c r="G66" i="15" s="1"/>
  <c r="E245" i="32"/>
  <c r="C632" i="24"/>
  <c r="D245" i="32"/>
  <c r="C65" i="15"/>
  <c r="C630" i="24"/>
  <c r="C64" i="15"/>
  <c r="C245" i="32"/>
  <c r="C628" i="24"/>
  <c r="I213" i="32"/>
  <c r="C63" i="15"/>
  <c r="C625" i="24"/>
  <c r="C616" i="24"/>
  <c r="H213" i="32"/>
  <c r="C62" i="15"/>
  <c r="C61" i="15"/>
  <c r="G213" i="32"/>
  <c r="C631" i="24"/>
  <c r="C713" i="24"/>
  <c r="C60" i="15"/>
  <c r="F213" i="32"/>
  <c r="E213" i="32"/>
  <c r="C712" i="24"/>
  <c r="C59" i="15"/>
  <c r="G59" i="15" s="1"/>
  <c r="D213" i="32"/>
  <c r="C58" i="15"/>
  <c r="G58" i="15" s="1"/>
  <c r="C711" i="24"/>
  <c r="C710" i="24"/>
  <c r="C213" i="32"/>
  <c r="C57" i="15"/>
  <c r="G57" i="15" s="1"/>
  <c r="I181" i="32"/>
  <c r="C56" i="15"/>
  <c r="G56" i="15" s="1"/>
  <c r="C709" i="24"/>
  <c r="H181" i="32"/>
  <c r="C708" i="24"/>
  <c r="C55" i="15"/>
  <c r="G55" i="15" s="1"/>
  <c r="C54" i="15"/>
  <c r="G54" i="15" s="1"/>
  <c r="G181" i="32"/>
  <c r="C707" i="24"/>
  <c r="F181" i="32"/>
  <c r="C53" i="15"/>
  <c r="C706" i="24"/>
  <c r="C52" i="15"/>
  <c r="G52" i="15" s="1"/>
  <c r="E181" i="32"/>
  <c r="C705" i="24"/>
  <c r="C704" i="24"/>
  <c r="D181" i="32"/>
  <c r="C51" i="15"/>
  <c r="G51" i="15" s="1"/>
  <c r="C50" i="15"/>
  <c r="C181" i="32"/>
  <c r="C703" i="24"/>
  <c r="I149" i="32"/>
  <c r="C49" i="15"/>
  <c r="C702" i="24"/>
  <c r="H149" i="32"/>
  <c r="C701" i="24"/>
  <c r="C48" i="15"/>
  <c r="G149" i="32"/>
  <c r="C700" i="24"/>
  <c r="C47" i="15"/>
  <c r="G47" i="15" s="1"/>
  <c r="F149" i="32"/>
  <c r="C46" i="15"/>
  <c r="G46" i="15" s="1"/>
  <c r="C699" i="24"/>
  <c r="E149" i="32"/>
  <c r="C45" i="15"/>
  <c r="C698" i="24"/>
  <c r="C697" i="24"/>
  <c r="C44" i="15"/>
  <c r="G44" i="15" s="1"/>
  <c r="D149" i="32"/>
  <c r="C149" i="32"/>
  <c r="C696" i="24"/>
  <c r="C43" i="15"/>
  <c r="C42" i="15"/>
  <c r="G42" i="15" s="1"/>
  <c r="I117" i="32"/>
  <c r="C695" i="24"/>
  <c r="C694" i="24"/>
  <c r="H117" i="32"/>
  <c r="C41" i="15"/>
  <c r="C40" i="15"/>
  <c r="G40" i="15" s="1"/>
  <c r="G117" i="32"/>
  <c r="C693" i="24"/>
  <c r="F117" i="32"/>
  <c r="C692" i="24"/>
  <c r="C39" i="15"/>
  <c r="G39" i="15" s="1"/>
  <c r="E117" i="32"/>
  <c r="C38" i="15"/>
  <c r="G38" i="15" s="1"/>
  <c r="C691" i="24"/>
  <c r="D117" i="32"/>
  <c r="C37" i="15"/>
  <c r="C690" i="24"/>
  <c r="C36" i="15"/>
  <c r="C117" i="32"/>
  <c r="C689" i="24"/>
  <c r="C688" i="24"/>
  <c r="I85" i="32"/>
  <c r="C35" i="15"/>
  <c r="C34" i="15"/>
  <c r="G34" i="15" s="1"/>
  <c r="H85" i="32"/>
  <c r="C687" i="24"/>
  <c r="C33" i="15"/>
  <c r="G85" i="32"/>
  <c r="C686" i="24"/>
  <c r="C685" i="24"/>
  <c r="F85" i="32"/>
  <c r="C32" i="15"/>
  <c r="G32" i="15" s="1"/>
  <c r="C31" i="15"/>
  <c r="G31" i="15" s="1"/>
  <c r="E85" i="32"/>
  <c r="C684" i="24"/>
  <c r="C30" i="15"/>
  <c r="D85" i="32"/>
  <c r="C683" i="24"/>
  <c r="C29" i="15"/>
  <c r="C85" i="32"/>
  <c r="C682" i="24"/>
  <c r="I53" i="32"/>
  <c r="C28" i="15"/>
  <c r="C681" i="24"/>
  <c r="C27" i="15"/>
  <c r="G27" i="15" s="1"/>
  <c r="H53" i="32"/>
  <c r="C680" i="24"/>
  <c r="G53" i="32"/>
  <c r="C26" i="15"/>
  <c r="G26" i="15" s="1"/>
  <c r="C679" i="24"/>
  <c r="C25" i="15"/>
  <c r="G25" i="15" s="1"/>
  <c r="F53" i="32"/>
  <c r="C678" i="24"/>
  <c r="E53" i="32"/>
  <c r="C24" i="15"/>
  <c r="C677" i="24"/>
  <c r="C23" i="15"/>
  <c r="D53" i="32"/>
  <c r="C676" i="24"/>
  <c r="C53" i="32"/>
  <c r="C22" i="15"/>
  <c r="G22" i="15" s="1"/>
  <c r="C675" i="24"/>
  <c r="C21" i="15"/>
  <c r="G21" i="15" s="1"/>
  <c r="I21" i="32"/>
  <c r="C674" i="24"/>
  <c r="C673" i="24"/>
  <c r="C20" i="15"/>
  <c r="G20" i="15" s="1"/>
  <c r="H21" i="32"/>
  <c r="G21" i="32"/>
  <c r="C19" i="15"/>
  <c r="G19" i="15" s="1"/>
  <c r="C672" i="24"/>
  <c r="F21" i="32"/>
  <c r="C18" i="15"/>
  <c r="G18" i="15" s="1"/>
  <c r="C671" i="24"/>
  <c r="C17" i="15"/>
  <c r="E21" i="32"/>
  <c r="C670" i="24"/>
  <c r="D21" i="32"/>
  <c r="C669" i="24"/>
  <c r="C16" i="15"/>
  <c r="G16" i="15" s="1"/>
  <c r="M2" i="31"/>
  <c r="C17" i="32"/>
  <c r="CE67" i="24"/>
  <c r="I369" i="32" s="1"/>
  <c r="C85" i="24"/>
  <c r="C138" i="8"/>
  <c r="D417" i="24"/>
  <c r="E715" i="34"/>
  <c r="F624" i="34"/>
  <c r="C15" i="15" l="1"/>
  <c r="G15" i="15" s="1"/>
  <c r="C21" i="32"/>
  <c r="C668" i="24"/>
  <c r="CE85" i="24"/>
  <c r="G17" i="15"/>
  <c r="H17" i="15"/>
  <c r="I17" i="15" s="1"/>
  <c r="G23" i="15"/>
  <c r="H23" i="15"/>
  <c r="I23" i="15" s="1"/>
  <c r="G24" i="15"/>
  <c r="H24" i="15"/>
  <c r="I24" i="15" s="1"/>
  <c r="G28" i="15"/>
  <c r="H28" i="15"/>
  <c r="I28" i="15" s="1"/>
  <c r="G29" i="15"/>
  <c r="H29" i="15"/>
  <c r="G30" i="15"/>
  <c r="H30" i="15"/>
  <c r="G33" i="15"/>
  <c r="H33" i="15"/>
  <c r="I33" i="15" s="1"/>
  <c r="G35" i="15"/>
  <c r="H35" i="15"/>
  <c r="I35" i="15" s="1"/>
  <c r="G36" i="15"/>
  <c r="H36" i="15"/>
  <c r="I36" i="15" s="1"/>
  <c r="G37" i="15"/>
  <c r="H37" i="15"/>
  <c r="I37" i="15" s="1"/>
  <c r="G41" i="15"/>
  <c r="H41" i="15"/>
  <c r="I41" i="15" s="1"/>
  <c r="G43" i="15"/>
  <c r="H43" i="15"/>
  <c r="I43" i="15" s="1"/>
  <c r="G45" i="15"/>
  <c r="H45" i="15"/>
  <c r="I45" i="15" s="1"/>
  <c r="G48" i="15"/>
  <c r="H48" i="15"/>
  <c r="I48" i="15" s="1"/>
  <c r="G49" i="15"/>
  <c r="H49" i="15"/>
  <c r="I49" i="15" s="1"/>
  <c r="G50" i="15"/>
  <c r="H50" i="15"/>
  <c r="I50" i="15" s="1"/>
  <c r="G53" i="15"/>
  <c r="H53" i="15"/>
  <c r="I53" i="15" s="1"/>
  <c r="G63" i="15"/>
  <c r="H63" i="15"/>
  <c r="G64" i="15"/>
  <c r="H64" i="15"/>
  <c r="I64" i="15" s="1"/>
  <c r="G65" i="15"/>
  <c r="H65" i="15"/>
  <c r="I65" i="15" s="1"/>
  <c r="C715" i="24"/>
  <c r="C648" i="24"/>
  <c r="M716" i="24" s="1"/>
  <c r="D615" i="24"/>
  <c r="G69" i="15"/>
  <c r="H69" i="15"/>
  <c r="I69" i="15" s="1"/>
  <c r="F701" i="34"/>
  <c r="F685" i="34"/>
  <c r="F669" i="34"/>
  <c r="F627" i="34"/>
  <c r="F698" i="34"/>
  <c r="F682" i="34"/>
  <c r="F711" i="34"/>
  <c r="F695" i="34"/>
  <c r="F679" i="34"/>
  <c r="F708" i="34"/>
  <c r="F692" i="34"/>
  <c r="F705" i="34"/>
  <c r="F689" i="34"/>
  <c r="F673" i="34"/>
  <c r="F702" i="34"/>
  <c r="F686" i="34"/>
  <c r="F670" i="34"/>
  <c r="F647" i="34"/>
  <c r="F645" i="34"/>
  <c r="F629" i="34"/>
  <c r="F626" i="34"/>
  <c r="F716" i="34"/>
  <c r="F699" i="34"/>
  <c r="F683" i="34"/>
  <c r="F643" i="34"/>
  <c r="F641" i="34"/>
  <c r="F639" i="34"/>
  <c r="F637" i="34"/>
  <c r="F635" i="34"/>
  <c r="F633" i="34"/>
  <c r="F631" i="34"/>
  <c r="F712" i="34"/>
  <c r="F696" i="34"/>
  <c r="F680" i="34"/>
  <c r="F709" i="34"/>
  <c r="F693" i="34"/>
  <c r="F677" i="34"/>
  <c r="F706" i="34"/>
  <c r="F690" i="34"/>
  <c r="F674" i="34"/>
  <c r="F703" i="34"/>
  <c r="F687" i="34"/>
  <c r="F671" i="34"/>
  <c r="F625" i="34"/>
  <c r="F700" i="34"/>
  <c r="F684" i="34"/>
  <c r="F668" i="34"/>
  <c r="F628" i="34"/>
  <c r="F713" i="34"/>
  <c r="F697" i="34"/>
  <c r="F681" i="34"/>
  <c r="F710" i="34"/>
  <c r="F694" i="34"/>
  <c r="F678" i="34"/>
  <c r="F646" i="34"/>
  <c r="F642" i="34"/>
  <c r="F691" i="34"/>
  <c r="F634" i="34"/>
  <c r="F640" i="34"/>
  <c r="F704" i="34"/>
  <c r="F672" i="34"/>
  <c r="F632" i="34"/>
  <c r="F638" i="34"/>
  <c r="F688" i="34"/>
  <c r="F676" i="34"/>
  <c r="F644" i="34"/>
  <c r="F675" i="34"/>
  <c r="F630" i="34"/>
  <c r="F707" i="34"/>
  <c r="F636" i="34"/>
  <c r="C168" i="8"/>
  <c r="D421" i="24"/>
  <c r="D710" i="24" l="1"/>
  <c r="D694" i="24"/>
  <c r="D707" i="24"/>
  <c r="D691" i="24"/>
  <c r="D701" i="24"/>
  <c r="D685" i="24"/>
  <c r="D698" i="24"/>
  <c r="D682" i="24"/>
  <c r="D711" i="24"/>
  <c r="D708" i="24"/>
  <c r="D705" i="24"/>
  <c r="D689" i="24"/>
  <c r="D709" i="24"/>
  <c r="D693" i="24"/>
  <c r="D716" i="24"/>
  <c r="D683" i="24"/>
  <c r="D646" i="24"/>
  <c r="D617" i="24"/>
  <c r="D702" i="24"/>
  <c r="D697" i="24"/>
  <c r="D678" i="24"/>
  <c r="D675" i="24"/>
  <c r="D644" i="24"/>
  <c r="D642" i="24"/>
  <c r="D640" i="24"/>
  <c r="D638" i="24"/>
  <c r="D636" i="24"/>
  <c r="D634" i="24"/>
  <c r="D632" i="24"/>
  <c r="D630" i="24"/>
  <c r="D624" i="24"/>
  <c r="D692" i="24"/>
  <c r="D690" i="24"/>
  <c r="D672" i="24"/>
  <c r="D616" i="24"/>
  <c r="D620" i="24"/>
  <c r="D699" i="24"/>
  <c r="D669" i="24"/>
  <c r="D627" i="24"/>
  <c r="D668" i="24"/>
  <c r="D681" i="24"/>
  <c r="D623" i="24"/>
  <c r="D700" i="24"/>
  <c r="D688" i="24"/>
  <c r="D686" i="24"/>
  <c r="D676" i="24"/>
  <c r="D622" i="24"/>
  <c r="D696" i="24"/>
  <c r="D679" i="24"/>
  <c r="D673" i="24"/>
  <c r="D704" i="24"/>
  <c r="D684" i="24"/>
  <c r="D670" i="24"/>
  <c r="D647" i="24"/>
  <c r="D645" i="24"/>
  <c r="D629" i="24"/>
  <c r="D626" i="24"/>
  <c r="D621" i="24"/>
  <c r="D643" i="24"/>
  <c r="D641" i="24"/>
  <c r="D639" i="24"/>
  <c r="D637" i="24"/>
  <c r="D635" i="24"/>
  <c r="D633" i="24"/>
  <c r="D631" i="24"/>
  <c r="D713" i="24"/>
  <c r="D677" i="24"/>
  <c r="D618" i="24"/>
  <c r="D706" i="24"/>
  <c r="D674" i="24"/>
  <c r="D619" i="24"/>
  <c r="D712" i="24"/>
  <c r="D703" i="24"/>
  <c r="D695" i="24"/>
  <c r="D687" i="24"/>
  <c r="D680" i="24"/>
  <c r="D671" i="24"/>
  <c r="D625" i="24"/>
  <c r="D628" i="24"/>
  <c r="I373" i="32"/>
  <c r="C716" i="24"/>
  <c r="F715" i="34"/>
  <c r="G625" i="34"/>
  <c r="D424" i="24"/>
  <c r="C177" i="8" s="1"/>
  <c r="C172" i="8"/>
  <c r="D715" i="24" l="1"/>
  <c r="E623" i="24"/>
  <c r="E612" i="24"/>
  <c r="G698" i="34"/>
  <c r="G682" i="34"/>
  <c r="G711" i="34"/>
  <c r="G695" i="34"/>
  <c r="G679" i="34"/>
  <c r="G708" i="34"/>
  <c r="G692" i="34"/>
  <c r="G676" i="34"/>
  <c r="G705" i="34"/>
  <c r="G689" i="34"/>
  <c r="G702" i="34"/>
  <c r="G686" i="34"/>
  <c r="G670" i="34"/>
  <c r="G647" i="34"/>
  <c r="G645" i="34"/>
  <c r="G629" i="34"/>
  <c r="G626" i="34"/>
  <c r="G716" i="34"/>
  <c r="G699" i="34"/>
  <c r="G683" i="34"/>
  <c r="G643" i="34"/>
  <c r="G641" i="34"/>
  <c r="G639" i="34"/>
  <c r="G637" i="34"/>
  <c r="G635" i="34"/>
  <c r="G633" i="34"/>
  <c r="G631" i="34"/>
  <c r="G712" i="34"/>
  <c r="G696" i="34"/>
  <c r="G680" i="34"/>
  <c r="G709" i="34"/>
  <c r="G693" i="34"/>
  <c r="G677" i="34"/>
  <c r="G706" i="34"/>
  <c r="G690" i="34"/>
  <c r="G674" i="34"/>
  <c r="G703" i="34"/>
  <c r="G687" i="34"/>
  <c r="G671" i="34"/>
  <c r="G700" i="34"/>
  <c r="G684" i="34"/>
  <c r="G668" i="34"/>
  <c r="G628" i="34"/>
  <c r="G713" i="34"/>
  <c r="G697" i="34"/>
  <c r="G681" i="34"/>
  <c r="G710" i="34"/>
  <c r="G694" i="34"/>
  <c r="G678" i="34"/>
  <c r="G646" i="34"/>
  <c r="G707" i="34"/>
  <c r="G691" i="34"/>
  <c r="G675" i="34"/>
  <c r="G644" i="34"/>
  <c r="G642" i="34"/>
  <c r="G640" i="34"/>
  <c r="G638" i="34"/>
  <c r="G636" i="34"/>
  <c r="G634" i="34"/>
  <c r="G632" i="34"/>
  <c r="G630" i="34"/>
  <c r="G669" i="34"/>
  <c r="G685" i="34"/>
  <c r="G673" i="34"/>
  <c r="G627" i="34"/>
  <c r="G704" i="34"/>
  <c r="G672" i="34"/>
  <c r="G688" i="34"/>
  <c r="G701" i="34"/>
  <c r="H628" i="34" l="1"/>
  <c r="E707" i="24"/>
  <c r="E704" i="24"/>
  <c r="E698" i="24"/>
  <c r="E711" i="24"/>
  <c r="E695" i="24"/>
  <c r="E679" i="24"/>
  <c r="E708" i="24"/>
  <c r="E705" i="24"/>
  <c r="E702" i="24"/>
  <c r="E686" i="24"/>
  <c r="E716" i="24"/>
  <c r="E706" i="24"/>
  <c r="E697" i="24"/>
  <c r="E678" i="24"/>
  <c r="E675" i="24"/>
  <c r="E644" i="24"/>
  <c r="E642" i="24"/>
  <c r="E640" i="24"/>
  <c r="E638" i="24"/>
  <c r="E636" i="24"/>
  <c r="E634" i="24"/>
  <c r="E632" i="24"/>
  <c r="E630" i="24"/>
  <c r="E624" i="24"/>
  <c r="E692" i="24"/>
  <c r="E690" i="24"/>
  <c r="E672" i="24"/>
  <c r="E699" i="24"/>
  <c r="E669" i="24"/>
  <c r="E627" i="24"/>
  <c r="E681" i="24"/>
  <c r="E688" i="24"/>
  <c r="E694" i="24"/>
  <c r="E676" i="24"/>
  <c r="E696" i="24"/>
  <c r="E673" i="24"/>
  <c r="E684" i="24"/>
  <c r="E670" i="24"/>
  <c r="E647" i="24"/>
  <c r="E645" i="24"/>
  <c r="E629" i="24"/>
  <c r="E626" i="24"/>
  <c r="E701" i="24"/>
  <c r="E643" i="24"/>
  <c r="E641" i="24"/>
  <c r="E639" i="24"/>
  <c r="E637" i="24"/>
  <c r="E635" i="24"/>
  <c r="E633" i="24"/>
  <c r="E631" i="24"/>
  <c r="E710" i="24"/>
  <c r="E683" i="24"/>
  <c r="E646" i="24"/>
  <c r="E713" i="24"/>
  <c r="E691" i="24"/>
  <c r="E689" i="24"/>
  <c r="E682" i="24"/>
  <c r="E677" i="24"/>
  <c r="E693" i="24"/>
  <c r="E674" i="24"/>
  <c r="E709" i="24"/>
  <c r="E703" i="24"/>
  <c r="E687" i="24"/>
  <c r="E680" i="24"/>
  <c r="E671" i="24"/>
  <c r="E625" i="24"/>
  <c r="E712" i="24"/>
  <c r="E700" i="24"/>
  <c r="E668" i="24"/>
  <c r="E628" i="24"/>
  <c r="E685" i="24"/>
  <c r="H711" i="34"/>
  <c r="H695" i="34"/>
  <c r="H679" i="34"/>
  <c r="H708" i="34"/>
  <c r="H692" i="34"/>
  <c r="H676" i="34"/>
  <c r="H705" i="34"/>
  <c r="H689" i="34"/>
  <c r="H673" i="34"/>
  <c r="H702" i="34"/>
  <c r="H686" i="34"/>
  <c r="H716" i="34"/>
  <c r="H699" i="34"/>
  <c r="H683" i="34"/>
  <c r="H643" i="34"/>
  <c r="H641" i="34"/>
  <c r="H639" i="34"/>
  <c r="H637" i="34"/>
  <c r="H635" i="34"/>
  <c r="H633" i="34"/>
  <c r="H631" i="34"/>
  <c r="H712" i="34"/>
  <c r="H696" i="34"/>
  <c r="H680" i="34"/>
  <c r="H709" i="34"/>
  <c r="H693" i="34"/>
  <c r="H677" i="34"/>
  <c r="H706" i="34"/>
  <c r="H690" i="34"/>
  <c r="H674" i="34"/>
  <c r="H703" i="34"/>
  <c r="H687" i="34"/>
  <c r="H671" i="34"/>
  <c r="H700" i="34"/>
  <c r="H684" i="34"/>
  <c r="H668" i="34"/>
  <c r="H713" i="34"/>
  <c r="H697" i="34"/>
  <c r="H681" i="34"/>
  <c r="H710" i="34"/>
  <c r="H694" i="34"/>
  <c r="H678" i="34"/>
  <c r="H646" i="34"/>
  <c r="H707" i="34"/>
  <c r="H691" i="34"/>
  <c r="H675" i="34"/>
  <c r="H644" i="34"/>
  <c r="H642" i="34"/>
  <c r="H640" i="34"/>
  <c r="H638" i="34"/>
  <c r="H636" i="34"/>
  <c r="H634" i="34"/>
  <c r="H632" i="34"/>
  <c r="H630" i="34"/>
  <c r="H704" i="34"/>
  <c r="H688" i="34"/>
  <c r="H672" i="34"/>
  <c r="H685" i="34"/>
  <c r="H629" i="34"/>
  <c r="H698" i="34"/>
  <c r="H647" i="34"/>
  <c r="H682" i="34"/>
  <c r="H645" i="34"/>
  <c r="H701" i="34"/>
  <c r="H670" i="34"/>
  <c r="H669" i="34"/>
  <c r="G715" i="34"/>
  <c r="F624" i="24" l="1"/>
  <c r="E715" i="24"/>
  <c r="H715" i="34"/>
  <c r="I629" i="34"/>
  <c r="F704" i="24" l="1"/>
  <c r="F701" i="24"/>
  <c r="F711" i="24"/>
  <c r="F695" i="24"/>
  <c r="F708" i="24"/>
  <c r="F692" i="24"/>
  <c r="F705" i="24"/>
  <c r="F702" i="24"/>
  <c r="F716" i="24"/>
  <c r="F699" i="24"/>
  <c r="F683" i="24"/>
  <c r="F712" i="24"/>
  <c r="F703" i="24"/>
  <c r="F690" i="24"/>
  <c r="F672" i="24"/>
  <c r="F669" i="24"/>
  <c r="F627" i="24"/>
  <c r="F681" i="24"/>
  <c r="F688" i="24"/>
  <c r="F694" i="24"/>
  <c r="F686" i="24"/>
  <c r="F676" i="24"/>
  <c r="F696" i="24"/>
  <c r="F673" i="24"/>
  <c r="F684" i="24"/>
  <c r="F679" i="24"/>
  <c r="F670" i="24"/>
  <c r="F647" i="24"/>
  <c r="F645" i="24"/>
  <c r="F629" i="24"/>
  <c r="F626" i="24"/>
  <c r="F707" i="24"/>
  <c r="F643" i="24"/>
  <c r="F641" i="24"/>
  <c r="F639" i="24"/>
  <c r="F637" i="24"/>
  <c r="F635" i="24"/>
  <c r="F633" i="24"/>
  <c r="F631" i="24"/>
  <c r="F710" i="24"/>
  <c r="F713" i="24"/>
  <c r="F698" i="24"/>
  <c r="F691" i="24"/>
  <c r="F689" i="24"/>
  <c r="F682" i="24"/>
  <c r="F677" i="24"/>
  <c r="F638" i="24"/>
  <c r="F634" i="24"/>
  <c r="F693" i="24"/>
  <c r="F674" i="24"/>
  <c r="F709" i="24"/>
  <c r="F706" i="24"/>
  <c r="F687" i="24"/>
  <c r="F680" i="24"/>
  <c r="F671" i="24"/>
  <c r="F625" i="24"/>
  <c r="F700" i="24"/>
  <c r="F668" i="24"/>
  <c r="F628" i="24"/>
  <c r="F685" i="24"/>
  <c r="F646" i="24"/>
  <c r="F697" i="24"/>
  <c r="F675" i="24"/>
  <c r="F644" i="24"/>
  <c r="F642" i="24"/>
  <c r="F640" i="24"/>
  <c r="F636" i="24"/>
  <c r="F632" i="24"/>
  <c r="F630" i="24"/>
  <c r="F678" i="24"/>
  <c r="I708" i="34"/>
  <c r="I692" i="34"/>
  <c r="I676" i="34"/>
  <c r="I705" i="34"/>
  <c r="I689" i="34"/>
  <c r="I673" i="34"/>
  <c r="I702" i="34"/>
  <c r="I686" i="34"/>
  <c r="I670" i="34"/>
  <c r="I647" i="34"/>
  <c r="I645" i="34"/>
  <c r="I716" i="34"/>
  <c r="I699" i="34"/>
  <c r="I712" i="34"/>
  <c r="I696" i="34"/>
  <c r="I680" i="34"/>
  <c r="I709" i="34"/>
  <c r="I693" i="34"/>
  <c r="I677" i="34"/>
  <c r="I706" i="34"/>
  <c r="I690" i="34"/>
  <c r="I674" i="34"/>
  <c r="I703" i="34"/>
  <c r="I687" i="34"/>
  <c r="I671" i="34"/>
  <c r="I700" i="34"/>
  <c r="I684" i="34"/>
  <c r="I668" i="34"/>
  <c r="I713" i="34"/>
  <c r="I697" i="34"/>
  <c r="I681" i="34"/>
  <c r="I710" i="34"/>
  <c r="I694" i="34"/>
  <c r="I678" i="34"/>
  <c r="I646" i="34"/>
  <c r="I707" i="34"/>
  <c r="I691" i="34"/>
  <c r="I675" i="34"/>
  <c r="I644" i="34"/>
  <c r="I642" i="34"/>
  <c r="I640" i="34"/>
  <c r="I638" i="34"/>
  <c r="I636" i="34"/>
  <c r="I634" i="34"/>
  <c r="I632" i="34"/>
  <c r="I630" i="34"/>
  <c r="I704" i="34"/>
  <c r="I688" i="34"/>
  <c r="I672" i="34"/>
  <c r="I701" i="34"/>
  <c r="I685" i="34"/>
  <c r="I669" i="34"/>
  <c r="I679" i="34"/>
  <c r="I635" i="34"/>
  <c r="I698" i="34"/>
  <c r="I641" i="34"/>
  <c r="I711" i="34"/>
  <c r="I683" i="34"/>
  <c r="I633" i="34"/>
  <c r="I682" i="34"/>
  <c r="I639" i="34"/>
  <c r="I695" i="34"/>
  <c r="I631" i="34"/>
  <c r="I643" i="34"/>
  <c r="I637" i="34"/>
  <c r="F715" i="24" l="1"/>
  <c r="G625" i="24"/>
  <c r="I715" i="34"/>
  <c r="J630" i="34"/>
  <c r="G701" i="24" l="1"/>
  <c r="G698" i="24"/>
  <c r="G708" i="24"/>
  <c r="G692" i="24"/>
  <c r="G705" i="24"/>
  <c r="G689" i="24"/>
  <c r="G702" i="24"/>
  <c r="G716" i="24"/>
  <c r="G699" i="24"/>
  <c r="G712" i="24"/>
  <c r="G696" i="24"/>
  <c r="G680" i="24"/>
  <c r="G709" i="24"/>
  <c r="G700" i="24"/>
  <c r="G669" i="24"/>
  <c r="G627" i="24"/>
  <c r="G681" i="24"/>
  <c r="G640" i="24"/>
  <c r="G630" i="24"/>
  <c r="G688" i="24"/>
  <c r="G644" i="24"/>
  <c r="G711" i="24"/>
  <c r="G694" i="24"/>
  <c r="G686" i="24"/>
  <c r="G676" i="24"/>
  <c r="G673" i="24"/>
  <c r="G638" i="24"/>
  <c r="G684" i="24"/>
  <c r="G679" i="24"/>
  <c r="G670" i="24"/>
  <c r="G647" i="24"/>
  <c r="G645" i="24"/>
  <c r="G629" i="24"/>
  <c r="G626" i="24"/>
  <c r="G632" i="24"/>
  <c r="G707" i="24"/>
  <c r="G643" i="24"/>
  <c r="G641" i="24"/>
  <c r="G639" i="24"/>
  <c r="G637" i="24"/>
  <c r="G635" i="24"/>
  <c r="G633" i="24"/>
  <c r="G631" i="24"/>
  <c r="G710" i="24"/>
  <c r="G704" i="24"/>
  <c r="G713" i="24"/>
  <c r="G691" i="24"/>
  <c r="G682" i="24"/>
  <c r="G677" i="24"/>
  <c r="G636" i="24"/>
  <c r="G693" i="24"/>
  <c r="G674" i="24"/>
  <c r="G697" i="24"/>
  <c r="G678" i="24"/>
  <c r="G634" i="24"/>
  <c r="G706" i="24"/>
  <c r="G687" i="24"/>
  <c r="G671" i="24"/>
  <c r="G703" i="24"/>
  <c r="G668" i="24"/>
  <c r="G628" i="24"/>
  <c r="G683" i="24"/>
  <c r="G695" i="24"/>
  <c r="G672" i="24"/>
  <c r="G685" i="24"/>
  <c r="G646" i="24"/>
  <c r="G675" i="24"/>
  <c r="G642" i="24"/>
  <c r="G690" i="24"/>
  <c r="J705" i="34"/>
  <c r="J689" i="34"/>
  <c r="J673" i="34"/>
  <c r="J702" i="34"/>
  <c r="J686" i="34"/>
  <c r="J670" i="34"/>
  <c r="J647" i="34"/>
  <c r="J645" i="34"/>
  <c r="J716" i="34"/>
  <c r="J699" i="34"/>
  <c r="J683" i="34"/>
  <c r="J643" i="34"/>
  <c r="J641" i="34"/>
  <c r="J639" i="34"/>
  <c r="J637" i="34"/>
  <c r="J635" i="34"/>
  <c r="J633" i="34"/>
  <c r="J631" i="34"/>
  <c r="J712" i="34"/>
  <c r="J696" i="34"/>
  <c r="J709" i="34"/>
  <c r="J693" i="34"/>
  <c r="J677" i="34"/>
  <c r="J706" i="34"/>
  <c r="J690" i="34"/>
  <c r="J674" i="34"/>
  <c r="J703" i="34"/>
  <c r="J687" i="34"/>
  <c r="J671" i="34"/>
  <c r="J700" i="34"/>
  <c r="J684" i="34"/>
  <c r="J668" i="34"/>
  <c r="J713" i="34"/>
  <c r="J697" i="34"/>
  <c r="J681" i="34"/>
  <c r="J710" i="34"/>
  <c r="J694" i="34"/>
  <c r="J678" i="34"/>
  <c r="J646" i="34"/>
  <c r="J707" i="34"/>
  <c r="J691" i="34"/>
  <c r="J675" i="34"/>
  <c r="J644" i="34"/>
  <c r="J642" i="34"/>
  <c r="J640" i="34"/>
  <c r="J638" i="34"/>
  <c r="J636" i="34"/>
  <c r="J634" i="34"/>
  <c r="J632" i="34"/>
  <c r="J704" i="34"/>
  <c r="J688" i="34"/>
  <c r="J672" i="34"/>
  <c r="J701" i="34"/>
  <c r="J685" i="34"/>
  <c r="J669" i="34"/>
  <c r="J698" i="34"/>
  <c r="J682" i="34"/>
  <c r="J679" i="34"/>
  <c r="J692" i="34"/>
  <c r="J711" i="34"/>
  <c r="J695" i="34"/>
  <c r="J676" i="34"/>
  <c r="J708" i="34"/>
  <c r="J680" i="34"/>
  <c r="G715" i="24" l="1"/>
  <c r="H628" i="24"/>
  <c r="K644" i="34"/>
  <c r="L647" i="34"/>
  <c r="J715" i="34"/>
  <c r="H698" i="24" l="1"/>
  <c r="H711" i="24"/>
  <c r="H695" i="24"/>
  <c r="H705" i="24"/>
  <c r="H689" i="24"/>
  <c r="H702" i="24"/>
  <c r="H686" i="24"/>
  <c r="H716" i="24"/>
  <c r="H712" i="24"/>
  <c r="H709" i="24"/>
  <c r="H693" i="24"/>
  <c r="H677" i="24"/>
  <c r="H713" i="24"/>
  <c r="H697" i="24"/>
  <c r="H692" i="24"/>
  <c r="H681" i="24"/>
  <c r="H708" i="24"/>
  <c r="H699" i="24"/>
  <c r="H688" i="24"/>
  <c r="H672" i="24"/>
  <c r="H694" i="24"/>
  <c r="H676" i="24"/>
  <c r="H673" i="24"/>
  <c r="H696" i="24"/>
  <c r="H684" i="24"/>
  <c r="H679" i="24"/>
  <c r="H670" i="24"/>
  <c r="H647" i="24"/>
  <c r="H645" i="24"/>
  <c r="H629" i="24"/>
  <c r="H707" i="24"/>
  <c r="H643" i="24"/>
  <c r="H641" i="24"/>
  <c r="H639" i="24"/>
  <c r="H637" i="24"/>
  <c r="H635" i="24"/>
  <c r="H633" i="24"/>
  <c r="H631" i="24"/>
  <c r="H690" i="24"/>
  <c r="H710" i="24"/>
  <c r="H704" i="24"/>
  <c r="H701" i="24"/>
  <c r="H691" i="24"/>
  <c r="H682" i="24"/>
  <c r="H674" i="24"/>
  <c r="H706" i="24"/>
  <c r="H687" i="24"/>
  <c r="H671" i="24"/>
  <c r="H703" i="24"/>
  <c r="H680" i="24"/>
  <c r="H668" i="24"/>
  <c r="H700" i="24"/>
  <c r="H685" i="24"/>
  <c r="H646" i="24"/>
  <c r="H683" i="24"/>
  <c r="H678" i="24"/>
  <c r="H675" i="24"/>
  <c r="H644" i="24"/>
  <c r="H642" i="24"/>
  <c r="H640" i="24"/>
  <c r="H638" i="24"/>
  <c r="H636" i="24"/>
  <c r="H634" i="24"/>
  <c r="H632" i="24"/>
  <c r="H630" i="24"/>
  <c r="H669" i="24"/>
  <c r="L716" i="34"/>
  <c r="L699" i="34"/>
  <c r="L683" i="34"/>
  <c r="L712" i="34"/>
  <c r="L696" i="34"/>
  <c r="L680" i="34"/>
  <c r="L709" i="34"/>
  <c r="L693" i="34"/>
  <c r="L677" i="34"/>
  <c r="L706" i="34"/>
  <c r="L690" i="34"/>
  <c r="L703" i="34"/>
  <c r="L687" i="34"/>
  <c r="L671" i="34"/>
  <c r="L700" i="34"/>
  <c r="L684" i="34"/>
  <c r="L668" i="34"/>
  <c r="L713" i="34"/>
  <c r="L697" i="34"/>
  <c r="L681" i="34"/>
  <c r="L710" i="34"/>
  <c r="L694" i="34"/>
  <c r="L678" i="34"/>
  <c r="L707" i="34"/>
  <c r="L691" i="34"/>
  <c r="L675" i="34"/>
  <c r="L704" i="34"/>
  <c r="L688" i="34"/>
  <c r="L672" i="34"/>
  <c r="L701" i="34"/>
  <c r="L685" i="34"/>
  <c r="L669" i="34"/>
  <c r="L698" i="34"/>
  <c r="L682" i="34"/>
  <c r="L711" i="34"/>
  <c r="L695" i="34"/>
  <c r="L679" i="34"/>
  <c r="L708" i="34"/>
  <c r="L692" i="34"/>
  <c r="L676" i="34"/>
  <c r="L674" i="34"/>
  <c r="L673" i="34"/>
  <c r="L705" i="34"/>
  <c r="L689" i="34"/>
  <c r="L702" i="34"/>
  <c r="L670" i="34"/>
  <c r="L686" i="34"/>
  <c r="K702" i="34"/>
  <c r="K686" i="34"/>
  <c r="K670" i="34"/>
  <c r="K716" i="34"/>
  <c r="K699" i="34"/>
  <c r="K683" i="34"/>
  <c r="K712" i="34"/>
  <c r="K696" i="34"/>
  <c r="K680" i="34"/>
  <c r="K709" i="34"/>
  <c r="K693" i="34"/>
  <c r="K706" i="34"/>
  <c r="K690" i="34"/>
  <c r="K674" i="34"/>
  <c r="K703" i="34"/>
  <c r="K687" i="34"/>
  <c r="K671" i="34"/>
  <c r="K700" i="34"/>
  <c r="K684" i="34"/>
  <c r="K668" i="34"/>
  <c r="K713" i="34"/>
  <c r="K697" i="34"/>
  <c r="K681" i="34"/>
  <c r="K710" i="34"/>
  <c r="K694" i="34"/>
  <c r="K678" i="34"/>
  <c r="K707" i="34"/>
  <c r="K691" i="34"/>
  <c r="K675" i="34"/>
  <c r="K704" i="34"/>
  <c r="K688" i="34"/>
  <c r="K672" i="34"/>
  <c r="K701" i="34"/>
  <c r="K685" i="34"/>
  <c r="K669" i="34"/>
  <c r="K698" i="34"/>
  <c r="K682" i="34"/>
  <c r="K711" i="34"/>
  <c r="K695" i="34"/>
  <c r="K679" i="34"/>
  <c r="K692" i="34"/>
  <c r="K673" i="34"/>
  <c r="K705" i="34"/>
  <c r="K677" i="34"/>
  <c r="K689" i="34"/>
  <c r="K676" i="34"/>
  <c r="K708" i="34"/>
  <c r="M686" i="34" l="1"/>
  <c r="M670" i="34"/>
  <c r="M705" i="34"/>
  <c r="M673" i="34"/>
  <c r="M669" i="34"/>
  <c r="M685" i="34"/>
  <c r="M684" i="34"/>
  <c r="M700" i="34"/>
  <c r="M687" i="34"/>
  <c r="H715" i="24"/>
  <c r="I629" i="24"/>
  <c r="M706" i="34"/>
  <c r="M701" i="34"/>
  <c r="M703" i="34"/>
  <c r="M693" i="34"/>
  <c r="M712" i="34"/>
  <c r="M671" i="34"/>
  <c r="M691" i="34"/>
  <c r="M707" i="34"/>
  <c r="M692" i="34"/>
  <c r="M708" i="34"/>
  <c r="M696" i="34"/>
  <c r="M711" i="34"/>
  <c r="M683" i="34"/>
  <c r="M672" i="34"/>
  <c r="M689" i="34"/>
  <c r="M704" i="34"/>
  <c r="M675" i="34"/>
  <c r="M674" i="34"/>
  <c r="M677" i="34"/>
  <c r="M676" i="34"/>
  <c r="M709" i="34"/>
  <c r="M694" i="34"/>
  <c r="M679" i="34"/>
  <c r="M695" i="34"/>
  <c r="K715" i="34"/>
  <c r="M682" i="34"/>
  <c r="M713" i="34"/>
  <c r="M699" i="34"/>
  <c r="M702" i="34"/>
  <c r="M688" i="34"/>
  <c r="M690" i="34"/>
  <c r="M678" i="34"/>
  <c r="M680" i="34"/>
  <c r="M710" i="34"/>
  <c r="M681" i="34"/>
  <c r="M697" i="34"/>
  <c r="M698" i="34"/>
  <c r="L715" i="34"/>
  <c r="M668" i="34"/>
  <c r="I711" i="24" l="1"/>
  <c r="I695" i="24"/>
  <c r="I708" i="24"/>
  <c r="I692" i="24"/>
  <c r="I702" i="24"/>
  <c r="I686" i="24"/>
  <c r="I716" i="24"/>
  <c r="I699" i="24"/>
  <c r="I683" i="24"/>
  <c r="I712" i="24"/>
  <c r="I709" i="24"/>
  <c r="I706" i="24"/>
  <c r="I690" i="24"/>
  <c r="I710" i="24"/>
  <c r="I694" i="24"/>
  <c r="I705" i="24"/>
  <c r="I688" i="24"/>
  <c r="I669" i="24"/>
  <c r="I676" i="24"/>
  <c r="I673" i="24"/>
  <c r="I696" i="24"/>
  <c r="I684" i="24"/>
  <c r="I679" i="24"/>
  <c r="I670" i="24"/>
  <c r="I647" i="24"/>
  <c r="I645" i="24"/>
  <c r="I707" i="24"/>
  <c r="I643" i="24"/>
  <c r="I641" i="24"/>
  <c r="I639" i="24"/>
  <c r="I637" i="24"/>
  <c r="I635" i="24"/>
  <c r="I633" i="24"/>
  <c r="I631" i="24"/>
  <c r="I704" i="24"/>
  <c r="I681" i="24"/>
  <c r="I701" i="24"/>
  <c r="I691" i="24"/>
  <c r="I682" i="24"/>
  <c r="I713" i="24"/>
  <c r="I677" i="24"/>
  <c r="I674" i="24"/>
  <c r="I698" i="24"/>
  <c r="I693" i="24"/>
  <c r="I689" i="24"/>
  <c r="I687" i="24"/>
  <c r="I671" i="24"/>
  <c r="I703" i="24"/>
  <c r="I680" i="24"/>
  <c r="I668" i="24"/>
  <c r="I700" i="24"/>
  <c r="I685" i="24"/>
  <c r="I646" i="24"/>
  <c r="I678" i="24"/>
  <c r="I675" i="24"/>
  <c r="I644" i="24"/>
  <c r="I642" i="24"/>
  <c r="I640" i="24"/>
  <c r="I638" i="24"/>
  <c r="I636" i="24"/>
  <c r="I634" i="24"/>
  <c r="I632" i="24"/>
  <c r="I630" i="24"/>
  <c r="I697" i="24"/>
  <c r="I672" i="24"/>
  <c r="M715" i="34"/>
  <c r="I715" i="24" l="1"/>
  <c r="J630" i="24"/>
  <c r="J708" i="24" l="1"/>
  <c r="J692" i="24"/>
  <c r="J705" i="24"/>
  <c r="J716" i="24"/>
  <c r="J699" i="24"/>
  <c r="J683" i="24"/>
  <c r="J712" i="24"/>
  <c r="J696" i="24"/>
  <c r="J680" i="24"/>
  <c r="J709" i="24"/>
  <c r="J706" i="24"/>
  <c r="J703" i="24"/>
  <c r="J687" i="24"/>
  <c r="J707" i="24"/>
  <c r="J691" i="24"/>
  <c r="J702" i="24"/>
  <c r="J676" i="24"/>
  <c r="J694" i="24"/>
  <c r="J673" i="24"/>
  <c r="J711" i="24"/>
  <c r="J686" i="24"/>
  <c r="J684" i="24"/>
  <c r="J679" i="24"/>
  <c r="J670" i="24"/>
  <c r="J647" i="24"/>
  <c r="J645" i="24"/>
  <c r="J643" i="24"/>
  <c r="J641" i="24"/>
  <c r="J639" i="24"/>
  <c r="J637" i="24"/>
  <c r="J635" i="24"/>
  <c r="J633" i="24"/>
  <c r="J631" i="24"/>
  <c r="J704" i="24"/>
  <c r="J710" i="24"/>
  <c r="J701" i="24"/>
  <c r="J682" i="24"/>
  <c r="J688" i="24"/>
  <c r="J713" i="24"/>
  <c r="J677" i="24"/>
  <c r="J674" i="24"/>
  <c r="J698" i="24"/>
  <c r="J693" i="24"/>
  <c r="J689" i="24"/>
  <c r="J671" i="24"/>
  <c r="J668" i="24"/>
  <c r="J700" i="24"/>
  <c r="J685" i="24"/>
  <c r="J646" i="24"/>
  <c r="J681" i="24"/>
  <c r="J695" i="24"/>
  <c r="J678" i="24"/>
  <c r="J675" i="24"/>
  <c r="J644" i="24"/>
  <c r="J642" i="24"/>
  <c r="J640" i="24"/>
  <c r="J638" i="24"/>
  <c r="J636" i="24"/>
  <c r="J634" i="24"/>
  <c r="J632" i="24"/>
  <c r="J697" i="24"/>
  <c r="J672" i="24"/>
  <c r="J690" i="24"/>
  <c r="J669" i="24"/>
  <c r="J715" i="24" l="1"/>
  <c r="K644" i="24"/>
  <c r="L647" i="24"/>
  <c r="L702" i="24" l="1"/>
  <c r="L716" i="24"/>
  <c r="L699" i="24"/>
  <c r="L709" i="24"/>
  <c r="L693" i="24"/>
  <c r="L706" i="24"/>
  <c r="L690" i="24"/>
  <c r="L703" i="24"/>
  <c r="L700" i="24"/>
  <c r="L713" i="24"/>
  <c r="L697" i="24"/>
  <c r="L681" i="24"/>
  <c r="L710" i="24"/>
  <c r="L701" i="24"/>
  <c r="L711" i="24"/>
  <c r="L686" i="24"/>
  <c r="L679" i="24"/>
  <c r="L670" i="24"/>
  <c r="L692" i="24"/>
  <c r="L684" i="24"/>
  <c r="L707" i="24"/>
  <c r="L696" i="24"/>
  <c r="L704" i="24"/>
  <c r="L682" i="24"/>
  <c r="L691" i="24"/>
  <c r="L677" i="24"/>
  <c r="L674" i="24"/>
  <c r="L698" i="24"/>
  <c r="L689" i="24"/>
  <c r="L671" i="24"/>
  <c r="L694" i="24"/>
  <c r="L687" i="24"/>
  <c r="L668" i="24"/>
  <c r="L680" i="24"/>
  <c r="L676" i="24"/>
  <c r="L705" i="24"/>
  <c r="L685" i="24"/>
  <c r="L695" i="24"/>
  <c r="L678" i="24"/>
  <c r="L675" i="24"/>
  <c r="L673" i="24"/>
  <c r="L672" i="24"/>
  <c r="L683" i="24"/>
  <c r="L669" i="24"/>
  <c r="L712" i="24"/>
  <c r="L688" i="24"/>
  <c r="L708" i="24"/>
  <c r="K705" i="24"/>
  <c r="M705" i="24" s="1"/>
  <c r="E183" i="32" s="1"/>
  <c r="K702" i="24"/>
  <c r="M702" i="24" s="1"/>
  <c r="I151" i="32" s="1"/>
  <c r="K712" i="24"/>
  <c r="M712" i="24" s="1"/>
  <c r="E215" i="32" s="1"/>
  <c r="K696" i="24"/>
  <c r="M696" i="24" s="1"/>
  <c r="C151" i="32" s="1"/>
  <c r="K709" i="24"/>
  <c r="M709" i="24" s="1"/>
  <c r="I183" i="32" s="1"/>
  <c r="K693" i="24"/>
  <c r="M693" i="24" s="1"/>
  <c r="K706" i="24"/>
  <c r="M706" i="24" s="1"/>
  <c r="F183" i="32" s="1"/>
  <c r="K703" i="24"/>
  <c r="M703" i="24" s="1"/>
  <c r="C183" i="32" s="1"/>
  <c r="K700" i="24"/>
  <c r="M700" i="24" s="1"/>
  <c r="G151" i="32" s="1"/>
  <c r="K684" i="24"/>
  <c r="M684" i="24" s="1"/>
  <c r="E87" i="32" s="1"/>
  <c r="K713" i="24"/>
  <c r="M713" i="24" s="1"/>
  <c r="F215" i="32" s="1"/>
  <c r="K704" i="24"/>
  <c r="M704" i="24" s="1"/>
  <c r="D183" i="32" s="1"/>
  <c r="K708" i="24"/>
  <c r="M708" i="24" s="1"/>
  <c r="H183" i="32" s="1"/>
  <c r="K699" i="24"/>
  <c r="M699" i="24" s="1"/>
  <c r="F151" i="32" s="1"/>
  <c r="K694" i="24"/>
  <c r="M694" i="24" s="1"/>
  <c r="H119" i="32" s="1"/>
  <c r="K673" i="24"/>
  <c r="M673" i="24" s="1"/>
  <c r="H23" i="32" s="1"/>
  <c r="K711" i="24"/>
  <c r="M711" i="24" s="1"/>
  <c r="D215" i="32" s="1"/>
  <c r="K686" i="24"/>
  <c r="M686" i="24" s="1"/>
  <c r="G87" i="32" s="1"/>
  <c r="K679" i="24"/>
  <c r="M679" i="24" s="1"/>
  <c r="K670" i="24"/>
  <c r="M670" i="24" s="1"/>
  <c r="E23" i="32" s="1"/>
  <c r="K688" i="24"/>
  <c r="M688" i="24" s="1"/>
  <c r="I87" i="32" s="1"/>
  <c r="K707" i="24"/>
  <c r="M707" i="24" s="1"/>
  <c r="G183" i="32" s="1"/>
  <c r="K710" i="24"/>
  <c r="M710" i="24" s="1"/>
  <c r="C215" i="32" s="1"/>
  <c r="K701" i="24"/>
  <c r="M701" i="24" s="1"/>
  <c r="H151" i="32" s="1"/>
  <c r="K682" i="24"/>
  <c r="M682" i="24" s="1"/>
  <c r="C87" i="32" s="1"/>
  <c r="K691" i="24"/>
  <c r="M691" i="24" s="1"/>
  <c r="K677" i="24"/>
  <c r="M677" i="24" s="1"/>
  <c r="E55" i="32" s="1"/>
  <c r="K674" i="24"/>
  <c r="M674" i="24" s="1"/>
  <c r="I23" i="32" s="1"/>
  <c r="K698" i="24"/>
  <c r="M698" i="24" s="1"/>
  <c r="E151" i="32" s="1"/>
  <c r="K689" i="24"/>
  <c r="M689" i="24" s="1"/>
  <c r="C119" i="32" s="1"/>
  <c r="K671" i="24"/>
  <c r="M671" i="24" s="1"/>
  <c r="F23" i="32" s="1"/>
  <c r="K687" i="24"/>
  <c r="M687" i="24" s="1"/>
  <c r="H87" i="32" s="1"/>
  <c r="K668" i="24"/>
  <c r="K680" i="24"/>
  <c r="M680" i="24" s="1"/>
  <c r="H55" i="32" s="1"/>
  <c r="K685" i="24"/>
  <c r="M685" i="24" s="1"/>
  <c r="F87" i="32" s="1"/>
  <c r="K716" i="24"/>
  <c r="K692" i="24"/>
  <c r="M692" i="24" s="1"/>
  <c r="K695" i="24"/>
  <c r="M695" i="24" s="1"/>
  <c r="I119" i="32" s="1"/>
  <c r="K678" i="24"/>
  <c r="M678" i="24" s="1"/>
  <c r="K675" i="24"/>
  <c r="M675" i="24" s="1"/>
  <c r="C55" i="32" s="1"/>
  <c r="K676" i="24"/>
  <c r="M676" i="24" s="1"/>
  <c r="D55" i="32" s="1"/>
  <c r="K697" i="24"/>
  <c r="M697" i="24" s="1"/>
  <c r="K672" i="24"/>
  <c r="M672" i="24" s="1"/>
  <c r="G23" i="32" s="1"/>
  <c r="K690" i="24"/>
  <c r="M690" i="24" s="1"/>
  <c r="D119" i="32" s="1"/>
  <c r="K683" i="24"/>
  <c r="M683" i="24" s="1"/>
  <c r="D87" i="32" s="1"/>
  <c r="K669" i="24"/>
  <c r="M669" i="24" s="1"/>
  <c r="D23" i="32" s="1"/>
  <c r="K681" i="24"/>
  <c r="M681" i="24" s="1"/>
  <c r="I55" i="32" s="1"/>
  <c r="F119" i="32" l="1"/>
  <c r="K715" i="24"/>
  <c r="M668" i="24"/>
  <c r="E119" i="32"/>
  <c r="G119" i="32"/>
  <c r="L715" i="24"/>
  <c r="M715" i="24" l="1"/>
  <c r="C23" i="32"/>
</calcChain>
</file>

<file path=xl/sharedStrings.xml><?xml version="1.0" encoding="utf-8"?>
<sst xmlns="http://schemas.openxmlformats.org/spreadsheetml/2006/main" count="4925" uniqueCount="1408">
  <si>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</si>
  <si>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</si>
  <si>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</si>
  <si>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</si>
  <si>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</si>
  <si>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</si>
  <si>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</si>
  <si>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</si>
  <si>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</si>
  <si>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</si>
  <si>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</si>
  <si>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</si>
  <si>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</si>
  <si>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</si>
  <si>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</si>
  <si>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</si>
  <si>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</si>
  <si>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</si>
  <si>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</si>
  <si>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</si>
  <si>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</si>
  <si>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</si>
  <si>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</si>
  <si>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</si>
  <si>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</si>
  <si>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</si>
  <si>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</si>
  <si>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</si>
  <si>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</si>
  <si>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</si>
  <si>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</si>
  <si>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</si>
  <si>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</si>
  <si>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</si>
  <si>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</si>
  <si>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</si>
  <si>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</si>
  <si>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</si>
  <si>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</si>
  <si>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</si>
  <si>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</si>
  <si>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</si>
  <si>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</si>
  <si>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</si>
  <si>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</si>
  <si>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</si>
  <si>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</si>
  <si>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</si>
  <si>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</si>
  <si>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</si>
  <si>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</si>
  <si>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</si>
  <si>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</si>
  <si>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</si>
  <si>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</si>
  <si>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</si>
  <si>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</si>
  <si>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</si>
  <si>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</si>
  <si>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</si>
  <si>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</si>
  <si>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</si>
  <si>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</si>
  <si>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</si>
  <si>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</si>
  <si>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</si>
  <si>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</si>
  <si>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</si>
  <si>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</si>
  <si>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</si>
  <si>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</si>
  <si>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</si>
  <si>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</si>
  <si>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</si>
  <si>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</si>
  <si>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</si>
  <si>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</si>
  <si>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</si>
  <si>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</si>
  <si>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</si>
  <si>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</si>
  <si>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</si>
  <si>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</si>
  <si>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</si>
  <si>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</si>
  <si>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</si>
  <si>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</si>
  <si>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</si>
  <si>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</si>
  <si>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</si>
  <si>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</si>
  <si>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</si>
  <si>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</si>
  <si>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</si>
  <si>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</si>
  <si>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</si>
  <si>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</si>
  <si>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</si>
  <si>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</si>
  <si>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</si>
  <si>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</si>
  <si>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</si>
  <si>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</si>
  <si>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</si>
  <si>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</si>
  <si>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</si>
  <si>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</si>
  <si>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</si>
  <si>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</si>
  <si>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</si>
  <si>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</si>
  <si>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</si>
  <si>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</si>
  <si>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</si>
  <si>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</si>
  <si>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</si>
  <si>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</si>
  <si>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</si>
  <si>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</si>
  <si>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</si>
  <si>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</si>
  <si>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</si>
  <si>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</si>
  <si>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</si>
  <si>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</si>
  <si>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</si>
  <si>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</si>
  <si>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</si>
  <si>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</si>
  <si>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</si>
  <si>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</si>
  <si>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</si>
  <si>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</si>
  <si>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</si>
  <si>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</si>
  <si>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</si>
  <si>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</si>
  <si>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</si>
  <si>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</si>
  <si>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</si>
  <si>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</si>
  <si>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</si>
  <si>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</si>
  <si>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</si>
  <si>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</si>
  <si>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</si>
  <si>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</si>
  <si>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</si>
  <si>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</si>
  <si>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</si>
  <si>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</si>
  <si>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</si>
  <si>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</si>
  <si>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</si>
  <si>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</si>
  <si>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</si>
  <si>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</si>
  <si>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</si>
  <si>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</si>
  <si>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</si>
  <si>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</si>
  <si>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</si>
  <si>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</si>
  <si>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</si>
  <si>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</si>
  <si>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</si>
  <si>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</si>
  <si>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</si>
  <si>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</si>
  <si>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</si>
  <si>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</si>
  <si>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</si>
  <si>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</si>
  <si>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</si>
  <si>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</si>
  <si>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</si>
  <si>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</si>
  <si>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</si>
  <si>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</si>
  <si>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</si>
  <si>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</si>
  <si>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</si>
  <si>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</si>
  <si>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</si>
  <si>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</si>
  <si>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</si>
  <si>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</si>
  <si>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</si>
  <si>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</si>
  <si>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</si>
  <si>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</si>
  <si>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</si>
  <si>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</si>
  <si>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</si>
  <si>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</si>
  <si>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</si>
  <si>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</si>
  <si>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</si>
  <si>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</si>
  <si>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</si>
  <si>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</si>
  <si>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</si>
  <si>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</si>
  <si>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</si>
  <si>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</si>
  <si>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</si>
  <si>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</si>
  <si>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</si>
  <si>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</si>
  <si>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</si>
  <si>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</si>
  <si>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</si>
  <si>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</si>
  <si>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</si>
  <si>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</si>
  <si>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</si>
  <si>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</si>
  <si>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</si>
  <si>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</si>
  <si>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</si>
  <si>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</si>
  <si>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</si>
  <si>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</si>
  <si>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</si>
  <si>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</si>
  <si>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</si>
  <si>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</si>
  <si>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</si>
  <si>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</si>
  <si>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</si>
  <si>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</si>
  <si>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</si>
  <si>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</si>
  <si>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</si>
  <si>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</si>
  <si>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</si>
  <si>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</si>
  <si>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</si>
  <si>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</si>
  <si>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</si>
  <si>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</si>
  <si>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</si>
  <si>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</si>
  <si>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</si>
  <si>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</si>
  <si>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</si>
  <si>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</si>
  <si>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</si>
  <si>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</si>
  <si>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</si>
  <si>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</si>
  <si>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</si>
  <si>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</si>
  <si>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</si>
  <si>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</si>
  <si>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</si>
  <si>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</si>
  <si>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</si>
  <si>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</si>
  <si>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</si>
  <si>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</si>
  <si>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</si>
  <si>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</si>
  <si>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</si>
  <si>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</si>
  <si>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</si>
  <si>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</si>
  <si>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</si>
  <si>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</si>
  <si>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</si>
  <si>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</si>
  <si>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</si>
  <si>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</si>
  <si>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</si>
  <si>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</si>
  <si>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</si>
  <si>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</si>
  <si>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</si>
  <si>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</si>
  <si>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</si>
  <si>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</si>
  <si>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</si>
  <si>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</si>
  <si>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</si>
  <si>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</si>
  <si>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</si>
  <si>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</si>
  <si>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</si>
  <si>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</si>
  <si>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</si>
  <si>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</si>
  <si>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</si>
  <si>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</si>
  <si>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</si>
  <si>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</si>
  <si>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</si>
  <si>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</si>
  <si>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</si>
  <si>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</si>
  <si>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</si>
  <si>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107</t>
  </si>
  <si>
    <t>Hospital Name</t>
  </si>
  <si>
    <t>NORTH VALLEY HOSPITAL OCPHD#4</t>
  </si>
  <si>
    <t>Mailing Address</t>
  </si>
  <si>
    <t>203 S WESTERN AVE</t>
  </si>
  <si>
    <t>City</t>
  </si>
  <si>
    <t>TONASKET</t>
  </si>
  <si>
    <t>State</t>
  </si>
  <si>
    <t>WA 98855</t>
  </si>
  <si>
    <t>Zip</t>
  </si>
  <si>
    <t>County</t>
  </si>
  <si>
    <t>OKANOGAN</t>
  </si>
  <si>
    <t>Chief Executive Officer</t>
  </si>
  <si>
    <t>Chief Financial Officer</t>
  </si>
  <si>
    <t>Chair of Governing Board</t>
  </si>
  <si>
    <t>Telephone Number</t>
  </si>
  <si>
    <t>509-486-3119</t>
  </si>
  <si>
    <t>Facsimile Number</t>
  </si>
  <si>
    <t>509-486-4637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</si>
  <si>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</si>
  <si>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</si>
  <si>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</si>
  <si>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</si>
  <si>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</si>
  <si>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</si>
  <si>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</si>
  <si>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</si>
  <si>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</si>
  <si>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</si>
  <si>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</si>
  <si>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</si>
  <si>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</si>
  <si>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</si>
  <si>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</si>
  <si>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</si>
  <si>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</si>
  <si>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</si>
  <si>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</si>
  <si>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</si>
  <si>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</si>
  <si>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</si>
  <si>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</si>
  <si>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</si>
  <si>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</si>
  <si>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</si>
  <si>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</si>
  <si>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</si>
  <si>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</si>
  <si>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</si>
  <si>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</si>
  <si>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</si>
  <si>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</si>
  <si>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</si>
  <si>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</si>
  <si>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</si>
  <si>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</si>
  <si>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</si>
  <si>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</si>
  <si>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</si>
  <si>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</si>
  <si>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</si>
  <si>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</si>
  <si>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</si>
  <si>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</si>
  <si>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</si>
  <si>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</si>
  <si>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</si>
  <si>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</si>
  <si>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</si>
  <si>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</si>
  <si>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</si>
  <si>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</si>
  <si>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</si>
  <si>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</si>
  <si>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</si>
  <si>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</si>
  <si>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</si>
  <si>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</si>
  <si>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</si>
  <si>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</si>
  <si>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</si>
  <si>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</si>
  <si>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</si>
  <si>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</si>
  <si>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</si>
  <si>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</si>
  <si>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</si>
  <si>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</si>
  <si>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</si>
  <si>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</si>
  <si>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</si>
  <si>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</si>
  <si>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</si>
  <si>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</si>
  <si>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</si>
  <si>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</si>
  <si>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</si>
  <si>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</si>
  <si>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</si>
  <si>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</si>
  <si>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</si>
  <si>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</si>
  <si>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</si>
  <si>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</si>
  <si>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</si>
  <si>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</si>
  <si>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</si>
  <si>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</si>
  <si>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</si>
  <si>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</si>
  <si>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</si>
  <si>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</si>
  <si>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</si>
  <si>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</si>
  <si>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</si>
  <si>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</si>
  <si>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</si>
  <si>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</si>
  <si>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</si>
  <si>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</si>
  <si>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</si>
  <si>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</si>
  <si>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</si>
  <si>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</si>
  <si>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</si>
  <si>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</si>
  <si>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</si>
  <si>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</si>
  <si>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</si>
  <si>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</si>
  <si>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</si>
  <si>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</si>
  <si>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</si>
  <si>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</si>
  <si>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</si>
  <si>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</si>
  <si>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</si>
  <si>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</si>
  <si>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</si>
  <si>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</si>
  <si>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</si>
  <si>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</si>
  <si>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</si>
  <si>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</si>
  <si>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</si>
  <si>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</si>
  <si>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</si>
  <si>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</si>
  <si>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</si>
  <si>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</si>
  <si>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</si>
  <si>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</si>
  <si>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</si>
  <si>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</si>
  <si>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</si>
  <si>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</si>
  <si>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</si>
  <si>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</si>
  <si>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</si>
  <si>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</si>
  <si>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</si>
  <si>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</si>
  <si>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</si>
  <si>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</si>
  <si>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</si>
  <si>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</si>
  <si>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</si>
  <si>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</si>
  <si>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</si>
  <si>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</si>
  <si>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</si>
  <si>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</si>
  <si>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</si>
  <si>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</si>
  <si>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</si>
  <si>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</si>
  <si>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</si>
  <si>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</si>
  <si>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</si>
  <si>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</si>
  <si>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</si>
  <si>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</si>
  <si>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</si>
  <si>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</si>
  <si>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</si>
  <si>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</si>
  <si>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</si>
  <si>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</si>
  <si>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</si>
  <si>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</si>
  <si>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</si>
  <si>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</si>
  <si>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</si>
  <si>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</si>
  <si>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</si>
  <si>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</si>
  <si>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</si>
  <si>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</si>
  <si>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</si>
  <si>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</si>
  <si>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</si>
  <si>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</si>
  <si>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</si>
  <si>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</si>
  <si>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</si>
  <si>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</si>
  <si>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</si>
  <si>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</si>
  <si>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</si>
  <si>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</si>
  <si>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</si>
  <si>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</si>
  <si>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</si>
  <si>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</si>
  <si>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</si>
  <si>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</si>
  <si>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</si>
  <si>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</si>
  <si>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</si>
  <si>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</si>
  <si>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</si>
  <si>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</si>
  <si>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</si>
  <si>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</si>
  <si>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</si>
  <si>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</si>
  <si>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</si>
  <si>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</si>
  <si>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</si>
  <si>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</si>
  <si>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</si>
  <si>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</si>
  <si>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</si>
  <si>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</si>
  <si>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</si>
  <si>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</si>
  <si>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</si>
  <si>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</si>
  <si>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</si>
  <si>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</si>
  <si>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</si>
  <si>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</si>
  <si>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</si>
  <si>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</si>
  <si>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</si>
  <si>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</si>
  <si>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</si>
  <si>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</si>
  <si>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</si>
  <si>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</si>
  <si>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</si>
  <si>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</si>
  <si>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</si>
  <si>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</si>
  <si>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</si>
  <si>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</si>
  <si>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</si>
  <si>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</si>
  <si>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</si>
  <si>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</si>
  <si>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</si>
  <si>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</si>
  <si>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</si>
  <si>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</si>
  <si>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</si>
  <si>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</si>
  <si>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</si>
  <si>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</si>
  <si>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</si>
  <si>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</si>
  <si>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</si>
  <si>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</si>
  <si>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</si>
  <si>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</si>
  <si>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</si>
  <si>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</si>
  <si>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</si>
  <si>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</si>
  <si>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</si>
  <si>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</si>
  <si>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</si>
  <si>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</si>
  <si>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</si>
  <si>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</si>
  <si>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</si>
  <si>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</si>
  <si>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</si>
  <si>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</si>
  <si>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</si>
  <si>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</si>
  <si>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</si>
  <si>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</si>
  <si>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</si>
  <si>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</si>
  <si>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</si>
  <si>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</si>
  <si>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</si>
  <si>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</si>
  <si>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</si>
  <si>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</si>
  <si>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</si>
  <si>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</si>
  <si>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</si>
  <si>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</si>
  <si>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</si>
  <si>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</si>
  <si>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</si>
  <si>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</si>
  <si>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</si>
  <si>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</si>
  <si>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</si>
  <si>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</si>
  <si>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</si>
  <si>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</si>
  <si>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</si>
  <si>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</si>
  <si>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</si>
  <si>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</si>
  <si>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</si>
  <si>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</si>
  <si>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</si>
  <si>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</si>
  <si>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</si>
  <si>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</si>
  <si>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</si>
  <si>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</si>
  <si>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</si>
  <si>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</si>
  <si>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</si>
  <si>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</si>
  <si>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</si>
  <si>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</si>
  <si>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</si>
  <si>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</si>
  <si>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</si>
  <si>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</si>
  <si>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</si>
  <si>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</si>
  <si>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</si>
  <si>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</si>
  <si>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</si>
  <si>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</si>
  <si>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</si>
  <si>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</si>
  <si>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</si>
  <si>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</si>
  <si>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</si>
  <si>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</si>
  <si>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</si>
  <si>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</si>
  <si>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</si>
  <si>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</si>
  <si>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</si>
  <si>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</si>
  <si>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</si>
  <si>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</si>
  <si>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</si>
  <si>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</si>
  <si>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</si>
  <si>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</si>
  <si>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</si>
  <si>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</si>
  <si>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</si>
  <si>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</si>
  <si>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</si>
  <si>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</si>
  <si>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</si>
  <si>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</si>
  <si>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</si>
  <si>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</si>
  <si>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</si>
  <si>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</si>
  <si>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</si>
  <si>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</si>
  <si>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</si>
  <si>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</si>
  <si>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</si>
  <si>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</si>
  <si>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</si>
  <si>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</si>
  <si>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</si>
  <si>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</si>
  <si>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</si>
  <si>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</si>
  <si>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</si>
  <si>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</si>
  <si>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</si>
  <si>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</si>
  <si>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</si>
  <si>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</si>
  <si>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</si>
  <si>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</si>
  <si>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</si>
  <si>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</si>
  <si>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</si>
  <si>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</si>
  <si>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</si>
  <si>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</si>
  <si>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</si>
  <si>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</si>
  <si>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</si>
  <si>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</si>
  <si>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</si>
  <si>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</si>
  <si>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</si>
  <si>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</si>
  <si>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</si>
  <si>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</si>
  <si>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</si>
  <si>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</si>
  <si>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</si>
  <si>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</si>
  <si>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</si>
  <si>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</si>
  <si>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</si>
  <si>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</si>
  <si>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</si>
  <si>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</si>
  <si>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</si>
  <si>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</si>
  <si>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</si>
  <si>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</si>
  <si>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</si>
  <si>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</si>
  <si>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</si>
  <si>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</si>
  <si>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</si>
  <si>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</si>
  <si>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</si>
  <si>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</si>
  <si>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</si>
  <si>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</si>
  <si>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</si>
  <si>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</si>
  <si>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</si>
  <si>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</si>
  <si>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</si>
  <si>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</si>
  <si>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</si>
  <si>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</si>
  <si>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</si>
  <si>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</si>
  <si>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</si>
  <si>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</si>
  <si>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</si>
  <si>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</si>
  <si>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</si>
  <si>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</si>
  <si>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</si>
  <si>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</si>
  <si>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</si>
  <si>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</si>
  <si>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</si>
  <si>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</si>
  <si>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</si>
  <si>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</si>
  <si>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</si>
  <si>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</si>
  <si>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</si>
  <si>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</si>
  <si>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</si>
  <si>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</si>
  <si>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</si>
  <si>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</si>
  <si>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</si>
  <si>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</si>
  <si>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</si>
  <si>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</si>
  <si>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</si>
  <si>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</si>
  <si>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</si>
  <si>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</si>
  <si>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</si>
  <si>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</si>
  <si>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</si>
  <si>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</si>
  <si>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</si>
  <si>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</si>
  <si>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</si>
  <si>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</si>
  <si>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</si>
  <si>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</si>
  <si>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</si>
  <si>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</si>
  <si>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</si>
  <si>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</si>
  <si>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</si>
  <si>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</si>
  <si>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</si>
  <si>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</si>
  <si>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</si>
  <si>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</si>
  <si>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</si>
  <si>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</si>
  <si>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</si>
  <si>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</si>
  <si>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</si>
  <si>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</si>
  <si>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</si>
  <si>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</si>
  <si>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</si>
  <si>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</si>
  <si>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</si>
  <si>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</si>
  <si>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</si>
  <si>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</si>
  <si>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</si>
  <si>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</si>
  <si>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</si>
  <si>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</si>
  <si>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</si>
  <si>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</si>
  <si>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</si>
  <si>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</si>
  <si>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</si>
  <si>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</si>
  <si>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</si>
  <si>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</si>
  <si>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</si>
  <si>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</si>
  <si>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</si>
  <si>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</si>
  <si>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</si>
  <si>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</si>
  <si>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</si>
  <si>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</si>
  <si>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</si>
  <si>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</si>
  <si>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</si>
  <si>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</si>
  <si>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</si>
  <si>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</si>
  <si>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</si>
  <si>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</si>
  <si>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</si>
  <si>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</si>
  <si>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</si>
  <si>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</si>
  <si>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</si>
  <si>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</si>
  <si>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</si>
  <si>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</si>
  <si>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</si>
  <si>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</si>
  <si>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</si>
  <si>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</si>
  <si>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</si>
  <si>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</si>
  <si>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</si>
  <si>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</si>
  <si>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</si>
  <si>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</si>
  <si>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</si>
  <si>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</si>
  <si>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</si>
  <si>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</si>
  <si>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</si>
  <si>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</si>
  <si>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</si>
  <si>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</si>
  <si>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</si>
  <si>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</si>
  <si>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</si>
  <si>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</si>
  <si>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</si>
  <si>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</si>
  <si>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</si>
  <si>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</si>
  <si>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</si>
  <si>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</si>
  <si>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</si>
  <si>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</si>
  <si>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</si>
  <si>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</si>
  <si>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</si>
  <si>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</si>
  <si>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</si>
  <si>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</si>
  <si>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</si>
  <si>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</si>
  <si>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</si>
  <si>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</si>
  <si>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</si>
  <si>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</si>
  <si>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</si>
  <si>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</si>
  <si>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</si>
  <si>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</si>
  <si>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</si>
  <si>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</si>
  <si>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</si>
  <si>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</si>
  <si>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</si>
  <si>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</si>
  <si>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</si>
  <si>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</si>
  <si>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</si>
  <si>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</si>
  <si>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</si>
  <si>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</si>
  <si>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</si>
  <si>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</si>
  <si>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</si>
  <si>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</si>
  <si>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</si>
  <si>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</si>
  <si>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</si>
  <si>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</si>
  <si>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</si>
  <si>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</si>
  <si>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</si>
  <si>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</si>
  <si>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</si>
  <si>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</si>
  <si>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</si>
  <si>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</si>
  <si>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</si>
  <si>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</si>
  <si>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</si>
  <si>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</si>
  <si>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</si>
  <si>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</si>
  <si>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</si>
  <si>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</si>
  <si>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</si>
  <si>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</si>
  <si>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</si>
  <si>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</si>
  <si>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</si>
  <si>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</si>
  <si>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</si>
  <si>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</si>
  <si>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</si>
  <si>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</si>
  <si>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</si>
  <si>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</si>
  <si>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</si>
  <si>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</si>
  <si>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</si>
  <si>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</si>
  <si>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</si>
  <si>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</si>
  <si>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</si>
  <si>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</si>
  <si>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</si>
  <si>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</si>
  <si>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</si>
  <si>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</si>
  <si>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</si>
  <si>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</si>
  <si>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</si>
  <si>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</si>
  <si>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</si>
  <si>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</si>
  <si>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</si>
  <si>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</si>
  <si>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</si>
  <si>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</si>
  <si>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</si>
  <si>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</si>
  <si>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</si>
  <si>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</si>
  <si>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</si>
  <si>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</si>
  <si>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</si>
  <si>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</si>
  <si>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</si>
  <si>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</si>
  <si>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</si>
  <si>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</si>
  <si>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</si>
  <si>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</si>
  <si>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</si>
  <si>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</si>
  <si>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</si>
  <si>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</si>
  <si>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</si>
  <si>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</si>
  <si>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</si>
  <si>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</si>
  <si>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</si>
  <si>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</si>
  <si>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</si>
  <si>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</si>
  <si>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</si>
  <si>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</si>
  <si>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</si>
  <si>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</si>
  <si>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</si>
  <si>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</si>
  <si>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</si>
  <si>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</si>
  <si>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</si>
  <si>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</si>
  <si>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</si>
  <si>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</si>
  <si>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</si>
  <si>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</si>
  <si>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</si>
  <si>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</si>
  <si>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</si>
  <si>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</si>
  <si>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</si>
  <si>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</si>
  <si>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</si>
  <si>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</si>
  <si>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</si>
  <si>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</si>
  <si>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</si>
  <si>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</si>
  <si>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</si>
  <si>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</si>
  <si>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</si>
  <si>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</si>
  <si>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</si>
  <si>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</si>
  <si>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</si>
  <si>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</si>
  <si>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</si>
  <si>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</si>
  <si>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</si>
  <si>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</si>
  <si>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</si>
  <si>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</si>
  <si>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</si>
  <si>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</si>
  <si>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</si>
  <si>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</si>
  <si>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</si>
  <si>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</si>
  <si>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</si>
  <si>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</si>
  <si>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</si>
  <si>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</si>
  <si>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</si>
  <si>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</si>
  <si>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</si>
  <si>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</si>
  <si>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</si>
  <si>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</si>
  <si>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</si>
  <si>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</si>
  <si>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</si>
  <si>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</si>
  <si>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</si>
  <si>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</si>
  <si>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</si>
  <si>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</si>
  <si>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</si>
  <si>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</si>
  <si>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</si>
  <si>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</si>
  <si>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</si>
  <si>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</si>
  <si>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</si>
  <si>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</si>
  <si>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</si>
  <si>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</si>
  <si>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John McReynolds</t>
  </si>
  <si>
    <t>Matthew Matthiessen</t>
  </si>
  <si>
    <t>Adam Tibbs</t>
  </si>
  <si>
    <t>Jeanette Ring</t>
  </si>
  <si>
    <t>jring@dzacpa.com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</si>
  <si>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</si>
  <si>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</si>
  <si>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</si>
  <si>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</si>
  <si>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</si>
  <si>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</si>
  <si>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</si>
  <si>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</si>
  <si>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</si>
  <si>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</si>
  <si>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</si>
  <si>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</si>
  <si>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</si>
  <si>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</si>
  <si>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</si>
  <si>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</si>
  <si>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</si>
  <si>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</si>
  <si>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</si>
  <si>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</si>
  <si>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</si>
  <si>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</si>
  <si>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</si>
  <si>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</si>
  <si>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</si>
  <si>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</si>
  <si>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</si>
  <si>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</si>
  <si>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</si>
  <si>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</si>
  <si>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</si>
  <si>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</si>
  <si>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</si>
  <si>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</si>
  <si>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</si>
  <si>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</si>
  <si>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</si>
  <si>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</si>
  <si>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</si>
  <si>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</si>
  <si>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</si>
  <si>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</si>
  <si>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</si>
  <si>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</si>
  <si>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</si>
  <si>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</si>
  <si>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</si>
  <si>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</si>
  <si>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</si>
  <si>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</si>
  <si>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</si>
  <si>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</si>
  <si>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</si>
  <si>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</si>
  <si>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</si>
  <si>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</si>
  <si>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</si>
  <si>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</si>
  <si>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</si>
  <si>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</si>
  <si>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</si>
  <si>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</si>
  <si>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</si>
  <si>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</si>
  <si>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</si>
  <si>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</si>
  <si>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</si>
  <si>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</si>
  <si>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</si>
  <si>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</si>
  <si>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</si>
  <si>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</si>
  <si>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</si>
  <si>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</si>
  <si>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</si>
  <si>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</si>
  <si>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</si>
  <si>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</si>
  <si>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</si>
  <si>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</si>
  <si>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</si>
  <si>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</si>
  <si>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</si>
  <si>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</si>
  <si>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</si>
  <si>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</si>
  <si>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</si>
  <si>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</si>
  <si>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</si>
  <si>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</si>
  <si>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</si>
  <si>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</si>
  <si>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</si>
  <si>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</si>
  <si>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</si>
  <si>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</si>
  <si>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</si>
  <si>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</si>
  <si>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</si>
  <si>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</si>
  <si>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</si>
  <si>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</si>
  <si>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</si>
  <si>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</si>
  <si>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</si>
  <si>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</si>
  <si>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</si>
  <si>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</si>
  <si>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</si>
  <si>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</si>
  <si>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</si>
  <si>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</si>
  <si>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</si>
  <si>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</si>
  <si>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</si>
  <si>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</si>
  <si>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</si>
  <si>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</si>
  <si>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</si>
  <si>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</si>
  <si>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</si>
  <si>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</si>
  <si>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</si>
  <si>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</si>
  <si>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</si>
  <si>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</si>
  <si>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</si>
  <si>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</si>
  <si>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</si>
  <si>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</si>
  <si>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</si>
  <si>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</si>
  <si>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</si>
  <si>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</si>
  <si>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</si>
  <si>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</si>
  <si>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</si>
  <si>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</si>
  <si>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</si>
  <si>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</si>
  <si>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</si>
  <si>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</si>
  <si>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</si>
  <si>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</si>
  <si>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</si>
  <si>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</si>
  <si>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</si>
  <si>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</si>
  <si>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</si>
  <si>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</si>
  <si>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</si>
  <si>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</si>
  <si>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</si>
  <si>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</si>
  <si>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</si>
  <si>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</si>
  <si>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</si>
  <si>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</si>
  <si>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</si>
  <si>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</si>
  <si>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</si>
  <si>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</si>
  <si>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</si>
  <si>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</si>
  <si>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</si>
  <si>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</si>
  <si>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</si>
  <si>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</si>
  <si>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</si>
  <si>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</si>
  <si>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</si>
  <si>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</si>
  <si>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</si>
  <si>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</si>
  <si>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</si>
  <si>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</si>
  <si>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</si>
  <si>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</si>
  <si>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</si>
  <si>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</si>
  <si>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</si>
  <si>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</si>
  <si>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</si>
  <si>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</si>
  <si>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</si>
  <si>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</si>
  <si>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</si>
  <si>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</si>
  <si>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</si>
  <si>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</si>
  <si>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</si>
  <si>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</si>
  <si>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</si>
  <si>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</si>
  <si>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</si>
  <si>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</si>
  <si>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</si>
  <si>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</si>
  <si>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</si>
  <si>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</si>
  <si>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</si>
  <si>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</si>
  <si>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</si>
  <si>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</si>
  <si>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</si>
  <si>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</si>
  <si>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</si>
  <si>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</si>
  <si>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</si>
  <si>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</si>
  <si>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</si>
  <si>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</si>
  <si>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</si>
  <si>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</si>
  <si>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</si>
  <si>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</si>
  <si>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</si>
  <si>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</si>
  <si>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</si>
  <si>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</si>
  <si>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</si>
  <si>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</si>
  <si>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</si>
  <si>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</si>
  <si>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</si>
  <si>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</si>
  <si>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</si>
  <si>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</si>
  <si>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</si>
  <si>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</si>
  <si>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</si>
  <si>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</si>
  <si>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</si>
  <si>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</si>
  <si>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</si>
  <si>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</si>
  <si>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</si>
  <si>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</si>
  <si>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</si>
  <si>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</si>
  <si>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</si>
  <si>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</si>
  <si>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</si>
  <si>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</si>
  <si>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</si>
  <si>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</si>
  <si>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</si>
  <si>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</si>
  <si>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</si>
  <si>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</si>
  <si>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</si>
  <si>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</si>
  <si>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</si>
  <si>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</si>
  <si>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</si>
  <si>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</si>
  <si>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</si>
  <si>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</si>
  <si>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</si>
  <si>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</si>
  <si>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</si>
  <si>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</si>
  <si>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</si>
  <si>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</si>
  <si>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</si>
  <si>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</si>
  <si>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</si>
  <si>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</si>
  <si>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</si>
  <si>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</si>
  <si>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</si>
  <si>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</si>
  <si>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</si>
  <si>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</si>
  <si>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</si>
  <si>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</si>
  <si>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</si>
  <si>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</si>
  <si>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</si>
  <si>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</si>
  <si>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</si>
  <si>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</si>
  <si>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</si>
  <si>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</si>
  <si>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</si>
  <si>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</si>
  <si>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</si>
  <si>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</si>
  <si>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</si>
  <si>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</si>
  <si>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</si>
  <si>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</si>
  <si>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</si>
  <si>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</si>
  <si>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</si>
  <si>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</si>
  <si>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</si>
  <si>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</si>
  <si>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</si>
  <si>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</si>
  <si>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</si>
  <si>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</si>
  <si>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</si>
  <si>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</si>
  <si>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</si>
  <si>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</si>
  <si>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Code</t>
  </si>
  <si>
    <t>Description</t>
  </si>
  <si>
    <t>Report 12/31/2024</t>
  </si>
  <si>
    <t>6002</t>
  </si>
  <si>
    <t>Other Income</t>
  </si>
  <si>
    <t xml:space="preserve">    6002, 5.06</t>
  </si>
  <si>
    <t>A&amp;G</t>
  </si>
  <si>
    <t>H-1600093005</t>
  </si>
  <si>
    <t>CASH DISCOUNT / PURCHASES-GENERAL</t>
  </si>
  <si>
    <t>H-1600093020</t>
  </si>
  <si>
    <t>OTHER REVENUE-GENERAL</t>
  </si>
  <si>
    <t>H-1600095005</t>
  </si>
  <si>
    <t>REBATES-GENERAL</t>
  </si>
  <si>
    <t>H-50018000</t>
  </si>
  <si>
    <t>MISC RECEIPTS -OTHER REV</t>
  </si>
  <si>
    <t xml:space="preserve">        6002, 5.06 Total</t>
  </si>
  <si>
    <t xml:space="preserve">    6002, 16</t>
  </si>
  <si>
    <t>H-1600093010</t>
  </si>
  <si>
    <t>MEDICAL RECORDS-GENERAL</t>
  </si>
  <si>
    <t xml:space="preserve">        6002, 16 Total</t>
  </si>
  <si>
    <t xml:space="preserve">    6002, NO</t>
  </si>
  <si>
    <t>No offset</t>
  </si>
  <si>
    <t xml:space="preserve">        6002, NO Total</t>
  </si>
  <si>
    <t xml:space="preserve">    6002, 4</t>
  </si>
  <si>
    <t>LTC A&amp;G</t>
  </si>
  <si>
    <t>L-2410093020</t>
  </si>
  <si>
    <t>OTHER REVENUE-INTER-COMPANY</t>
  </si>
  <si>
    <t>L-45002250</t>
  </si>
  <si>
    <t>MISC. REV</t>
  </si>
  <si>
    <t xml:space="preserve">        6002, 4 Total</t>
  </si>
  <si>
    <t>L-2403057035</t>
  </si>
  <si>
    <t>DIETARY REVENUE-FOOD SERVICE</t>
  </si>
  <si>
    <t>L-2405057030</t>
  </si>
  <si>
    <t>LAUNDRY REVENUE-LAUNDRY</t>
  </si>
  <si>
    <t>Melissa Thompson</t>
  </si>
  <si>
    <t>509-486-2151</t>
  </si>
  <si>
    <t>Lower volumnes in FY24, however many costs are fixed costs so we ended up with a high cost per unit.</t>
  </si>
  <si>
    <t>Many costs are fixed costs in this department.</t>
  </si>
  <si>
    <t>Jeannette 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</si>
</sst>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  <numFmt numFmtId="170" formatCode="_(* #,##0.00_);_(* \(#,##0.00\);_(* 0.00_);_(@_)"/>
  </numFmts>
  <fonts count="56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</font>
    <font>
      <b/>
      <sz val="11"/>
      <color rgb="FFD2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96">
    <xf numFmtId="37" fontId="0" fillId="0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39" fillId="23" borderId="0"/>
    <xf numFmtId="0" fontId="6" fillId="23" borderId="0"/>
    <xf numFmtId="0" fontId="6" fillId="23" borderId="0"/>
    <xf numFmtId="0" fontId="6" fillId="24" borderId="0"/>
    <xf numFmtId="0" fontId="6" fillId="24" borderId="0"/>
    <xf numFmtId="0" fontId="6" fillId="24" borderId="0"/>
    <xf numFmtId="0" fontId="6" fillId="24" borderId="0"/>
    <xf numFmtId="0" fontId="39" fillId="24" borderId="0"/>
    <xf numFmtId="0" fontId="6" fillId="24" borderId="0"/>
    <xf numFmtId="0" fontId="6" fillId="24" borderId="0"/>
    <xf numFmtId="0" fontId="6" fillId="25" borderId="0"/>
    <xf numFmtId="0" fontId="6" fillId="25" borderId="0"/>
    <xf numFmtId="0" fontId="6" fillId="25" borderId="0"/>
    <xf numFmtId="0" fontId="6" fillId="25" borderId="0"/>
    <xf numFmtId="0" fontId="39" fillId="25" borderId="0"/>
    <xf numFmtId="0" fontId="6" fillId="25" borderId="0"/>
    <xf numFmtId="0" fontId="6" fillId="25" borderId="0"/>
    <xf numFmtId="0" fontId="6" fillId="26" borderId="0"/>
    <xf numFmtId="0" fontId="6" fillId="26" borderId="0"/>
    <xf numFmtId="0" fontId="6" fillId="26" borderId="0"/>
    <xf numFmtId="0" fontId="6" fillId="26" borderId="0"/>
    <xf numFmtId="0" fontId="39" fillId="26" borderId="0"/>
    <xf numFmtId="0" fontId="6" fillId="26" borderId="0"/>
    <xf numFmtId="0" fontId="6" fillId="26" borderId="0"/>
    <xf numFmtId="0" fontId="6" fillId="27" borderId="0"/>
    <xf numFmtId="0" fontId="6" fillId="27" borderId="0"/>
    <xf numFmtId="0" fontId="6" fillId="27" borderId="0"/>
    <xf numFmtId="0" fontId="6" fillId="27" borderId="0"/>
    <xf numFmtId="0" fontId="39" fillId="27" borderId="0"/>
    <xf numFmtId="0" fontId="6" fillId="27" borderId="0"/>
    <xf numFmtId="0" fontId="6" fillId="27" borderId="0"/>
    <xf numFmtId="0" fontId="6" fillId="28" borderId="0"/>
    <xf numFmtId="0" fontId="6" fillId="28" borderId="0"/>
    <xf numFmtId="0" fontId="6" fillId="28" borderId="0"/>
    <xf numFmtId="0" fontId="6" fillId="28" borderId="0"/>
    <xf numFmtId="0" fontId="39" fillId="28" borderId="0"/>
    <xf numFmtId="0" fontId="6" fillId="28" borderId="0"/>
    <xf numFmtId="0" fontId="6" fillId="28" borderId="0"/>
    <xf numFmtId="43" fontId="11" fillId="0" borderId="0"/>
    <xf numFmtId="41" fontId="11" fillId="0" borderId="0"/>
    <xf numFmtId="41" fontId="11" fillId="0" borderId="0"/>
    <xf numFmtId="43" fontId="11" fillId="0" borderId="0"/>
    <xf numFmtId="43" fontId="6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44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11" fillId="0" borderId="0"/>
    <xf numFmtId="43" fontId="6" fillId="0" borderId="0"/>
    <xf numFmtId="43" fontId="40" fillId="0" borderId="0"/>
    <xf numFmtId="43" fontId="6" fillId="0" borderId="0"/>
    <xf numFmtId="43" fontId="40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2" fontId="11" fillId="0" borderId="0"/>
    <xf numFmtId="42" fontId="11" fillId="0" borderId="0"/>
    <xf numFmtId="44" fontId="11" fillId="0" borderId="0"/>
    <xf numFmtId="44" fontId="11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11" fillId="0" borderId="0"/>
    <xf numFmtId="44" fontId="11" fillId="0" borderId="0"/>
    <xf numFmtId="44" fontId="11" fillId="0" borderId="0"/>
    <xf numFmtId="44" fontId="11" fillId="0" borderId="0"/>
    <xf numFmtId="44" fontId="11" fillId="0" borderId="0"/>
    <xf numFmtId="44" fontId="11" fillId="0" borderId="0"/>
    <xf numFmtId="0" fontId="12" fillId="0" borderId="0">
      <alignment vertical="top"/>
      <protection locked="0"/>
    </xf>
    <xf numFmtId="0" fontId="36" fillId="0" borderId="0"/>
    <xf numFmtId="0" fontId="36" fillId="0" borderId="0"/>
    <xf numFmtId="0" fontId="12" fillId="0" borderId="0">
      <alignment vertical="top"/>
      <protection locked="0"/>
    </xf>
    <xf numFmtId="0" fontId="38" fillId="29" borderId="0"/>
    <xf numFmtId="0" fontId="42" fillId="29" borderId="0"/>
    <xf numFmtId="0" fontId="38" fillId="2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44" fillId="0" borderId="0"/>
    <xf numFmtId="0" fontId="14" fillId="0" borderId="0"/>
    <xf numFmtId="0" fontId="6" fillId="0" borderId="0"/>
    <xf numFmtId="0" fontId="11" fillId="0" borderId="0"/>
    <xf numFmtId="0" fontId="40" fillId="0" borderId="0"/>
    <xf numFmtId="0" fontId="11" fillId="0" borderId="0"/>
    <xf numFmtId="0" fontId="40" fillId="0" borderId="0"/>
    <xf numFmtId="0" fontId="11" fillId="0" borderId="0"/>
    <xf numFmtId="169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35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6" fillId="0" borderId="0"/>
    <xf numFmtId="0" fontId="40" fillId="0" borderId="0"/>
    <xf numFmtId="0" fontId="6" fillId="0" borderId="0"/>
    <xf numFmtId="0" fontId="7" fillId="0" borderId="0"/>
    <xf numFmtId="0" fontId="5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11" fillId="0" borderId="0"/>
    <xf numFmtId="9" fontId="6" fillId="0" borderId="0"/>
    <xf numFmtId="9" fontId="11" fillId="0" borderId="0"/>
    <xf numFmtId="9" fontId="11" fillId="0" borderId="0"/>
    <xf numFmtId="9" fontId="6" fillId="0" borderId="0"/>
    <xf numFmtId="9" fontId="6" fillId="0" borderId="0"/>
    <xf numFmtId="9" fontId="11" fillId="0" borderId="0"/>
    <xf numFmtId="9" fontId="11" fillId="0" borderId="0"/>
    <xf numFmtId="9" fontId="11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11" fillId="0" borderId="0"/>
    <xf numFmtId="0" fontId="37" fillId="0" borderId="0"/>
    <xf numFmtId="0" fontId="43" fillId="0" borderId="0"/>
    <xf numFmtId="0" fontId="37" fillId="0" borderId="0"/>
    <xf numFmtId="0" fontId="35" fillId="0" borderId="0" applyBorder="0"/>
    <xf numFmtId="43" fontId="35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43" fontId="35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37" fontId="31" fillId="0" borderId="0"/>
    <xf numFmtId="0" fontId="12" fillId="0" borderId="0">
      <alignment vertical="top"/>
      <protection locked="0"/>
    </xf>
    <xf numFmtId="0" fontId="14" fillId="0" borderId="0"/>
  </cellStyleXfs>
  <cellXfs count="351">
    <xf numFmtId="37" fontId="0" fillId="0" borderId="0" xfId="0"/>
    <xf numFmtId="37" fontId="13" fillId="0" borderId="0" xfId="0" applyFont="1"/>
    <xf numFmtId="37" fontId="13" fillId="0" borderId="0" xfId="0" applyFont="1" applyAlignment="1">
      <alignment horizontal="left"/>
    </xf>
    <xf numFmtId="1" fontId="13" fillId="0" borderId="0" xfId="0" applyNumberFormat="1" applyFont="1" applyAlignment="1">
      <alignment horizontal="center"/>
    </xf>
    <xf numFmtId="37" fontId="13" fillId="0" borderId="0" xfId="0" applyFont="1" applyAlignment="1">
      <alignment horizontal="center"/>
    </xf>
    <xf numFmtId="37" fontId="13" fillId="0" borderId="0" xfId="0" quotePrefix="1" applyFont="1" applyAlignment="1">
      <alignment horizontal="center"/>
    </xf>
    <xf numFmtId="10" fontId="13" fillId="0" borderId="0" xfId="0" applyNumberFormat="1" applyFont="1"/>
    <xf numFmtId="49" fontId="13" fillId="0" borderId="0" xfId="0" quotePrefix="1" applyNumberFormat="1" applyFont="1"/>
    <xf numFmtId="37" fontId="15" fillId="0" borderId="0" xfId="0" applyFont="1" applyAlignment="1" applyProtection="1">
      <alignment horizontal="center"/>
      <protection locked="0"/>
    </xf>
    <xf numFmtId="37" fontId="16" fillId="0" borderId="0" xfId="0" applyFont="1"/>
    <xf numFmtId="37" fontId="17" fillId="0" borderId="0" xfId="0" applyFont="1" applyAlignment="1">
      <alignment horizontal="center"/>
    </xf>
    <xf numFmtId="37" fontId="17" fillId="0" borderId="0" xfId="0" applyFont="1"/>
    <xf numFmtId="37" fontId="17" fillId="0" borderId="0" xfId="0" applyFont="1" applyAlignment="1">
      <alignment horizontal="left"/>
    </xf>
    <xf numFmtId="38" fontId="17" fillId="0" borderId="0" xfId="0" applyNumberFormat="1" applyFont="1"/>
    <xf numFmtId="37" fontId="17" fillId="0" borderId="0" xfId="0" quotePrefix="1" applyFont="1" applyAlignment="1">
      <alignment horizontal="left"/>
    </xf>
    <xf numFmtId="37" fontId="18" fillId="0" borderId="0" xfId="631" applyNumberFormat="1" applyFont="1" applyAlignment="1" applyProtection="1"/>
    <xf numFmtId="37" fontId="17" fillId="3" borderId="0" xfId="0" applyFont="1" applyFill="1"/>
    <xf numFmtId="38" fontId="17" fillId="3" borderId="0" xfId="0" applyNumberFormat="1" applyFont="1" applyFill="1" applyAlignment="1">
      <alignment horizontal="center"/>
    </xf>
    <xf numFmtId="37" fontId="17" fillId="3" borderId="0" xfId="0" applyFont="1" applyFill="1" applyAlignment="1">
      <alignment horizontal="center"/>
    </xf>
    <xf numFmtId="37" fontId="17" fillId="3" borderId="0" xfId="0" quotePrefix="1" applyFont="1" applyFill="1" applyAlignment="1">
      <alignment horizontal="center"/>
    </xf>
    <xf numFmtId="37" fontId="17" fillId="3" borderId="0" xfId="0" quotePrefix="1" applyFont="1" applyFill="1"/>
    <xf numFmtId="37" fontId="17" fillId="3" borderId="0" xfId="0" quotePrefix="1" applyFont="1" applyFill="1" applyAlignment="1">
      <alignment horizontal="left"/>
    </xf>
    <xf numFmtId="38" fontId="17" fillId="3" borderId="0" xfId="0" applyNumberFormat="1" applyFont="1" applyFill="1"/>
    <xf numFmtId="165" fontId="17" fillId="3" borderId="0" xfId="0" applyNumberFormat="1" applyFont="1" applyFill="1" applyAlignment="1">
      <alignment horizontal="center"/>
    </xf>
    <xf numFmtId="37" fontId="17" fillId="3" borderId="0" xfId="0" quotePrefix="1" applyFont="1" applyFill="1" applyAlignment="1">
      <alignment horizontal="fill"/>
    </xf>
    <xf numFmtId="37" fontId="17" fillId="7" borderId="0" xfId="0" applyFont="1" applyFill="1"/>
    <xf numFmtId="37" fontId="17" fillId="7" borderId="0" xfId="0" quotePrefix="1" applyFont="1" applyFill="1" applyAlignment="1">
      <alignment horizontal="left" indent="1"/>
    </xf>
    <xf numFmtId="43" fontId="17" fillId="3" borderId="0" xfId="547" applyFont="1" applyFill="1"/>
    <xf numFmtId="37" fontId="17" fillId="3" borderId="0" xfId="547" quotePrefix="1" applyNumberFormat="1" applyFont="1" applyFill="1" applyAlignment="1">
      <alignment horizontal="fill"/>
    </xf>
    <xf numFmtId="39" fontId="17" fillId="3" borderId="0" xfId="0" applyNumberFormat="1" applyFont="1" applyFill="1"/>
    <xf numFmtId="37" fontId="17" fillId="3" borderId="0" xfId="0" applyFont="1" applyFill="1" applyAlignment="1">
      <alignment horizontal="centerContinuous"/>
    </xf>
    <xf numFmtId="37" fontId="17" fillId="7" borderId="0" xfId="0" quotePrefix="1" applyFont="1" applyFill="1" applyAlignment="1">
      <alignment horizontal="left"/>
    </xf>
    <xf numFmtId="37" fontId="17" fillId="7" borderId="0" xfId="0" applyFont="1" applyFill="1" applyAlignment="1">
      <alignment horizontal="right"/>
    </xf>
    <xf numFmtId="37" fontId="17" fillId="7" borderId="0" xfId="0" applyFont="1" applyFill="1" applyAlignment="1">
      <alignment horizontal="left"/>
    </xf>
    <xf numFmtId="37" fontId="19" fillId="3" borderId="0" xfId="0" applyFont="1" applyFill="1" applyAlignment="1">
      <alignment horizontal="centerContinuous"/>
    </xf>
    <xf numFmtId="37" fontId="17" fillId="3" borderId="0" xfId="0" applyFont="1" applyFill="1" applyAlignment="1">
      <alignment horizontal="right"/>
    </xf>
    <xf numFmtId="38" fontId="17" fillId="3" borderId="0" xfId="0" applyNumberFormat="1" applyFont="1" applyFill="1" applyAlignment="1">
      <alignment horizontal="right"/>
    </xf>
    <xf numFmtId="37" fontId="17" fillId="3" borderId="0" xfId="0" quotePrefix="1" applyFont="1" applyFill="1" applyAlignment="1">
      <alignment horizontal="centerContinuous"/>
    </xf>
    <xf numFmtId="37" fontId="19" fillId="3" borderId="0" xfId="0" quotePrefix="1" applyFont="1" applyFill="1" applyAlignment="1">
      <alignment horizontal="left"/>
    </xf>
    <xf numFmtId="37" fontId="19" fillId="3" borderId="0" xfId="0" applyFont="1" applyFill="1" applyAlignment="1">
      <alignment horizontal="center"/>
    </xf>
    <xf numFmtId="38" fontId="19" fillId="3" borderId="0" xfId="0" applyNumberFormat="1" applyFont="1" applyFill="1" applyAlignment="1">
      <alignment horizontal="center"/>
    </xf>
    <xf numFmtId="38" fontId="19" fillId="3" borderId="0" xfId="0" applyNumberFormat="1" applyFont="1" applyFill="1"/>
    <xf numFmtId="37" fontId="19" fillId="3" borderId="0" xfId="0" applyFont="1" applyFill="1"/>
    <xf numFmtId="37" fontId="17" fillId="3" borderId="0" xfId="0" applyFont="1" applyFill="1" applyAlignment="1">
      <alignment horizontal="left"/>
    </xf>
    <xf numFmtId="38" fontId="19" fillId="3" borderId="8" xfId="0" applyNumberFormat="1" applyFont="1" applyFill="1" applyBorder="1" applyAlignment="1" applyProtection="1">
      <alignment horizontal="center"/>
      <protection locked="0"/>
    </xf>
    <xf numFmtId="37" fontId="19" fillId="7" borderId="0" xfId="0" applyFont="1" applyFill="1" applyAlignment="1">
      <alignment horizontal="centerContinuous"/>
    </xf>
    <xf numFmtId="37" fontId="17" fillId="7" borderId="0" xfId="0" applyFont="1" applyFill="1" applyAlignment="1">
      <alignment horizontal="left" indent="1"/>
    </xf>
    <xf numFmtId="10" fontId="17" fillId="0" borderId="0" xfId="939" applyNumberFormat="1" applyFont="1"/>
    <xf numFmtId="37" fontId="17" fillId="7" borderId="0" xfId="0" applyFont="1" applyFill="1" applyAlignment="1">
      <alignment horizontal="left" indent="2"/>
    </xf>
    <xf numFmtId="37" fontId="17" fillId="7" borderId="0" xfId="0" quotePrefix="1" applyFont="1" applyFill="1" applyAlignment="1">
      <alignment horizontal="left" indent="2"/>
    </xf>
    <xf numFmtId="39" fontId="17" fillId="0" borderId="0" xfId="0" applyNumberFormat="1" applyFont="1"/>
    <xf numFmtId="10" fontId="17" fillId="0" borderId="0" xfId="0" applyNumberFormat="1" applyFont="1"/>
    <xf numFmtId="1" fontId="17" fillId="0" borderId="0" xfId="0" applyNumberFormat="1" applyFont="1" applyAlignment="1">
      <alignment horizontal="center"/>
    </xf>
    <xf numFmtId="37" fontId="17" fillId="0" borderId="0" xfId="0" applyFont="1" applyAlignment="1">
      <alignment horizontal="right"/>
    </xf>
    <xf numFmtId="37" fontId="20" fillId="0" borderId="0" xfId="0" applyFont="1"/>
    <xf numFmtId="37" fontId="15" fillId="0" borderId="0" xfId="0" applyFont="1" applyAlignment="1">
      <alignment horizontal="center"/>
    </xf>
    <xf numFmtId="37" fontId="17" fillId="0" borderId="0" xfId="0" quotePrefix="1" applyFont="1"/>
    <xf numFmtId="37" fontId="21" fillId="0" borderId="0" xfId="0" applyFont="1" applyAlignment="1">
      <alignment vertical="center" readingOrder="1"/>
    </xf>
    <xf numFmtId="37" fontId="23" fillId="0" borderId="0" xfId="0" applyFont="1" applyAlignment="1">
      <alignment vertical="center" readingOrder="1"/>
    </xf>
    <xf numFmtId="37" fontId="24" fillId="0" borderId="0" xfId="0" quotePrefix="1" applyFont="1"/>
    <xf numFmtId="37" fontId="24" fillId="0" borderId="0" xfId="0" applyFont="1"/>
    <xf numFmtId="37" fontId="13" fillId="0" borderId="0" xfId="0" quotePrefix="1" applyFont="1" applyAlignment="1">
      <alignment horizontal="right"/>
    </xf>
    <xf numFmtId="37" fontId="13" fillId="0" borderId="0" xfId="0" applyFont="1" applyAlignment="1">
      <alignment horizontal="centerContinuous"/>
    </xf>
    <xf numFmtId="37" fontId="25" fillId="0" borderId="1" xfId="0" applyFont="1" applyBorder="1"/>
    <xf numFmtId="37" fontId="25" fillId="0" borderId="8" xfId="0" applyFont="1" applyBorder="1"/>
    <xf numFmtId="37" fontId="13" fillId="0" borderId="6" xfId="0" applyFont="1" applyBorder="1"/>
    <xf numFmtId="37" fontId="13" fillId="0" borderId="8" xfId="0" applyFont="1" applyBorder="1"/>
    <xf numFmtId="37" fontId="25" fillId="0" borderId="2" xfId="0" applyFont="1" applyBorder="1"/>
    <xf numFmtId="37" fontId="25" fillId="0" borderId="13" xfId="0" applyFont="1" applyBorder="1"/>
    <xf numFmtId="37" fontId="25" fillId="0" borderId="0" xfId="0" applyFont="1"/>
    <xf numFmtId="37" fontId="25" fillId="0" borderId="4" xfId="0" applyFont="1" applyBorder="1"/>
    <xf numFmtId="37" fontId="13" fillId="0" borderId="13" xfId="0" applyFont="1" applyBorder="1"/>
    <xf numFmtId="37" fontId="13" fillId="0" borderId="10" xfId="0" applyFont="1" applyBorder="1"/>
    <xf numFmtId="37" fontId="25" fillId="0" borderId="14" xfId="0" applyFont="1" applyBorder="1" applyAlignment="1">
      <alignment horizontal="centerContinuous"/>
    </xf>
    <xf numFmtId="37" fontId="25" fillId="0" borderId="2" xfId="0" applyFont="1" applyBorder="1" applyAlignment="1">
      <alignment horizontal="centerContinuous"/>
    </xf>
    <xf numFmtId="37" fontId="25" fillId="0" borderId="8" xfId="0" applyFont="1" applyBorder="1" applyAlignment="1">
      <alignment horizontal="centerContinuous"/>
    </xf>
    <xf numFmtId="37" fontId="13" fillId="0" borderId="8" xfId="0" applyFont="1" applyBorder="1" applyAlignment="1">
      <alignment horizontal="centerContinuous"/>
    </xf>
    <xf numFmtId="37" fontId="13" fillId="0" borderId="2" xfId="0" applyFont="1" applyBorder="1" applyAlignment="1">
      <alignment horizontal="centerContinuous"/>
    </xf>
    <xf numFmtId="37" fontId="25" fillId="0" borderId="1" xfId="0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2" xfId="0" quotePrefix="1" applyFont="1" applyBorder="1" applyAlignment="1">
      <alignment horizontal="left"/>
    </xf>
    <xf numFmtId="37" fontId="25" fillId="0" borderId="12" xfId="0" applyFont="1" applyBorder="1"/>
    <xf numFmtId="37" fontId="13" fillId="0" borderId="4" xfId="0" applyFont="1" applyBorder="1"/>
    <xf numFmtId="37" fontId="25" fillId="0" borderId="8" xfId="0" quotePrefix="1" applyFont="1" applyBorder="1" applyAlignment="1">
      <alignment horizontal="left"/>
    </xf>
    <xf numFmtId="37" fontId="13" fillId="0" borderId="2" xfId="0" applyFont="1" applyBorder="1"/>
    <xf numFmtId="37" fontId="13" fillId="0" borderId="3" xfId="0" applyFont="1" applyBorder="1"/>
    <xf numFmtId="37" fontId="25" fillId="0" borderId="0" xfId="0" applyFont="1" applyAlignment="1">
      <alignment horizontal="left"/>
    </xf>
    <xf numFmtId="37" fontId="13" fillId="2" borderId="0" xfId="0" applyFont="1" applyFill="1"/>
    <xf numFmtId="37" fontId="13" fillId="2" borderId="4" xfId="0" applyFont="1" applyFill="1" applyBorder="1"/>
    <xf numFmtId="37" fontId="13" fillId="0" borderId="9" xfId="0" applyFont="1" applyBorder="1"/>
    <xf numFmtId="37" fontId="25" fillId="0" borderId="12" xfId="0" applyFont="1" applyBorder="1" applyAlignment="1">
      <alignment horizontal="left"/>
    </xf>
    <xf numFmtId="37" fontId="25" fillId="0" borderId="10" xfId="0" applyFont="1" applyBorder="1" applyAlignment="1">
      <alignment horizontal="right"/>
    </xf>
    <xf numFmtId="37" fontId="13" fillId="2" borderId="12" xfId="0" applyFont="1" applyFill="1" applyBorder="1"/>
    <xf numFmtId="37" fontId="13" fillId="2" borderId="10" xfId="0" applyFont="1" applyFill="1" applyBorder="1"/>
    <xf numFmtId="37" fontId="17" fillId="0" borderId="0" xfId="0" quotePrefix="1" applyFont="1" applyAlignment="1">
      <alignment horizontal="right"/>
    </xf>
    <xf numFmtId="37" fontId="17" fillId="0" borderId="16" xfId="0" applyFont="1" applyBorder="1"/>
    <xf numFmtId="37" fontId="17" fillId="0" borderId="17" xfId="0" applyFont="1" applyBorder="1"/>
    <xf numFmtId="37" fontId="17" fillId="0" borderId="18" xfId="0" applyFont="1" applyBorder="1"/>
    <xf numFmtId="37" fontId="17" fillId="0" borderId="19" xfId="0" applyFont="1" applyBorder="1"/>
    <xf numFmtId="37" fontId="17" fillId="0" borderId="20" xfId="0" applyFont="1" applyBorder="1"/>
    <xf numFmtId="37" fontId="17" fillId="0" borderId="21" xfId="0" applyFont="1" applyBorder="1"/>
    <xf numFmtId="37" fontId="17" fillId="0" borderId="22" xfId="0" applyFont="1" applyBorder="1"/>
    <xf numFmtId="37" fontId="17" fillId="0" borderId="23" xfId="0" applyFont="1" applyBorder="1"/>
    <xf numFmtId="37" fontId="17" fillId="0" borderId="17" xfId="0" applyFont="1" applyBorder="1" applyAlignment="1">
      <alignment horizontal="center"/>
    </xf>
    <xf numFmtId="37" fontId="17" fillId="0" borderId="17" xfId="0" applyFont="1" applyBorder="1" applyAlignment="1">
      <alignment horizontal="right"/>
    </xf>
    <xf numFmtId="37" fontId="17" fillId="0" borderId="24" xfId="0" applyFont="1" applyBorder="1"/>
    <xf numFmtId="37" fontId="17" fillId="0" borderId="8" xfId="0" applyFont="1" applyBorder="1"/>
    <xf numFmtId="37" fontId="17" fillId="0" borderId="8" xfId="0" applyFont="1" applyBorder="1" applyAlignment="1">
      <alignment horizontal="center"/>
    </xf>
    <xf numFmtId="37" fontId="17" fillId="0" borderId="25" xfId="0" applyFont="1" applyBorder="1"/>
    <xf numFmtId="37" fontId="17" fillId="0" borderId="26" xfId="0" applyFont="1" applyBorder="1"/>
    <xf numFmtId="37" fontId="17" fillId="0" borderId="6" xfId="0" applyFont="1" applyBorder="1"/>
    <xf numFmtId="37" fontId="17" fillId="0" borderId="27" xfId="0" applyFont="1" applyBorder="1"/>
    <xf numFmtId="37" fontId="17" fillId="0" borderId="28" xfId="0" quotePrefix="1" applyFont="1" applyBorder="1" applyAlignment="1">
      <alignment horizontal="left"/>
    </xf>
    <xf numFmtId="37" fontId="17" fillId="0" borderId="12" xfId="0" applyFont="1" applyBorder="1"/>
    <xf numFmtId="37" fontId="17" fillId="0" borderId="29" xfId="0" applyFont="1" applyBorder="1"/>
    <xf numFmtId="37" fontId="17" fillId="0" borderId="28" xfId="0" applyFont="1" applyBorder="1" applyAlignment="1">
      <alignment horizontal="center"/>
    </xf>
    <xf numFmtId="37" fontId="17" fillId="0" borderId="30" xfId="0" applyFont="1" applyBorder="1"/>
    <xf numFmtId="37" fontId="17" fillId="0" borderId="31" xfId="0" applyFont="1" applyBorder="1"/>
    <xf numFmtId="37" fontId="17" fillId="0" borderId="31" xfId="0" applyFont="1" applyBorder="1" applyAlignment="1">
      <alignment horizontal="center"/>
    </xf>
    <xf numFmtId="37" fontId="17" fillId="0" borderId="32" xfId="0" applyFont="1" applyBorder="1"/>
    <xf numFmtId="37" fontId="25" fillId="0" borderId="0" xfId="0" quotePrefix="1" applyFont="1" applyAlignment="1">
      <alignment horizontal="left"/>
    </xf>
    <xf numFmtId="37" fontId="25" fillId="0" borderId="5" xfId="0" applyFont="1" applyBorder="1" applyAlignment="1">
      <alignment horizontal="centerContinuous"/>
    </xf>
    <xf numFmtId="37" fontId="13" fillId="0" borderId="6" xfId="0" applyFont="1" applyBorder="1" applyAlignment="1">
      <alignment horizontal="centerContinuous"/>
    </xf>
    <xf numFmtId="37" fontId="13" fillId="0" borderId="7" xfId="0" applyFont="1" applyBorder="1" applyAlignment="1">
      <alignment horizontal="centerContinuous"/>
    </xf>
    <xf numFmtId="37" fontId="25" fillId="0" borderId="11" xfId="0" applyFont="1" applyBorder="1"/>
    <xf numFmtId="37" fontId="25" fillId="0" borderId="2" xfId="0" quotePrefix="1" applyFont="1" applyBorder="1" applyAlignment="1">
      <alignment horizontal="centerContinuous"/>
    </xf>
    <xf numFmtId="37" fontId="25" fillId="0" borderId="3" xfId="0" applyFont="1" applyBorder="1" applyAlignment="1">
      <alignment horizontal="center"/>
    </xf>
    <xf numFmtId="37" fontId="25" fillId="0" borderId="2" xfId="0" quotePrefix="1" applyFont="1" applyBorder="1"/>
    <xf numFmtId="37" fontId="25" fillId="0" borderId="13" xfId="0" applyFont="1" applyBorder="1" applyAlignment="1">
      <alignment horizontal="center"/>
    </xf>
    <xf numFmtId="37" fontId="25" fillId="0" borderId="0" xfId="0" quotePrefix="1" applyFont="1"/>
    <xf numFmtId="37" fontId="25" fillId="0" borderId="4" xfId="0" quotePrefix="1" applyFont="1" applyBorder="1"/>
    <xf numFmtId="37" fontId="25" fillId="0" borderId="13" xfId="0" applyFont="1" applyBorder="1" applyAlignment="1">
      <alignment horizontal="centerContinuous"/>
    </xf>
    <xf numFmtId="37" fontId="13" fillId="0" borderId="4" xfId="0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4" xfId="0" applyFont="1" applyBorder="1" applyAlignment="1">
      <alignment horizontal="left"/>
    </xf>
    <xf numFmtId="37" fontId="13" fillId="0" borderId="12" xfId="0" applyFont="1" applyBorder="1"/>
    <xf numFmtId="37" fontId="13" fillId="0" borderId="7" xfId="0" applyFont="1" applyBorder="1"/>
    <xf numFmtId="37" fontId="13" fillId="0" borderId="15" xfId="0" applyFont="1" applyBorder="1"/>
    <xf numFmtId="37" fontId="25" fillId="0" borderId="12" xfId="0" quotePrefix="1" applyFont="1" applyBorder="1" applyAlignment="1">
      <alignment horizontal="left"/>
    </xf>
    <xf numFmtId="37" fontId="13" fillId="0" borderId="12" xfId="0" quotePrefix="1" applyFont="1" applyBorder="1"/>
    <xf numFmtId="37" fontId="13" fillId="0" borderId="12" xfId="0" quotePrefix="1" applyFont="1" applyBorder="1" applyAlignment="1">
      <alignment horizontal="left"/>
    </xf>
    <xf numFmtId="37" fontId="25" fillId="0" borderId="0" xfId="0" applyFont="1" applyAlignment="1">
      <alignment horizontal="centerContinuous"/>
    </xf>
    <xf numFmtId="37" fontId="25" fillId="0" borderId="0" xfId="0" quotePrefix="1" applyFont="1" applyAlignment="1">
      <alignment horizontal="center"/>
    </xf>
    <xf numFmtId="37" fontId="25" fillId="0" borderId="9" xfId="0" quotePrefix="1" applyFont="1" applyBorder="1"/>
    <xf numFmtId="37" fontId="25" fillId="0" borderId="9" xfId="0" applyFont="1" applyBorder="1"/>
    <xf numFmtId="37" fontId="13" fillId="0" borderId="1" xfId="0" applyFont="1" applyBorder="1"/>
    <xf numFmtId="37" fontId="25" fillId="0" borderId="4" xfId="0" applyFont="1" applyBorder="1" applyAlignment="1">
      <alignment horizontal="centerContinuous"/>
    </xf>
    <xf numFmtId="37" fontId="25" fillId="0" borderId="6" xfId="0" applyFont="1" applyBorder="1" applyAlignment="1">
      <alignment horizontal="centerContinuous"/>
    </xf>
    <xf numFmtId="37" fontId="25" fillId="0" borderId="1" xfId="0" applyFont="1" applyBorder="1" applyAlignment="1">
      <alignment horizontal="centerContinuous"/>
    </xf>
    <xf numFmtId="37" fontId="13" fillId="0" borderId="0" xfId="0" quotePrefix="1" applyFont="1" applyAlignment="1">
      <alignment horizontal="left"/>
    </xf>
    <xf numFmtId="37" fontId="25" fillId="0" borderId="7" xfId="0" applyFont="1" applyBorder="1"/>
    <xf numFmtId="37" fontId="25" fillId="0" borderId="7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 applyAlignment="1">
      <alignment horizontal="center"/>
    </xf>
    <xf numFmtId="37" fontId="25" fillId="0" borderId="3" xfId="0" applyFont="1" applyBorder="1" applyAlignment="1">
      <alignment horizontal="centerContinuous"/>
    </xf>
    <xf numFmtId="37" fontId="25" fillId="2" borderId="2" xfId="0" applyFont="1" applyFill="1" applyBorder="1"/>
    <xf numFmtId="37" fontId="25" fillId="0" borderId="10" xfId="0" applyFont="1" applyBorder="1"/>
    <xf numFmtId="37" fontId="25" fillId="0" borderId="10" xfId="0" applyFont="1" applyBorder="1" applyAlignment="1">
      <alignment horizontal="center"/>
    </xf>
    <xf numFmtId="164" fontId="25" fillId="0" borderId="2" xfId="0" applyNumberFormat="1" applyFont="1" applyBorder="1"/>
    <xf numFmtId="37" fontId="25" fillId="0" borderId="0" xfId="0" applyFont="1" applyAlignment="1">
      <alignment horizontal="center"/>
    </xf>
    <xf numFmtId="164" fontId="25" fillId="0" borderId="2" xfId="0" applyNumberFormat="1" applyFont="1" applyBorder="1" applyAlignment="1">
      <alignment horizontal="right"/>
    </xf>
    <xf numFmtId="164" fontId="25" fillId="0" borderId="1" xfId="0" applyNumberFormat="1" applyFont="1" applyBorder="1"/>
    <xf numFmtId="164" fontId="25" fillId="0" borderId="3" xfId="0" applyNumberFormat="1" applyFont="1" applyBorder="1"/>
    <xf numFmtId="164" fontId="25" fillId="0" borderId="2" xfId="0" quotePrefix="1" applyNumberFormat="1" applyFont="1" applyBorder="1" applyAlignment="1">
      <alignment horizontal="left"/>
    </xf>
    <xf numFmtId="37" fontId="25" fillId="0" borderId="14" xfId="0" applyFont="1" applyBorder="1" applyAlignment="1">
      <alignment horizontal="center"/>
    </xf>
    <xf numFmtId="37" fontId="25" fillId="0" borderId="8" xfId="0" applyFont="1" applyBorder="1" applyAlignment="1">
      <alignment horizontal="center"/>
    </xf>
    <xf numFmtId="37" fontId="25" fillId="0" borderId="14" xfId="0" applyFont="1" applyBorder="1"/>
    <xf numFmtId="37" fontId="13" fillId="0" borderId="14" xfId="0" applyFont="1" applyBorder="1"/>
    <xf numFmtId="37" fontId="26" fillId="0" borderId="0" xfId="0" applyFont="1" applyAlignment="1">
      <alignment horizontal="centerContinuous"/>
    </xf>
    <xf numFmtId="37" fontId="17" fillId="0" borderId="0" xfId="0" applyFont="1" applyAlignment="1">
      <alignment horizontal="centerContinuous"/>
    </xf>
    <xf numFmtId="37" fontId="26" fillId="0" borderId="0" xfId="0" applyFont="1"/>
    <xf numFmtId="37" fontId="26" fillId="0" borderId="5" xfId="0" applyFont="1" applyBorder="1"/>
    <xf numFmtId="37" fontId="26" fillId="0" borderId="6" xfId="0" quotePrefix="1" applyFont="1" applyBorder="1" applyAlignment="1">
      <alignment horizontal="centerContinuous"/>
    </xf>
    <xf numFmtId="37" fontId="26" fillId="0" borderId="7" xfId="0" applyFont="1" applyBorder="1" applyAlignment="1">
      <alignment horizontal="centerContinuous"/>
    </xf>
    <xf numFmtId="37" fontId="26" fillId="0" borderId="1" xfId="0" applyFont="1" applyBorder="1"/>
    <xf numFmtId="37" fontId="26" fillId="0" borderId="2" xfId="0" applyFont="1" applyBorder="1" applyAlignment="1">
      <alignment horizontal="centerContinuous"/>
    </xf>
    <xf numFmtId="37" fontId="26" fillId="0" borderId="2" xfId="0" applyFont="1" applyBorder="1"/>
    <xf numFmtId="37" fontId="26" fillId="0" borderId="8" xfId="0" applyFont="1" applyBorder="1" applyAlignment="1">
      <alignment horizontal="centerContinuous"/>
    </xf>
    <xf numFmtId="37" fontId="26" fillId="0" borderId="8" xfId="0" applyFont="1" applyBorder="1"/>
    <xf numFmtId="37" fontId="26" fillId="0" borderId="9" xfId="0" applyFont="1" applyBorder="1"/>
    <xf numFmtId="37" fontId="26" fillId="0" borderId="10" xfId="0" applyFont="1" applyBorder="1"/>
    <xf numFmtId="37" fontId="26" fillId="0" borderId="11" xfId="0" applyFont="1" applyBorder="1"/>
    <xf numFmtId="37" fontId="26" fillId="0" borderId="6" xfId="0" applyFont="1" applyBorder="1" applyAlignment="1">
      <alignment horizontal="centerContinuous"/>
    </xf>
    <xf numFmtId="37" fontId="26" fillId="0" borderId="3" xfId="0" applyFont="1" applyBorder="1"/>
    <xf numFmtId="37" fontId="26" fillId="0" borderId="4" xfId="0" applyFont="1" applyBorder="1" applyAlignment="1">
      <alignment horizontal="centerContinuous"/>
    </xf>
    <xf numFmtId="37" fontId="26" fillId="0" borderId="2" xfId="0" quotePrefix="1" applyFont="1" applyBorder="1" applyAlignment="1">
      <alignment horizontal="center"/>
    </xf>
    <xf numFmtId="37" fontId="26" fillId="0" borderId="6" xfId="0" applyFont="1" applyBorder="1" applyAlignment="1">
      <alignment horizontal="center"/>
    </xf>
    <xf numFmtId="37" fontId="26" fillId="0" borderId="7" xfId="0" applyFont="1" applyBorder="1" applyAlignment="1">
      <alignment horizontal="center"/>
    </xf>
    <xf numFmtId="37" fontId="26" fillId="0" borderId="8" xfId="0" applyFont="1" applyBorder="1" applyAlignment="1">
      <alignment horizontal="left"/>
    </xf>
    <xf numFmtId="37" fontId="26" fillId="0" borderId="2" xfId="0" quotePrefix="1" applyFont="1" applyBorder="1"/>
    <xf numFmtId="37" fontId="10" fillId="0" borderId="2" xfId="0" applyFont="1" applyBorder="1"/>
    <xf numFmtId="37" fontId="10" fillId="0" borderId="2" xfId="0" quotePrefix="1" applyFont="1" applyBorder="1"/>
    <xf numFmtId="37" fontId="10" fillId="0" borderId="2" xfId="0" applyFont="1" applyBorder="1" applyAlignment="1">
      <alignment horizontal="left" indent="1"/>
    </xf>
    <xf numFmtId="37" fontId="26" fillId="0" borderId="2" xfId="0" applyFont="1" applyBorder="1" applyAlignment="1">
      <alignment horizontal="left" indent="1"/>
    </xf>
    <xf numFmtId="37" fontId="26" fillId="0" borderId="12" xfId="0" applyFont="1" applyBorder="1"/>
    <xf numFmtId="37" fontId="26" fillId="0" borderId="1" xfId="0" applyFont="1" applyBorder="1" applyAlignment="1">
      <alignment horizontal="right"/>
    </xf>
    <xf numFmtId="37" fontId="17" fillId="0" borderId="14" xfId="0" applyFont="1" applyBorder="1"/>
    <xf numFmtId="37" fontId="17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right"/>
    </xf>
    <xf numFmtId="1" fontId="1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/>
    </xf>
    <xf numFmtId="2" fontId="17" fillId="0" borderId="0" xfId="0" applyNumberFormat="1" applyFont="1"/>
    <xf numFmtId="37" fontId="28" fillId="0" borderId="0" xfId="0" applyFont="1"/>
    <xf numFmtId="43" fontId="17" fillId="7" borderId="0" xfId="547" applyFont="1" applyFill="1"/>
    <xf numFmtId="37" fontId="22" fillId="7" borderId="0" xfId="0" applyFont="1" applyFill="1"/>
    <xf numFmtId="2" fontId="13" fillId="0" borderId="0" xfId="0" applyNumberFormat="1" applyFont="1"/>
    <xf numFmtId="37" fontId="28" fillId="0" borderId="0" xfId="0" applyFont="1" applyProtection="1">
      <protection locked="0"/>
    </xf>
    <xf numFmtId="2" fontId="17" fillId="3" borderId="0" xfId="0" quotePrefix="1" applyNumberFormat="1" applyFont="1" applyFill="1" applyAlignment="1">
      <alignment horizontal="left"/>
    </xf>
    <xf numFmtId="2" fontId="17" fillId="3" borderId="0" xfId="0" applyNumberFormat="1" applyFont="1" applyFill="1"/>
    <xf numFmtId="2" fontId="17" fillId="3" borderId="0" xfId="0" quotePrefix="1" applyNumberFormat="1" applyFont="1" applyFill="1" applyAlignment="1">
      <alignment horizontal="fill"/>
    </xf>
    <xf numFmtId="37" fontId="28" fillId="0" borderId="0" xfId="0" applyFont="1" applyAlignment="1">
      <alignment horizontal="center"/>
    </xf>
    <xf numFmtId="37" fontId="28" fillId="0" borderId="0" xfId="0" applyFont="1" applyAlignment="1">
      <alignment horizontal="left"/>
    </xf>
    <xf numFmtId="164" fontId="28" fillId="0" borderId="0" xfId="0" applyNumberFormat="1" applyFont="1"/>
    <xf numFmtId="37" fontId="28" fillId="0" borderId="0" xfId="0" quotePrefix="1" applyFont="1" applyAlignment="1">
      <alignment horizontal="left"/>
    </xf>
    <xf numFmtId="37" fontId="28" fillId="8" borderId="0" xfId="0" applyFont="1" applyFill="1"/>
    <xf numFmtId="37" fontId="27" fillId="0" borderId="0" xfId="0" applyFont="1"/>
    <xf numFmtId="164" fontId="28" fillId="0" borderId="0" xfId="0" applyNumberFormat="1" applyFont="1" applyAlignment="1">
      <alignment horizontal="left"/>
    </xf>
    <xf numFmtId="37" fontId="28" fillId="9" borderId="0" xfId="0" applyFont="1" applyFill="1"/>
    <xf numFmtId="37" fontId="28" fillId="9" borderId="0" xfId="0" applyFont="1" applyFill="1" applyAlignment="1">
      <alignment horizontal="center"/>
    </xf>
    <xf numFmtId="37" fontId="28" fillId="10" borderId="0" xfId="0" applyFont="1" applyFill="1"/>
    <xf numFmtId="37" fontId="28" fillId="10" borderId="0" xfId="0" applyFont="1" applyFill="1" applyAlignment="1">
      <alignment horizontal="left"/>
    </xf>
    <xf numFmtId="37" fontId="28" fillId="10" borderId="0" xfId="0" applyFont="1" applyFill="1" applyAlignment="1">
      <alignment horizontal="center"/>
    </xf>
    <xf numFmtId="39" fontId="28" fillId="10" borderId="0" xfId="0" applyNumberFormat="1" applyFont="1" applyFill="1"/>
    <xf numFmtId="39" fontId="28" fillId="9" borderId="0" xfId="0" applyNumberFormat="1" applyFont="1" applyFill="1"/>
    <xf numFmtId="37" fontId="17" fillId="7" borderId="0" xfId="0" quotePrefix="1" applyFont="1" applyFill="1" applyAlignment="1">
      <alignment horizontal="fill"/>
    </xf>
    <xf numFmtId="38" fontId="17" fillId="7" borderId="0" xfId="0" applyNumberFormat="1" applyFont="1" applyFill="1"/>
    <xf numFmtId="39" fontId="17" fillId="7" borderId="0" xfId="0" applyNumberFormat="1" applyFont="1" applyFill="1"/>
    <xf numFmtId="2" fontId="17" fillId="7" borderId="0" xfId="0" applyNumberFormat="1" applyFont="1" applyFill="1"/>
    <xf numFmtId="37" fontId="13" fillId="0" borderId="0" xfId="0" applyFont="1" applyAlignment="1">
      <alignment vertical="center"/>
    </xf>
    <xf numFmtId="37" fontId="13" fillId="0" borderId="1" xfId="0" applyFont="1" applyBorder="1" applyAlignment="1">
      <alignment vertical="center"/>
    </xf>
    <xf numFmtId="37" fontId="29" fillId="0" borderId="1" xfId="0" applyFont="1" applyBorder="1"/>
    <xf numFmtId="37" fontId="29" fillId="0" borderId="0" xfId="0" applyFont="1" applyAlignment="1">
      <alignment horizontal="centerContinuous"/>
    </xf>
    <xf numFmtId="37" fontId="30" fillId="0" borderId="0" xfId="0" applyFont="1" applyAlignment="1">
      <alignment horizontal="centerContinuous"/>
    </xf>
    <xf numFmtId="37" fontId="30" fillId="0" borderId="0" xfId="0" applyFont="1"/>
    <xf numFmtId="37" fontId="29" fillId="0" borderId="0" xfId="0" applyFont="1"/>
    <xf numFmtId="37" fontId="29" fillId="0" borderId="0" xfId="0" quotePrefix="1" applyFont="1" applyAlignment="1">
      <alignment horizontal="right"/>
    </xf>
    <xf numFmtId="37" fontId="30" fillId="0" borderId="0" xfId="0" quotePrefix="1" applyFont="1"/>
    <xf numFmtId="37" fontId="31" fillId="0" borderId="0" xfId="0" applyFont="1"/>
    <xf numFmtId="37" fontId="29" fillId="0" borderId="2" xfId="0" applyFont="1" applyBorder="1"/>
    <xf numFmtId="37" fontId="29" fillId="0" borderId="2" xfId="0" quotePrefix="1" applyFont="1" applyBorder="1" applyAlignment="1">
      <alignment horizontal="center"/>
    </xf>
    <xf numFmtId="37" fontId="29" fillId="0" borderId="2" xfId="0" applyFont="1" applyBorder="1" applyAlignment="1">
      <alignment horizontal="center"/>
    </xf>
    <xf numFmtId="37" fontId="29" fillId="0" borderId="3" xfId="0" applyFont="1" applyBorder="1"/>
    <xf numFmtId="37" fontId="29" fillId="0" borderId="4" xfId="0" applyFont="1" applyBorder="1"/>
    <xf numFmtId="37" fontId="29" fillId="0" borderId="4" xfId="0" quotePrefix="1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9" fillId="0" borderId="2" xfId="0" applyNumberFormat="1" applyFont="1" applyBorder="1"/>
    <xf numFmtId="37" fontId="29" fillId="0" borderId="2" xfId="0" quotePrefix="1" applyFont="1" applyBorder="1"/>
    <xf numFmtId="37" fontId="29" fillId="5" borderId="2" xfId="0" applyFont="1" applyFill="1" applyBorder="1"/>
    <xf numFmtId="37" fontId="29" fillId="6" borderId="2" xfId="0" applyFont="1" applyFill="1" applyBorder="1"/>
    <xf numFmtId="37" fontId="32" fillId="0" borderId="0" xfId="0" applyFont="1"/>
    <xf numFmtId="37" fontId="29" fillId="6" borderId="2" xfId="0" applyFont="1" applyFill="1" applyBorder="1" applyAlignment="1">
      <alignment horizontal="center"/>
    </xf>
    <xf numFmtId="37" fontId="33" fillId="0" borderId="0" xfId="0" applyFont="1"/>
    <xf numFmtId="37" fontId="29" fillId="0" borderId="2" xfId="0" quotePrefix="1" applyFont="1" applyBorder="1" applyAlignment="1">
      <alignment horizontal="left"/>
    </xf>
    <xf numFmtId="37" fontId="29" fillId="6" borderId="2" xfId="0" quotePrefix="1" applyFont="1" applyFill="1" applyBorder="1" applyAlignment="1">
      <alignment horizontal="center"/>
    </xf>
    <xf numFmtId="37" fontId="30" fillId="0" borderId="10" xfId="0" applyFont="1" applyBorder="1"/>
    <xf numFmtId="37" fontId="29" fillId="6" borderId="2" xfId="0" quotePrefix="1" applyFont="1" applyFill="1" applyBorder="1"/>
    <xf numFmtId="39" fontId="29" fillId="6" borderId="2" xfId="0" quotePrefix="1" applyNumberFormat="1" applyFont="1" applyFill="1" applyBorder="1" applyAlignment="1">
      <alignment horizontal="center"/>
    </xf>
    <xf numFmtId="3" fontId="29" fillId="0" borderId="2" xfId="0" applyNumberFormat="1" applyFont="1" applyBorder="1"/>
    <xf numFmtId="37" fontId="30" fillId="0" borderId="2" xfId="0" applyFont="1" applyBorder="1" applyAlignment="1">
      <alignment horizontal="center"/>
    </xf>
    <xf numFmtId="37" fontId="30" fillId="0" borderId="4" xfId="0" applyFont="1" applyBorder="1" applyAlignment="1">
      <alignment horizontal="center"/>
    </xf>
    <xf numFmtId="39" fontId="29" fillId="6" borderId="2" xfId="0" applyNumberFormat="1" applyFont="1" applyFill="1" applyBorder="1"/>
    <xf numFmtId="2" fontId="29" fillId="0" borderId="2" xfId="0" applyNumberFormat="1" applyFont="1" applyBorder="1"/>
    <xf numFmtId="3" fontId="29" fillId="6" borderId="2" xfId="0" applyNumberFormat="1" applyFont="1" applyFill="1" applyBorder="1"/>
    <xf numFmtId="37" fontId="17" fillId="7" borderId="0" xfId="547" applyNumberFormat="1" applyFont="1" applyFill="1"/>
    <xf numFmtId="0" fontId="17" fillId="3" borderId="0" xfId="0" quotePrefix="1" applyNumberFormat="1" applyFont="1" applyFill="1" applyAlignment="1">
      <alignment horizontal="fill"/>
    </xf>
    <xf numFmtId="39" fontId="17" fillId="3" borderId="0" xfId="0" quotePrefix="1" applyNumberFormat="1" applyFont="1" applyFill="1" applyAlignment="1">
      <alignment horizontal="fill"/>
    </xf>
    <xf numFmtId="0" fontId="18" fillId="0" borderId="0" xfId="631" applyFont="1">
      <alignment vertical="top"/>
      <protection locked="0"/>
    </xf>
    <xf numFmtId="37" fontId="45" fillId="0" borderId="0" xfId="0" applyFont="1"/>
    <xf numFmtId="37" fontId="46" fillId="0" borderId="0" xfId="0" applyFont="1"/>
    <xf numFmtId="37" fontId="47" fillId="0" borderId="0" xfId="0" applyFont="1"/>
    <xf numFmtId="37" fontId="48" fillId="0" borderId="0" xfId="0" applyFont="1"/>
    <xf numFmtId="2" fontId="17" fillId="0" borderId="0" xfId="0" applyNumberFormat="1" applyFont="1" applyAlignment="1">
      <alignment horizontal="right"/>
    </xf>
    <xf numFmtId="37" fontId="19" fillId="31" borderId="1" xfId="0" applyFont="1" applyFill="1" applyBorder="1" applyProtection="1">
      <protection locked="0"/>
    </xf>
    <xf numFmtId="37" fontId="19" fillId="31" borderId="1" xfId="0" quotePrefix="1" applyFont="1" applyFill="1" applyBorder="1" applyProtection="1">
      <protection locked="0"/>
    </xf>
    <xf numFmtId="2" fontId="19" fillId="31" borderId="1" xfId="547" quotePrefix="1" applyNumberFormat="1" applyFont="1" applyFill="1" applyBorder="1" applyProtection="1">
      <protection locked="0"/>
    </xf>
    <xf numFmtId="37" fontId="19" fillId="31" borderId="1" xfId="547" quotePrefix="1" applyNumberFormat="1" applyFont="1" applyFill="1" applyBorder="1" applyProtection="1">
      <protection locked="0"/>
    </xf>
    <xf numFmtId="37" fontId="19" fillId="31" borderId="1" xfId="547" applyNumberFormat="1" applyFont="1" applyFill="1" applyBorder="1" applyProtection="1">
      <protection locked="0"/>
    </xf>
    <xf numFmtId="2" fontId="19" fillId="31" borderId="1" xfId="0" quotePrefix="1" applyNumberFormat="1" applyFont="1" applyFill="1" applyBorder="1" applyProtection="1">
      <protection locked="0"/>
    </xf>
    <xf numFmtId="2" fontId="19" fillId="31" borderId="1" xfId="939" quotePrefix="1" applyNumberFormat="1" applyFont="1" applyFill="1" applyBorder="1" applyProtection="1">
      <protection locked="0"/>
    </xf>
    <xf numFmtId="2" fontId="19" fillId="31" borderId="1" xfId="547" applyNumberFormat="1" applyFont="1" applyFill="1" applyBorder="1" applyProtection="1">
      <protection locked="0"/>
    </xf>
    <xf numFmtId="37" fontId="19" fillId="31" borderId="1" xfId="939" quotePrefix="1" applyNumberFormat="1" applyFont="1" applyFill="1" applyBorder="1" applyProtection="1">
      <protection locked="0"/>
    </xf>
    <xf numFmtId="1" fontId="19" fillId="31" borderId="1" xfId="0" quotePrefix="1" applyNumberFormat="1" applyFont="1" applyFill="1" applyBorder="1" applyProtection="1">
      <protection locked="0"/>
    </xf>
    <xf numFmtId="37" fontId="19" fillId="30" borderId="1" xfId="0" quotePrefix="1" applyFont="1" applyFill="1" applyBorder="1" applyProtection="1">
      <protection locked="0"/>
    </xf>
    <xf numFmtId="167" fontId="19" fillId="30" borderId="1" xfId="0" quotePrefix="1" applyNumberFormat="1" applyFont="1" applyFill="1" applyBorder="1" applyProtection="1">
      <protection locked="0"/>
    </xf>
    <xf numFmtId="38" fontId="19" fillId="30" borderId="8" xfId="0" applyNumberFormat="1" applyFont="1" applyFill="1" applyBorder="1" applyProtection="1">
      <protection locked="0"/>
    </xf>
    <xf numFmtId="38" fontId="19" fillId="30" borderId="2" xfId="0" applyNumberFormat="1" applyFont="1" applyFill="1" applyBorder="1" applyProtection="1">
      <protection locked="0"/>
    </xf>
    <xf numFmtId="38" fontId="19" fillId="30" borderId="1" xfId="0" quotePrefix="1" applyNumberFormat="1" applyFont="1" applyFill="1" applyBorder="1" applyAlignment="1" applyProtection="1">
      <alignment horizontal="left"/>
      <protection locked="0"/>
    </xf>
    <xf numFmtId="38" fontId="19" fillId="30" borderId="14" xfId="0" applyNumberFormat="1" applyFont="1" applyFill="1" applyBorder="1" applyProtection="1">
      <protection locked="0"/>
    </xf>
    <xf numFmtId="38" fontId="19" fillId="30" borderId="14" xfId="0" quotePrefix="1" applyNumberFormat="1" applyFont="1" applyFill="1" applyBorder="1" applyProtection="1">
      <protection locked="0"/>
    </xf>
    <xf numFmtId="166" fontId="19" fillId="30" borderId="14" xfId="0" applyNumberFormat="1" applyFont="1" applyFill="1" applyBorder="1" applyAlignment="1" applyProtection="1">
      <alignment horizontal="left"/>
      <protection locked="0"/>
    </xf>
    <xf numFmtId="49" fontId="19" fillId="30" borderId="1" xfId="0" quotePrefix="1" applyNumberFormat="1" applyFont="1" applyFill="1" applyBorder="1" applyProtection="1">
      <protection locked="0"/>
    </xf>
    <xf numFmtId="168" fontId="19" fillId="30" borderId="1" xfId="0" quotePrefix="1" applyNumberFormat="1" applyFont="1" applyFill="1" applyBorder="1" applyAlignment="1" applyProtection="1">
      <alignment horizontal="left"/>
      <protection locked="0"/>
    </xf>
    <xf numFmtId="38" fontId="19" fillId="30" borderId="1" xfId="0" applyNumberFormat="1" applyFont="1" applyFill="1" applyBorder="1" applyProtection="1">
      <protection locked="0"/>
    </xf>
    <xf numFmtId="38" fontId="19" fillId="30" borderId="1" xfId="0" applyNumberFormat="1" applyFont="1" applyFill="1" applyBorder="1" applyAlignment="1" applyProtection="1">
      <alignment horizontal="right"/>
      <protection locked="0"/>
    </xf>
    <xf numFmtId="38" fontId="19" fillId="31" borderId="1" xfId="0" applyNumberFormat="1" applyFont="1" applyFill="1" applyBorder="1" applyProtection="1">
      <protection locked="0"/>
    </xf>
    <xf numFmtId="37" fontId="19" fillId="30" borderId="1" xfId="0" applyFont="1" applyFill="1" applyBorder="1" applyProtection="1">
      <protection locked="0"/>
    </xf>
    <xf numFmtId="38" fontId="27" fillId="30" borderId="1" xfId="0" applyNumberFormat="1" applyFont="1" applyFill="1" applyBorder="1" applyProtection="1">
      <protection locked="0"/>
    </xf>
    <xf numFmtId="38" fontId="19" fillId="30" borderId="1" xfId="0" applyNumberFormat="1" applyFont="1" applyFill="1" applyBorder="1" applyAlignment="1" applyProtection="1">
      <alignment horizontal="center"/>
      <protection locked="0"/>
    </xf>
    <xf numFmtId="37" fontId="17" fillId="30" borderId="0" xfId="0" applyFont="1" applyFill="1" applyProtection="1">
      <protection locked="0"/>
    </xf>
    <xf numFmtId="37" fontId="34" fillId="0" borderId="0" xfId="0" quotePrefix="1" applyFont="1" applyAlignment="1">
      <alignment horizontal="left"/>
    </xf>
    <xf numFmtId="37" fontId="9" fillId="0" borderId="0" xfId="0" applyFont="1"/>
    <xf numFmtId="38" fontId="9" fillId="0" borderId="0" xfId="0" applyNumberFormat="1" applyFont="1"/>
    <xf numFmtId="37" fontId="9" fillId="0" borderId="0" xfId="0" quotePrefix="1" applyFont="1" applyAlignment="1">
      <alignment horizontal="left"/>
    </xf>
    <xf numFmtId="37" fontId="8" fillId="0" borderId="0" xfId="0" quotePrefix="1" applyFont="1"/>
    <xf numFmtId="37" fontId="34" fillId="0" borderId="0" xfId="0" applyFont="1"/>
    <xf numFmtId="37" fontId="49" fillId="0" borderId="0" xfId="0" applyFont="1"/>
    <xf numFmtId="0" fontId="50" fillId="0" borderId="0" xfId="631" applyFont="1">
      <alignment vertical="top"/>
      <protection locked="0"/>
    </xf>
    <xf numFmtId="37" fontId="4" fillId="0" borderId="0" xfId="0" quotePrefix="1" applyFont="1" applyAlignment="1">
      <alignment vertical="center" readingOrder="1"/>
    </xf>
    <xf numFmtId="37" fontId="4" fillId="0" borderId="0" xfId="0" applyFont="1" applyAlignment="1">
      <alignment vertical="center" readingOrder="1"/>
    </xf>
    <xf numFmtId="37" fontId="13" fillId="0" borderId="0" xfId="0" quotePrefix="1" applyFont="1"/>
    <xf numFmtId="37" fontId="51" fillId="0" borderId="0" xfId="0" applyFont="1" applyAlignment="1">
      <alignment vertical="center"/>
    </xf>
    <xf numFmtId="37" fontId="52" fillId="0" borderId="0" xfId="0" applyFont="1"/>
    <xf numFmtId="0" fontId="18" fillId="0" borderId="0" xfId="630" applyNumberFormat="1" applyFont="1" applyAlignment="1" applyProtection="1">
      <alignment vertical="top"/>
      <protection locked="0"/>
    </xf>
    <xf numFmtId="37" fontId="18" fillId="0" borderId="0" xfId="630" applyNumberFormat="1" applyFont="1"/>
    <xf numFmtId="37" fontId="34" fillId="31" borderId="34" xfId="0" quotePrefix="1" applyFont="1" applyFill="1" applyBorder="1" applyAlignment="1">
      <alignment horizontal="left"/>
    </xf>
    <xf numFmtId="37" fontId="3" fillId="31" borderId="35" xfId="0" applyFont="1" applyFill="1" applyBorder="1"/>
    <xf numFmtId="38" fontId="3" fillId="31" borderId="35" xfId="0" applyNumberFormat="1" applyFont="1" applyFill="1" applyBorder="1"/>
    <xf numFmtId="37" fontId="3" fillId="31" borderId="36" xfId="0" applyFont="1" applyFill="1" applyBorder="1"/>
    <xf numFmtId="37" fontId="3" fillId="31" borderId="37" xfId="0" quotePrefix="1" applyFont="1" applyFill="1" applyBorder="1" applyAlignment="1">
      <alignment vertical="center" readingOrder="1"/>
    </xf>
    <xf numFmtId="37" fontId="3" fillId="31" borderId="0" xfId="0" quotePrefix="1" applyFont="1" applyFill="1" applyAlignment="1">
      <alignment horizontal="left"/>
    </xf>
    <xf numFmtId="38" fontId="3" fillId="31" borderId="0" xfId="0" applyNumberFormat="1" applyFont="1" applyFill="1"/>
    <xf numFmtId="37" fontId="3" fillId="31" borderId="0" xfId="0" applyFont="1" applyFill="1"/>
    <xf numFmtId="37" fontId="3" fillId="31" borderId="38" xfId="0" applyFont="1" applyFill="1" applyBorder="1"/>
    <xf numFmtId="37" fontId="3" fillId="31" borderId="37" xfId="0" quotePrefix="1" applyFont="1" applyFill="1" applyBorder="1"/>
    <xf numFmtId="37" fontId="3" fillId="31" borderId="37" xfId="0" applyFont="1" applyFill="1" applyBorder="1" applyAlignment="1">
      <alignment vertical="center" readingOrder="1"/>
    </xf>
    <xf numFmtId="37" fontId="3" fillId="31" borderId="39" xfId="0" quotePrefix="1" applyFont="1" applyFill="1" applyBorder="1"/>
    <xf numFmtId="37" fontId="3" fillId="31" borderId="40" xfId="0" applyFont="1" applyFill="1" applyBorder="1"/>
    <xf numFmtId="38" fontId="3" fillId="31" borderId="40" xfId="0" applyNumberFormat="1" applyFont="1" applyFill="1" applyBorder="1"/>
    <xf numFmtId="37" fontId="3" fillId="31" borderId="41" xfId="0" applyFont="1" applyFill="1" applyBorder="1"/>
    <xf numFmtId="37" fontId="17" fillId="31" borderId="0" xfId="0" applyFont="1" applyFill="1"/>
    <xf numFmtId="2" fontId="19" fillId="31" borderId="1" xfId="546" quotePrefix="1" applyNumberFormat="1" applyFont="1" applyFill="1" applyBorder="1" applyProtection="1">
      <protection locked="0"/>
    </xf>
    <xf numFmtId="37" fontId="19" fillId="31" borderId="1" xfId="546" quotePrefix="1" applyNumberFormat="1" applyFont="1" applyFill="1" applyBorder="1" applyProtection="1">
      <protection locked="0"/>
    </xf>
    <xf numFmtId="37" fontId="17" fillId="7" borderId="0" xfId="546" applyNumberFormat="1" applyFont="1" applyFill="1"/>
    <xf numFmtId="37" fontId="19" fillId="31" borderId="1" xfId="546" applyNumberFormat="1" applyFont="1" applyFill="1" applyBorder="1" applyProtection="1">
      <protection locked="0"/>
    </xf>
    <xf numFmtId="2" fontId="19" fillId="31" borderId="1" xfId="546" applyNumberFormat="1" applyFont="1" applyFill="1" applyBorder="1" applyProtection="1">
      <protection locked="0"/>
    </xf>
    <xf numFmtId="2" fontId="17" fillId="31" borderId="0" xfId="0" applyNumberFormat="1" applyFont="1" applyFill="1"/>
    <xf numFmtId="43" fontId="17" fillId="3" borderId="0" xfId="546" applyNumberFormat="1" applyFont="1" applyFill="1"/>
    <xf numFmtId="43" fontId="17" fillId="7" borderId="0" xfId="546" applyNumberFormat="1" applyFont="1" applyFill="1"/>
    <xf numFmtId="37" fontId="17" fillId="3" borderId="0" xfId="546" quotePrefix="1" applyNumberFormat="1" applyFont="1" applyFill="1" applyAlignment="1">
      <alignment horizontal="fill"/>
    </xf>
    <xf numFmtId="49" fontId="19" fillId="4" borderId="1" xfId="0" quotePrefix="1" applyNumberFormat="1" applyFont="1" applyFill="1" applyBorder="1" applyProtection="1">
      <protection locked="0"/>
    </xf>
    <xf numFmtId="38" fontId="19" fillId="4" borderId="14" xfId="0" applyNumberFormat="1" applyFont="1" applyFill="1" applyBorder="1" applyProtection="1">
      <protection locked="0"/>
    </xf>
    <xf numFmtId="170" fontId="55" fillId="0" borderId="0" xfId="977" applyNumberFormat="1" applyFont="1"/>
    <xf numFmtId="49" fontId="55" fillId="0" borderId="0" xfId="977" applyNumberFormat="1" applyFont="1"/>
    <xf numFmtId="49" fontId="35" fillId="0" borderId="0" xfId="977" applyNumberFormat="1"/>
    <xf numFmtId="49" fontId="55" fillId="0" borderId="40" xfId="977" applyNumberFormat="1" applyFont="1" applyBorder="1"/>
    <xf numFmtId="170" fontId="35" fillId="0" borderId="0" xfId="977" applyNumberFormat="1"/>
    <xf numFmtId="43" fontId="11" fillId="0" borderId="0" xfId="547"/>
    <xf numFmtId="37" fontId="17" fillId="0" borderId="0" xfId="0" applyFont="1" applyProtection="1">
      <protection locked="0"/>
    </xf>
    <xf numFmtId="37" fontId="19" fillId="3" borderId="0" xfId="0" applyFont="1" applyFill="1" applyAlignment="1">
      <alignment horizontal="center" vertical="center"/>
    </xf>
    <xf numFmtId="0" fontId="50" fillId="0" borderId="0" xfId="631" applyFont="1" applyAlignment="1">
      <alignment horizontal="left" vertical="top" wrapText="1"/>
      <protection locked="0"/>
    </xf>
    <xf numFmtId="0" fontId="50" fillId="0" borderId="0" xfId="631" applyFont="1" applyAlignment="1">
      <alignment vertical="top" wrapText="1"/>
      <protection locked="0"/>
    </xf>
  </cellXfs>
  <cellStyles count="996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2 2" xfId="991" xr:uid="{FFDFFC34-1875-45AF-9F87-479F9A1DE9C3}"/>
    <cellStyle name="Comma [0] 3" xfId="549" xr:uid="{6011A93F-E0CF-4824-B0C5-A7A128BE1E7D}"/>
    <cellStyle name="Comma [0] 4" xfId="986" xr:uid="{2F5E33DB-3401-4A97-9206-61E78943FA73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16" xfId="978" xr:uid="{E9987155-32DF-471B-A404-64C72F738B18}"/>
    <cellStyle name="Comma 17" xfId="982" xr:uid="{43B687D8-9099-4A0E-BB15-78375CA29DE4}"/>
    <cellStyle name="Comma 18" xfId="985" xr:uid="{C770658C-7685-4C3D-81DE-C4D5BBD94451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2 6" xfId="979" xr:uid="{075E7C68-64A3-4CA7-A2BB-E7805B30C9B1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3 6" xfId="990" xr:uid="{84F0B337-DDB4-46D2-8B70-C7B9812BE21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2 2" xfId="989" xr:uid="{700516A3-5523-4634-B2C3-15C42C4B897D}"/>
    <cellStyle name="Currency [0] 3" xfId="616" xr:uid="{5989D65A-D4F8-43D5-AADC-F598729F73D9}"/>
    <cellStyle name="Currency [0] 4" xfId="984" xr:uid="{90CE8716-1451-46BA-87B5-D10D77C08306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2 6" xfId="988" xr:uid="{6B931FF9-5342-4ACC-91D3-0FEF0F6C335A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Currency 9" xfId="983" xr:uid="{50C354BF-8F7E-4630-8F84-765FB36C2CA5}"/>
    <cellStyle name="Hyperlink" xfId="631" builtinId="8"/>
    <cellStyle name="Hyperlink 2" xfId="632" xr:uid="{72C248C7-D0F7-4568-897B-9508CE00105E}"/>
    <cellStyle name="Hyperlink 2 2" xfId="992" xr:uid="{B137F513-2DBA-4663-8471-E2326CFBEDB4}"/>
    <cellStyle name="Hyperlink 3" xfId="633" xr:uid="{325A48BC-2671-48BA-B978-3356B3928895}"/>
    <cellStyle name="Hyperlink 3 2" xfId="994" xr:uid="{774D5F32-752A-4E39-B55A-0D5A8929EF01}"/>
    <cellStyle name="Hyperlink 4" xfId="634" xr:uid="{4E246F5C-2532-4DE9-AEDB-229C548EC72F}"/>
    <cellStyle name="Hyperlink 5" xfId="987" xr:uid="{BE374B65-5385-4860-B71C-541619743CED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16" xfId="977" xr:uid="{DED301E0-C8F2-430B-88D8-038D88DD7BCF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2 5" xfId="995" xr:uid="{41A06F0B-53DC-42AD-8F6C-912A127BF6FD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11" xfId="981" xr:uid="{08DAEB3B-C8A1-42D6-84FB-61A95E44DDA7}"/>
    <cellStyle name="Normal 3 12" xfId="993" xr:uid="{AB73AA77-21D5-487B-97C6-78F5923F502D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2 6" xfId="980" xr:uid="{62DFE497-F812-4386-A1E4-7430895FB69B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739140</xdr:colOff>
      <xdr:row>1</xdr:row>
      <xdr:rowOff>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doh.information@doh.wa.gov" TargetMode="External"/><Relationship Id="rId9" Type="http://schemas.openxmlformats.org/officeDocument/2006/relationships/customProperty" Target="../customProperty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3"/>
      <c r="BC47" s="273"/>
      <c r="BD47" s="273"/>
      <c r="BE47" s="273"/>
      <c r="BF47" s="273"/>
      <c r="BG47" s="273"/>
      <c r="BH47" s="273"/>
      <c r="BI47" s="273"/>
      <c r="BJ47" s="273"/>
      <c r="BK47" s="273"/>
      <c r="BL47" s="273"/>
      <c r="BM47" s="273"/>
      <c r="BN47" s="273"/>
      <c r="BO47" s="273"/>
      <c r="BP47" s="273"/>
      <c r="BQ47" s="273"/>
      <c r="BR47" s="273"/>
      <c r="BS47" s="273"/>
      <c r="BT47" s="273"/>
      <c r="BU47" s="273"/>
      <c r="BV47" s="273"/>
      <c r="BW47" s="273"/>
      <c r="BX47" s="273"/>
      <c r="BY47" s="273"/>
      <c r="BZ47" s="273"/>
      <c r="CA47" s="273"/>
      <c r="CB47" s="273"/>
      <c r="CC47" s="273"/>
      <c r="CD47" s="16"/>
      <c r="CE47" s="25">
        <f>SUM(C47:CC47)</f>
        <v>0</v>
      </c>
    </row>
    <row r="48" spans="1:83" x14ac:dyDescent="0.25">
      <c r="A48" s="25" t="s">
        <v>231</v>
      </c>
      <c r="B48" s="272">
        <v>3644312</v>
      </c>
      <c r="C48" s="25">
        <f t="shared" ref="C48:AH48" si="0">IF($B$48,(ROUND((($B$48/$CE$61)*C61),0)))</f>
        <v>0</v>
      </c>
      <c r="D48" s="25">
        <f t="shared" si="0"/>
        <v>0</v>
      </c>
      <c r="E48" s="25">
        <f t="shared" si="0"/>
        <v>119287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520777</v>
      </c>
      <c r="L48" s="25">
        <f t="shared" si="0"/>
        <v>325033</v>
      </c>
      <c r="M48" s="25">
        <f t="shared" si="0"/>
        <v>0</v>
      </c>
      <c r="N48" s="25">
        <f t="shared" si="0"/>
        <v>0</v>
      </c>
      <c r="O48" s="25">
        <f t="shared" si="0"/>
        <v>0</v>
      </c>
      <c r="P48" s="25">
        <f t="shared" si="0"/>
        <v>136918</v>
      </c>
      <c r="Q48" s="25">
        <f t="shared" si="0"/>
        <v>999</v>
      </c>
      <c r="R48" s="25">
        <f t="shared" si="0"/>
        <v>11770</v>
      </c>
      <c r="S48" s="25">
        <f t="shared" si="0"/>
        <v>10684</v>
      </c>
      <c r="T48" s="25">
        <f t="shared" si="0"/>
        <v>0</v>
      </c>
      <c r="U48" s="25">
        <f t="shared" si="0"/>
        <v>114677</v>
      </c>
      <c r="V48" s="25">
        <f t="shared" si="0"/>
        <v>0</v>
      </c>
      <c r="W48" s="25">
        <f t="shared" si="0"/>
        <v>7419</v>
      </c>
      <c r="X48" s="25">
        <f t="shared" si="0"/>
        <v>48375</v>
      </c>
      <c r="Y48" s="25">
        <f t="shared" si="0"/>
        <v>117105</v>
      </c>
      <c r="Z48" s="25">
        <f t="shared" si="0"/>
        <v>0</v>
      </c>
      <c r="AA48" s="25">
        <f t="shared" si="0"/>
        <v>0</v>
      </c>
      <c r="AB48" s="25">
        <f t="shared" si="0"/>
        <v>15085</v>
      </c>
      <c r="AC48" s="25">
        <f t="shared" si="0"/>
        <v>28668</v>
      </c>
      <c r="AD48" s="25">
        <f t="shared" si="0"/>
        <v>0</v>
      </c>
      <c r="AE48" s="25">
        <f t="shared" si="0"/>
        <v>230068</v>
      </c>
      <c r="AF48" s="25">
        <f t="shared" si="0"/>
        <v>0</v>
      </c>
      <c r="AG48" s="25">
        <f t="shared" si="0"/>
        <v>280883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254945</v>
      </c>
      <c r="AK48" s="25">
        <f t="shared" si="1"/>
        <v>47306</v>
      </c>
      <c r="AL48" s="25">
        <f t="shared" si="1"/>
        <v>37673</v>
      </c>
      <c r="AM48" s="25">
        <f t="shared" si="1"/>
        <v>0</v>
      </c>
      <c r="AN48" s="25">
        <f t="shared" si="1"/>
        <v>0</v>
      </c>
      <c r="AO48" s="25">
        <f t="shared" si="1"/>
        <v>66011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8663</v>
      </c>
      <c r="AW48" s="25">
        <f t="shared" si="1"/>
        <v>0</v>
      </c>
      <c r="AX48" s="25">
        <f t="shared" si="1"/>
        <v>0</v>
      </c>
      <c r="AY48" s="25">
        <f t="shared" si="1"/>
        <v>161817</v>
      </c>
      <c r="AZ48" s="25">
        <f t="shared" si="1"/>
        <v>26002</v>
      </c>
      <c r="BA48" s="25">
        <f t="shared" si="1"/>
        <v>79780</v>
      </c>
      <c r="BB48" s="25">
        <f t="shared" si="1"/>
        <v>19151</v>
      </c>
      <c r="BC48" s="25">
        <f t="shared" si="1"/>
        <v>0</v>
      </c>
      <c r="BD48" s="25">
        <f t="shared" si="1"/>
        <v>11478</v>
      </c>
      <c r="BE48" s="25">
        <f t="shared" si="1"/>
        <v>85072</v>
      </c>
      <c r="BF48" s="25">
        <f t="shared" si="1"/>
        <v>90256</v>
      </c>
      <c r="BG48" s="25">
        <f t="shared" si="1"/>
        <v>0</v>
      </c>
      <c r="BH48" s="25">
        <f t="shared" si="1"/>
        <v>48044</v>
      </c>
      <c r="BI48" s="25">
        <f t="shared" si="1"/>
        <v>0</v>
      </c>
      <c r="BJ48" s="25">
        <f t="shared" si="1"/>
        <v>114885</v>
      </c>
      <c r="BK48" s="25">
        <f t="shared" si="1"/>
        <v>120965</v>
      </c>
      <c r="BL48" s="25">
        <f t="shared" si="1"/>
        <v>106074</v>
      </c>
      <c r="BM48" s="25">
        <f t="shared" si="1"/>
        <v>0</v>
      </c>
      <c r="BN48" s="25">
        <f t="shared" si="1"/>
        <v>122850</v>
      </c>
      <c r="BO48" s="25">
        <f t="shared" ref="BO48:CD48" si="2">IF($B$48,(ROUND((($B$48/$CE$61)*BO61),0)))</f>
        <v>0</v>
      </c>
      <c r="BP48" s="25">
        <f t="shared" si="2"/>
        <v>0</v>
      </c>
      <c r="BQ48" s="25">
        <f t="shared" si="2"/>
        <v>0</v>
      </c>
      <c r="BR48" s="25">
        <f t="shared" si="2"/>
        <v>63842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132783</v>
      </c>
      <c r="BW48" s="25">
        <f t="shared" si="2"/>
        <v>0</v>
      </c>
      <c r="BX48" s="25">
        <f t="shared" si="2"/>
        <v>0</v>
      </c>
      <c r="BY48" s="25">
        <f t="shared" si="2"/>
        <v>78965</v>
      </c>
      <c r="BZ48" s="25">
        <f t="shared" si="2"/>
        <v>0</v>
      </c>
      <c r="CA48" s="25">
        <f t="shared" si="2"/>
        <v>0</v>
      </c>
      <c r="CB48" s="25">
        <f t="shared" si="2"/>
        <v>0</v>
      </c>
      <c r="CC48" s="25">
        <f t="shared" si="2"/>
        <v>0</v>
      </c>
      <c r="CD48" s="25">
        <f t="shared" si="2"/>
        <v>0</v>
      </c>
      <c r="CE48" s="25">
        <f>SUM(C48:CD48)</f>
        <v>3644310</v>
      </c>
    </row>
    <row r="49" spans="1:83" x14ac:dyDescent="0.25">
      <c r="A49" s="16" t="s">
        <v>232</v>
      </c>
      <c r="B49" s="25">
        <f>B47+B48</f>
        <v>3644312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/>
      <c r="BA51" s="273"/>
      <c r="BB51" s="273"/>
      <c r="BC51" s="273"/>
      <c r="BD51" s="273"/>
      <c r="BE51" s="273"/>
      <c r="BF51" s="273"/>
      <c r="BG51" s="273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/>
      <c r="CB51" s="273"/>
      <c r="CC51" s="273"/>
      <c r="CD51" s="16"/>
      <c r="CE51" s="25">
        <f>SUM(C51:CD51)</f>
        <v>0</v>
      </c>
    </row>
    <row r="52" spans="1:83" x14ac:dyDescent="0.25">
      <c r="A52" s="31" t="s">
        <v>234</v>
      </c>
      <c r="B52" s="272">
        <v>1553195</v>
      </c>
      <c r="C52" s="25">
        <f t="shared" ref="C52:AH52" si="3">IF($B$52,ROUND(($B$52/($CE$90+$CF$90)*C90),0))</f>
        <v>0</v>
      </c>
      <c r="D52" s="25">
        <f t="shared" si="3"/>
        <v>0</v>
      </c>
      <c r="E52" s="25">
        <f t="shared" si="3"/>
        <v>30067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276251</v>
      </c>
      <c r="L52" s="25">
        <f t="shared" si="3"/>
        <v>81920</v>
      </c>
      <c r="M52" s="25">
        <f t="shared" si="3"/>
        <v>0</v>
      </c>
      <c r="N52" s="25">
        <f t="shared" si="3"/>
        <v>0</v>
      </c>
      <c r="O52" s="25">
        <f t="shared" si="3"/>
        <v>0</v>
      </c>
      <c r="P52" s="25">
        <f t="shared" si="3"/>
        <v>47150</v>
      </c>
      <c r="Q52" s="25">
        <f t="shared" si="3"/>
        <v>11677</v>
      </c>
      <c r="R52" s="25">
        <f t="shared" si="3"/>
        <v>9668</v>
      </c>
      <c r="S52" s="25">
        <f t="shared" si="3"/>
        <v>12804</v>
      </c>
      <c r="T52" s="25">
        <f t="shared" si="3"/>
        <v>0</v>
      </c>
      <c r="U52" s="25">
        <f t="shared" si="3"/>
        <v>35015</v>
      </c>
      <c r="V52" s="25">
        <f t="shared" si="3"/>
        <v>0</v>
      </c>
      <c r="W52" s="25">
        <f t="shared" si="3"/>
        <v>2531</v>
      </c>
      <c r="X52" s="25">
        <f t="shared" si="3"/>
        <v>16544</v>
      </c>
      <c r="Y52" s="25">
        <f t="shared" si="3"/>
        <v>40029</v>
      </c>
      <c r="Z52" s="25">
        <f t="shared" si="3"/>
        <v>0</v>
      </c>
      <c r="AA52" s="25">
        <f t="shared" si="3"/>
        <v>0</v>
      </c>
      <c r="AB52" s="25">
        <f t="shared" si="3"/>
        <v>15384</v>
      </c>
      <c r="AC52" s="25">
        <f t="shared" si="3"/>
        <v>2809</v>
      </c>
      <c r="AD52" s="25">
        <f t="shared" si="3"/>
        <v>0</v>
      </c>
      <c r="AE52" s="25">
        <f t="shared" si="3"/>
        <v>138313</v>
      </c>
      <c r="AF52" s="25">
        <f t="shared" si="3"/>
        <v>0</v>
      </c>
      <c r="AG52" s="25">
        <f t="shared" si="3"/>
        <v>155086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110745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16642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14601</v>
      </c>
      <c r="AW52" s="25">
        <f t="shared" si="4"/>
        <v>0</v>
      </c>
      <c r="AX52" s="25">
        <f t="shared" si="4"/>
        <v>0</v>
      </c>
      <c r="AY52" s="25">
        <f t="shared" si="4"/>
        <v>61064</v>
      </c>
      <c r="AZ52" s="25">
        <f t="shared" si="4"/>
        <v>0</v>
      </c>
      <c r="BA52" s="25">
        <f t="shared" si="4"/>
        <v>33856</v>
      </c>
      <c r="BB52" s="25">
        <f t="shared" si="4"/>
        <v>0</v>
      </c>
      <c r="BC52" s="25">
        <f t="shared" si="4"/>
        <v>0</v>
      </c>
      <c r="BD52" s="25">
        <f t="shared" si="4"/>
        <v>0</v>
      </c>
      <c r="BE52" s="25">
        <f t="shared" si="4"/>
        <v>153387</v>
      </c>
      <c r="BF52" s="25">
        <f t="shared" si="4"/>
        <v>24432</v>
      </c>
      <c r="BG52" s="25">
        <f t="shared" si="4"/>
        <v>11400</v>
      </c>
      <c r="BH52" s="25">
        <f t="shared" si="4"/>
        <v>24596</v>
      </c>
      <c r="BI52" s="25">
        <f t="shared" si="4"/>
        <v>0</v>
      </c>
      <c r="BJ52" s="25">
        <f t="shared" si="4"/>
        <v>55969</v>
      </c>
      <c r="BK52" s="25">
        <f t="shared" si="4"/>
        <v>0</v>
      </c>
      <c r="BL52" s="25">
        <f t="shared" si="4"/>
        <v>37204</v>
      </c>
      <c r="BM52" s="25">
        <f t="shared" si="4"/>
        <v>0</v>
      </c>
      <c r="BN52" s="25">
        <f t="shared" si="4"/>
        <v>49991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51265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21199</v>
      </c>
      <c r="BW52" s="25">
        <f t="shared" si="5"/>
        <v>0</v>
      </c>
      <c r="BX52" s="25">
        <f t="shared" si="5"/>
        <v>0</v>
      </c>
      <c r="BY52" s="25">
        <f t="shared" si="5"/>
        <v>11596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1553195</v>
      </c>
    </row>
    <row r="53" spans="1:83" x14ac:dyDescent="0.25">
      <c r="A53" s="16" t="s">
        <v>232</v>
      </c>
      <c r="B53" s="25">
        <f>B51+B52</f>
        <v>1553195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/>
      <c r="D59" s="273"/>
      <c r="E59" s="273">
        <v>665</v>
      </c>
      <c r="F59" s="273"/>
      <c r="G59" s="273"/>
      <c r="H59" s="273"/>
      <c r="I59" s="273"/>
      <c r="J59" s="273"/>
      <c r="K59" s="273">
        <v>13849</v>
      </c>
      <c r="L59" s="273">
        <v>1812</v>
      </c>
      <c r="M59" s="273"/>
      <c r="N59" s="273"/>
      <c r="O59" s="273"/>
      <c r="P59" s="274">
        <v>6483</v>
      </c>
      <c r="Q59" s="275">
        <v>329</v>
      </c>
      <c r="R59" s="275">
        <v>545</v>
      </c>
      <c r="S59" s="263">
        <v>0</v>
      </c>
      <c r="T59" s="263">
        <v>0</v>
      </c>
      <c r="U59" s="276">
        <v>42279</v>
      </c>
      <c r="V59" s="275">
        <v>2886</v>
      </c>
      <c r="W59" s="275">
        <v>421</v>
      </c>
      <c r="X59" s="275">
        <v>2745</v>
      </c>
      <c r="Y59" s="275">
        <v>6645</v>
      </c>
      <c r="Z59" s="275"/>
      <c r="AA59" s="275"/>
      <c r="AB59" s="263">
        <v>0</v>
      </c>
      <c r="AC59" s="275">
        <v>1656</v>
      </c>
      <c r="AD59" s="275"/>
      <c r="AE59" s="275">
        <v>20189</v>
      </c>
      <c r="AF59" s="347"/>
      <c r="AG59" s="275">
        <v>5522</v>
      </c>
      <c r="AH59" s="275"/>
      <c r="AI59" s="275"/>
      <c r="AJ59" s="275">
        <v>3911</v>
      </c>
      <c r="AK59" s="275">
        <v>6282</v>
      </c>
      <c r="AL59" s="275">
        <v>1702</v>
      </c>
      <c r="AM59" s="275"/>
      <c r="AN59" s="275"/>
      <c r="AO59" s="275">
        <v>9204</v>
      </c>
      <c r="AP59" s="275"/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>
        <v>49809</v>
      </c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95103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/>
      <c r="D60" s="277"/>
      <c r="E60" s="277">
        <v>4.62</v>
      </c>
      <c r="F60" s="277"/>
      <c r="G60" s="277"/>
      <c r="H60" s="277"/>
      <c r="I60" s="277"/>
      <c r="J60" s="277"/>
      <c r="K60" s="277">
        <v>32.08</v>
      </c>
      <c r="L60" s="277">
        <v>12.59</v>
      </c>
      <c r="M60" s="277"/>
      <c r="N60" s="277"/>
      <c r="O60" s="277"/>
      <c r="P60" s="274">
        <v>2.79</v>
      </c>
      <c r="Q60" s="274">
        <v>0.03</v>
      </c>
      <c r="R60" s="274">
        <v>0.12</v>
      </c>
      <c r="S60" s="278">
        <v>0.91</v>
      </c>
      <c r="T60" s="278"/>
      <c r="U60" s="279">
        <v>6.95</v>
      </c>
      <c r="V60" s="274"/>
      <c r="W60" s="274">
        <v>0.25</v>
      </c>
      <c r="X60" s="274">
        <v>1.62</v>
      </c>
      <c r="Y60" s="274">
        <v>3.91</v>
      </c>
      <c r="Z60" s="274"/>
      <c r="AA60" s="274"/>
      <c r="AB60" s="278">
        <v>0.84</v>
      </c>
      <c r="AC60" s="274">
        <v>0.93</v>
      </c>
      <c r="AD60" s="274"/>
      <c r="AE60" s="274">
        <v>11.71</v>
      </c>
      <c r="AF60" s="275"/>
      <c r="AG60" s="274">
        <v>12.23</v>
      </c>
      <c r="AH60" s="274"/>
      <c r="AI60" s="274"/>
      <c r="AJ60" s="274">
        <v>11.48</v>
      </c>
      <c r="AK60" s="274">
        <v>1.73</v>
      </c>
      <c r="AL60" s="274">
        <v>1.38</v>
      </c>
      <c r="AM60" s="274"/>
      <c r="AN60" s="274"/>
      <c r="AO60" s="274">
        <v>2.56</v>
      </c>
      <c r="AP60" s="274"/>
      <c r="AQ60" s="274"/>
      <c r="AR60" s="274"/>
      <c r="AS60" s="274"/>
      <c r="AT60" s="274"/>
      <c r="AU60" s="274"/>
      <c r="AV60" s="278">
        <v>0.34</v>
      </c>
      <c r="AW60" s="278"/>
      <c r="AX60" s="278"/>
      <c r="AY60" s="274">
        <v>12.58</v>
      </c>
      <c r="AZ60" s="274">
        <v>2.4900000000000002</v>
      </c>
      <c r="BA60" s="278">
        <v>6.15</v>
      </c>
      <c r="BB60" s="278">
        <v>0.82</v>
      </c>
      <c r="BC60" s="278"/>
      <c r="BD60" s="278">
        <v>0.85</v>
      </c>
      <c r="BE60" s="274">
        <v>4.99</v>
      </c>
      <c r="BF60" s="278">
        <v>6.58</v>
      </c>
      <c r="BG60" s="278"/>
      <c r="BH60" s="278">
        <v>1.79</v>
      </c>
      <c r="BI60" s="278"/>
      <c r="BJ60" s="278">
        <v>5.32</v>
      </c>
      <c r="BK60" s="278">
        <v>8.33</v>
      </c>
      <c r="BL60" s="278">
        <v>8.89</v>
      </c>
      <c r="BM60" s="278"/>
      <c r="BN60" s="278">
        <v>1.82</v>
      </c>
      <c r="BO60" s="278"/>
      <c r="BP60" s="278"/>
      <c r="BQ60" s="278"/>
      <c r="BR60" s="278">
        <v>2.54</v>
      </c>
      <c r="BS60" s="278"/>
      <c r="BT60" s="278"/>
      <c r="BU60" s="278"/>
      <c r="BV60" s="278">
        <v>10.37</v>
      </c>
      <c r="BW60" s="278"/>
      <c r="BX60" s="278"/>
      <c r="BY60" s="278">
        <v>2.0699999999999998</v>
      </c>
      <c r="BZ60" s="278"/>
      <c r="CA60" s="278"/>
      <c r="CB60" s="278"/>
      <c r="CC60" s="278"/>
      <c r="CD60" s="209" t="s">
        <v>247</v>
      </c>
      <c r="CE60" s="227">
        <f t="shared" ref="CE60:CE68" si="6">SUM(C60:CD60)</f>
        <v>184.66</v>
      </c>
    </row>
    <row r="61" spans="1:83" x14ac:dyDescent="0.25">
      <c r="A61" s="31" t="s">
        <v>262</v>
      </c>
      <c r="B61" s="16"/>
      <c r="C61" s="273"/>
      <c r="D61" s="273"/>
      <c r="E61" s="273">
        <v>532913</v>
      </c>
      <c r="F61" s="273"/>
      <c r="G61" s="273"/>
      <c r="H61" s="273"/>
      <c r="I61" s="273"/>
      <c r="J61" s="273"/>
      <c r="K61" s="273">
        <v>2326573</v>
      </c>
      <c r="L61" s="273">
        <v>1452088</v>
      </c>
      <c r="M61" s="273"/>
      <c r="N61" s="273"/>
      <c r="O61" s="273"/>
      <c r="P61" s="275">
        <v>611680</v>
      </c>
      <c r="Q61" s="275">
        <v>4463</v>
      </c>
      <c r="R61" s="275">
        <v>52583</v>
      </c>
      <c r="S61" s="280">
        <v>47732</v>
      </c>
      <c r="T61" s="280"/>
      <c r="U61" s="276">
        <v>512322</v>
      </c>
      <c r="V61" s="275"/>
      <c r="W61" s="275">
        <v>33146</v>
      </c>
      <c r="X61" s="275">
        <v>216117</v>
      </c>
      <c r="Y61" s="275">
        <v>523168</v>
      </c>
      <c r="Z61" s="275"/>
      <c r="AA61" s="275"/>
      <c r="AB61" s="281">
        <v>67391</v>
      </c>
      <c r="AC61" s="275">
        <v>128074</v>
      </c>
      <c r="AD61" s="275"/>
      <c r="AE61" s="275">
        <v>1027829</v>
      </c>
      <c r="AF61" s="275"/>
      <c r="AG61" s="275">
        <v>1254846</v>
      </c>
      <c r="AH61" s="275"/>
      <c r="AI61" s="275"/>
      <c r="AJ61" s="275">
        <v>1138968</v>
      </c>
      <c r="AK61" s="275">
        <v>211338</v>
      </c>
      <c r="AL61" s="275">
        <v>168302</v>
      </c>
      <c r="AM61" s="275"/>
      <c r="AN61" s="275"/>
      <c r="AO61" s="275">
        <v>294906</v>
      </c>
      <c r="AP61" s="275"/>
      <c r="AQ61" s="275"/>
      <c r="AR61" s="275"/>
      <c r="AS61" s="275"/>
      <c r="AT61" s="275"/>
      <c r="AU61" s="275"/>
      <c r="AV61" s="280">
        <v>38702</v>
      </c>
      <c r="AW61" s="280"/>
      <c r="AX61" s="280"/>
      <c r="AY61" s="275">
        <v>722919</v>
      </c>
      <c r="AZ61" s="275">
        <v>116164</v>
      </c>
      <c r="BA61" s="280">
        <v>356416</v>
      </c>
      <c r="BB61" s="280">
        <v>85559</v>
      </c>
      <c r="BC61" s="280"/>
      <c r="BD61" s="280">
        <v>51277</v>
      </c>
      <c r="BE61" s="275">
        <v>380060</v>
      </c>
      <c r="BF61" s="280">
        <v>403219</v>
      </c>
      <c r="BG61" s="280"/>
      <c r="BH61" s="280">
        <v>214638</v>
      </c>
      <c r="BI61" s="280"/>
      <c r="BJ61" s="280">
        <v>513250</v>
      </c>
      <c r="BK61" s="280">
        <v>540411</v>
      </c>
      <c r="BL61" s="280">
        <v>473885</v>
      </c>
      <c r="BM61" s="280"/>
      <c r="BN61" s="280">
        <v>548834</v>
      </c>
      <c r="BO61" s="280"/>
      <c r="BP61" s="280"/>
      <c r="BQ61" s="280"/>
      <c r="BR61" s="280">
        <v>285214</v>
      </c>
      <c r="BS61" s="280"/>
      <c r="BT61" s="280"/>
      <c r="BU61" s="280"/>
      <c r="BV61" s="280">
        <v>593210</v>
      </c>
      <c r="BW61" s="280"/>
      <c r="BX61" s="280"/>
      <c r="BY61" s="280">
        <v>352777</v>
      </c>
      <c r="BZ61" s="280"/>
      <c r="CA61" s="280"/>
      <c r="CB61" s="280"/>
      <c r="CC61" s="280"/>
      <c r="CD61" s="24" t="s">
        <v>247</v>
      </c>
      <c r="CE61" s="25">
        <f t="shared" si="6"/>
        <v>16280974</v>
      </c>
    </row>
    <row r="62" spans="1:83" x14ac:dyDescent="0.25">
      <c r="A62" s="31" t="s">
        <v>10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119287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520777</v>
      </c>
      <c r="L62" s="25">
        <f t="shared" si="7"/>
        <v>325033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136918</v>
      </c>
      <c r="Q62" s="25">
        <f t="shared" si="7"/>
        <v>999</v>
      </c>
      <c r="R62" s="25">
        <f t="shared" si="7"/>
        <v>11770</v>
      </c>
      <c r="S62" s="25">
        <f t="shared" si="7"/>
        <v>10684</v>
      </c>
      <c r="T62" s="25">
        <f t="shared" si="7"/>
        <v>0</v>
      </c>
      <c r="U62" s="25">
        <f t="shared" si="7"/>
        <v>114677</v>
      </c>
      <c r="V62" s="25">
        <f t="shared" si="7"/>
        <v>0</v>
      </c>
      <c r="W62" s="25">
        <f t="shared" si="7"/>
        <v>7419</v>
      </c>
      <c r="X62" s="25">
        <f t="shared" si="7"/>
        <v>48375</v>
      </c>
      <c r="Y62" s="25">
        <f t="shared" si="7"/>
        <v>117105</v>
      </c>
      <c r="Z62" s="25">
        <f t="shared" si="7"/>
        <v>0</v>
      </c>
      <c r="AA62" s="25">
        <f t="shared" si="7"/>
        <v>0</v>
      </c>
      <c r="AB62" s="25">
        <f t="shared" si="7"/>
        <v>15085</v>
      </c>
      <c r="AC62" s="25">
        <f t="shared" si="7"/>
        <v>28668</v>
      </c>
      <c r="AD62" s="25">
        <f t="shared" si="7"/>
        <v>0</v>
      </c>
      <c r="AE62" s="25">
        <f t="shared" si="7"/>
        <v>230068</v>
      </c>
      <c r="AF62" s="25">
        <f t="shared" si="7"/>
        <v>0</v>
      </c>
      <c r="AG62" s="25">
        <f t="shared" si="7"/>
        <v>280883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254945</v>
      </c>
      <c r="AK62" s="25">
        <f t="shared" si="8"/>
        <v>47306</v>
      </c>
      <c r="AL62" s="25">
        <f t="shared" si="8"/>
        <v>37673</v>
      </c>
      <c r="AM62" s="25">
        <f t="shared" si="8"/>
        <v>0</v>
      </c>
      <c r="AN62" s="25">
        <f t="shared" si="8"/>
        <v>0</v>
      </c>
      <c r="AO62" s="25">
        <f t="shared" si="8"/>
        <v>66011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8663</v>
      </c>
      <c r="AW62" s="25">
        <f t="shared" si="8"/>
        <v>0</v>
      </c>
      <c r="AX62" s="25">
        <f t="shared" si="8"/>
        <v>0</v>
      </c>
      <c r="AY62" s="25">
        <f t="shared" si="8"/>
        <v>161817</v>
      </c>
      <c r="AZ62" s="25">
        <f t="shared" si="8"/>
        <v>26002</v>
      </c>
      <c r="BA62" s="25">
        <f t="shared" si="8"/>
        <v>79780</v>
      </c>
      <c r="BB62" s="25">
        <f t="shared" si="8"/>
        <v>19151</v>
      </c>
      <c r="BC62" s="25">
        <f t="shared" si="8"/>
        <v>0</v>
      </c>
      <c r="BD62" s="25">
        <f t="shared" si="8"/>
        <v>11478</v>
      </c>
      <c r="BE62" s="25">
        <f t="shared" si="8"/>
        <v>85072</v>
      </c>
      <c r="BF62" s="25">
        <f t="shared" si="8"/>
        <v>90256</v>
      </c>
      <c r="BG62" s="25">
        <f t="shared" si="8"/>
        <v>0</v>
      </c>
      <c r="BH62" s="25">
        <f t="shared" si="8"/>
        <v>48044</v>
      </c>
      <c r="BI62" s="25">
        <f t="shared" si="8"/>
        <v>0</v>
      </c>
      <c r="BJ62" s="25">
        <f t="shared" si="8"/>
        <v>114885</v>
      </c>
      <c r="BK62" s="25">
        <f t="shared" si="8"/>
        <v>120965</v>
      </c>
      <c r="BL62" s="25">
        <f t="shared" si="8"/>
        <v>106074</v>
      </c>
      <c r="BM62" s="25">
        <f t="shared" si="8"/>
        <v>0</v>
      </c>
      <c r="BN62" s="25">
        <f t="shared" si="8"/>
        <v>122850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63842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132783</v>
      </c>
      <c r="BW62" s="25">
        <f t="shared" si="9"/>
        <v>0</v>
      </c>
      <c r="BX62" s="25">
        <f t="shared" si="9"/>
        <v>0</v>
      </c>
      <c r="BY62" s="25">
        <f t="shared" si="9"/>
        <v>78965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0</v>
      </c>
      <c r="CD62" s="24" t="s">
        <v>247</v>
      </c>
      <c r="CE62" s="25">
        <f t="shared" si="6"/>
        <v>3644310</v>
      </c>
    </row>
    <row r="63" spans="1:83" x14ac:dyDescent="0.25">
      <c r="A63" s="31" t="s">
        <v>263</v>
      </c>
      <c r="B63" s="16"/>
      <c r="C63" s="273"/>
      <c r="D63" s="273"/>
      <c r="E63" s="273"/>
      <c r="F63" s="273"/>
      <c r="G63" s="273"/>
      <c r="H63" s="273"/>
      <c r="I63" s="273"/>
      <c r="J63" s="273"/>
      <c r="K63" s="273">
        <v>75246</v>
      </c>
      <c r="L63" s="273"/>
      <c r="M63" s="273"/>
      <c r="N63" s="273"/>
      <c r="O63" s="273"/>
      <c r="P63" s="275"/>
      <c r="Q63" s="275"/>
      <c r="R63" s="275"/>
      <c r="S63" s="280"/>
      <c r="T63" s="280"/>
      <c r="U63" s="276">
        <v>597</v>
      </c>
      <c r="V63" s="275"/>
      <c r="W63" s="275">
        <v>30</v>
      </c>
      <c r="X63" s="275">
        <v>196</v>
      </c>
      <c r="Y63" s="275">
        <v>474</v>
      </c>
      <c r="Z63" s="275"/>
      <c r="AA63" s="275"/>
      <c r="AB63" s="281"/>
      <c r="AC63" s="275"/>
      <c r="AD63" s="275"/>
      <c r="AE63" s="275"/>
      <c r="AF63" s="275"/>
      <c r="AG63" s="275">
        <v>39275</v>
      </c>
      <c r="AH63" s="275"/>
      <c r="AI63" s="275"/>
      <c r="AJ63" s="275"/>
      <c r="AK63" s="275"/>
      <c r="AL63" s="275"/>
      <c r="AM63" s="275"/>
      <c r="AN63" s="275"/>
      <c r="AO63" s="275"/>
      <c r="AP63" s="275"/>
      <c r="AQ63" s="275"/>
      <c r="AR63" s="275"/>
      <c r="AS63" s="275"/>
      <c r="AT63" s="275"/>
      <c r="AU63" s="275"/>
      <c r="AV63" s="280"/>
      <c r="AW63" s="280"/>
      <c r="AX63" s="280"/>
      <c r="AY63" s="275"/>
      <c r="AZ63" s="275"/>
      <c r="BA63" s="280"/>
      <c r="BB63" s="280"/>
      <c r="BC63" s="280"/>
      <c r="BD63" s="280"/>
      <c r="BE63" s="275"/>
      <c r="BF63" s="280"/>
      <c r="BG63" s="280"/>
      <c r="BH63" s="280">
        <v>143412</v>
      </c>
      <c r="BI63" s="280"/>
      <c r="BJ63" s="280">
        <v>117201</v>
      </c>
      <c r="BK63" s="280"/>
      <c r="BL63" s="280"/>
      <c r="BM63" s="280"/>
      <c r="BN63" s="280">
        <v>38496</v>
      </c>
      <c r="BO63" s="280"/>
      <c r="BP63" s="280"/>
      <c r="BQ63" s="280"/>
      <c r="BR63" s="280">
        <v>2227</v>
      </c>
      <c r="BS63" s="280"/>
      <c r="BT63" s="280"/>
      <c r="BU63" s="280"/>
      <c r="BV63" s="280">
        <v>77091</v>
      </c>
      <c r="BW63" s="280"/>
      <c r="BX63" s="280"/>
      <c r="BY63" s="280"/>
      <c r="BZ63" s="280"/>
      <c r="CA63" s="280"/>
      <c r="CB63" s="280"/>
      <c r="CC63" s="280"/>
      <c r="CD63" s="24" t="s">
        <v>247</v>
      </c>
      <c r="CE63" s="25">
        <f t="shared" si="6"/>
        <v>494245</v>
      </c>
    </row>
    <row r="64" spans="1:83" x14ac:dyDescent="0.25">
      <c r="A64" s="31" t="s">
        <v>264</v>
      </c>
      <c r="B64" s="16"/>
      <c r="C64" s="273"/>
      <c r="D64" s="273"/>
      <c r="E64" s="273">
        <v>10857</v>
      </c>
      <c r="F64" s="273"/>
      <c r="G64" s="273"/>
      <c r="H64" s="273"/>
      <c r="I64" s="273"/>
      <c r="J64" s="273"/>
      <c r="K64" s="273">
        <v>159124</v>
      </c>
      <c r="L64" s="273">
        <v>29584</v>
      </c>
      <c r="M64" s="273"/>
      <c r="N64" s="273"/>
      <c r="O64" s="273"/>
      <c r="P64" s="275">
        <v>31392</v>
      </c>
      <c r="Q64" s="275"/>
      <c r="R64" s="275">
        <v>826</v>
      </c>
      <c r="S64" s="280"/>
      <c r="T64" s="280"/>
      <c r="U64" s="276">
        <v>605507</v>
      </c>
      <c r="V64" s="275"/>
      <c r="W64" s="275">
        <v>673</v>
      </c>
      <c r="X64" s="275">
        <v>4387</v>
      </c>
      <c r="Y64" s="275">
        <v>10619</v>
      </c>
      <c r="Z64" s="275"/>
      <c r="AA64" s="275"/>
      <c r="AB64" s="281">
        <v>1359273</v>
      </c>
      <c r="AC64" s="275">
        <v>1840</v>
      </c>
      <c r="AD64" s="275"/>
      <c r="AE64" s="275">
        <v>47419</v>
      </c>
      <c r="AF64" s="275"/>
      <c r="AG64" s="275">
        <v>54629</v>
      </c>
      <c r="AH64" s="275"/>
      <c r="AI64" s="275"/>
      <c r="AJ64" s="275">
        <v>45335</v>
      </c>
      <c r="AK64" s="275">
        <v>2710</v>
      </c>
      <c r="AL64" s="275">
        <v>1090</v>
      </c>
      <c r="AM64" s="275"/>
      <c r="AN64" s="275"/>
      <c r="AO64" s="275">
        <v>6009</v>
      </c>
      <c r="AP64" s="275"/>
      <c r="AQ64" s="275"/>
      <c r="AR64" s="275"/>
      <c r="AS64" s="275"/>
      <c r="AT64" s="275"/>
      <c r="AU64" s="275"/>
      <c r="AV64" s="280">
        <v>9005</v>
      </c>
      <c r="AW64" s="280"/>
      <c r="AX64" s="280"/>
      <c r="AY64" s="275">
        <v>403412</v>
      </c>
      <c r="AZ64" s="275">
        <v>83932</v>
      </c>
      <c r="BA64" s="280">
        <v>19519</v>
      </c>
      <c r="BB64" s="280"/>
      <c r="BC64" s="280"/>
      <c r="BD64" s="280">
        <v>237535</v>
      </c>
      <c r="BE64" s="275">
        <v>18848</v>
      </c>
      <c r="BF64" s="280">
        <v>74488</v>
      </c>
      <c r="BG64" s="280">
        <v>2243</v>
      </c>
      <c r="BH64" s="280">
        <v>21154</v>
      </c>
      <c r="BI64" s="280"/>
      <c r="BJ64" s="280">
        <v>2884</v>
      </c>
      <c r="BK64" s="280">
        <v>13621</v>
      </c>
      <c r="BL64" s="280">
        <v>5321</v>
      </c>
      <c r="BM64" s="280"/>
      <c r="BN64" s="280">
        <v>-1833</v>
      </c>
      <c r="BO64" s="280"/>
      <c r="BP64" s="280"/>
      <c r="BQ64" s="280"/>
      <c r="BR64" s="280">
        <v>27670</v>
      </c>
      <c r="BS64" s="280"/>
      <c r="BT64" s="280"/>
      <c r="BU64" s="280"/>
      <c r="BV64" s="280">
        <v>1329</v>
      </c>
      <c r="BW64" s="280"/>
      <c r="BX64" s="280"/>
      <c r="BY64" s="280">
        <v>2975</v>
      </c>
      <c r="BZ64" s="280"/>
      <c r="CA64" s="280"/>
      <c r="CB64" s="280"/>
      <c r="CC64" s="280"/>
      <c r="CD64" s="24" t="s">
        <v>247</v>
      </c>
      <c r="CE64" s="25">
        <f t="shared" si="6"/>
        <v>3293377</v>
      </c>
    </row>
    <row r="65" spans="1:83" x14ac:dyDescent="0.25">
      <c r="A65" s="31" t="s">
        <v>265</v>
      </c>
      <c r="B65" s="16"/>
      <c r="C65" s="273"/>
      <c r="D65" s="273"/>
      <c r="E65" s="273"/>
      <c r="F65" s="273"/>
      <c r="G65" s="273"/>
      <c r="H65" s="273"/>
      <c r="I65" s="273"/>
      <c r="J65" s="273"/>
      <c r="K65" s="273">
        <v>32255</v>
      </c>
      <c r="L65" s="273"/>
      <c r="M65" s="273"/>
      <c r="N65" s="273"/>
      <c r="O65" s="273"/>
      <c r="P65" s="275"/>
      <c r="Q65" s="275"/>
      <c r="R65" s="275"/>
      <c r="S65" s="280"/>
      <c r="T65" s="280"/>
      <c r="U65" s="276"/>
      <c r="V65" s="275"/>
      <c r="W65" s="275"/>
      <c r="X65" s="275"/>
      <c r="Y65" s="275"/>
      <c r="Z65" s="275"/>
      <c r="AA65" s="275"/>
      <c r="AB65" s="281"/>
      <c r="AC65" s="275"/>
      <c r="AD65" s="275"/>
      <c r="AE65" s="275">
        <v>2039</v>
      </c>
      <c r="AF65" s="275"/>
      <c r="AG65" s="275"/>
      <c r="AH65" s="275"/>
      <c r="AI65" s="275"/>
      <c r="AJ65" s="275"/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80"/>
      <c r="AW65" s="280"/>
      <c r="AX65" s="280"/>
      <c r="AY65" s="275">
        <v>9600</v>
      </c>
      <c r="AZ65" s="275"/>
      <c r="BA65" s="280">
        <v>31560</v>
      </c>
      <c r="BB65" s="280"/>
      <c r="BC65" s="280"/>
      <c r="BD65" s="280"/>
      <c r="BE65" s="275">
        <v>293236</v>
      </c>
      <c r="BF65" s="280"/>
      <c r="BG65" s="280">
        <v>33210</v>
      </c>
      <c r="BH65" s="280"/>
      <c r="BI65" s="280"/>
      <c r="BJ65" s="280"/>
      <c r="BK65" s="280"/>
      <c r="BL65" s="280"/>
      <c r="BM65" s="280"/>
      <c r="BN65" s="280">
        <v>4262</v>
      </c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4" t="s">
        <v>247</v>
      </c>
      <c r="CE65" s="25">
        <f t="shared" si="6"/>
        <v>406162</v>
      </c>
    </row>
    <row r="66" spans="1:83" x14ac:dyDescent="0.25">
      <c r="A66" s="31" t="s">
        <v>266</v>
      </c>
      <c r="B66" s="16"/>
      <c r="C66" s="273"/>
      <c r="D66" s="273"/>
      <c r="E66" s="273">
        <v>366695</v>
      </c>
      <c r="F66" s="273"/>
      <c r="G66" s="273"/>
      <c r="H66" s="273"/>
      <c r="I66" s="273"/>
      <c r="J66" s="273"/>
      <c r="K66" s="273">
        <v>1102621</v>
      </c>
      <c r="L66" s="273">
        <v>999174</v>
      </c>
      <c r="M66" s="273"/>
      <c r="N66" s="273"/>
      <c r="O66" s="273"/>
      <c r="P66" s="275">
        <v>13665</v>
      </c>
      <c r="Q66" s="275">
        <v>63</v>
      </c>
      <c r="R66" s="275">
        <v>762</v>
      </c>
      <c r="S66" s="280"/>
      <c r="T66" s="280"/>
      <c r="U66" s="276">
        <v>263187</v>
      </c>
      <c r="V66" s="275"/>
      <c r="W66" s="275">
        <v>54571</v>
      </c>
      <c r="X66" s="275">
        <v>355813</v>
      </c>
      <c r="Y66" s="275">
        <v>861340</v>
      </c>
      <c r="Z66" s="275"/>
      <c r="AA66" s="275"/>
      <c r="AB66" s="281">
        <v>154218</v>
      </c>
      <c r="AC66" s="275">
        <v>56096</v>
      </c>
      <c r="AD66" s="275"/>
      <c r="AE66" s="275">
        <v>22742</v>
      </c>
      <c r="AF66" s="275"/>
      <c r="AG66" s="275">
        <v>2691984</v>
      </c>
      <c r="AH66" s="275"/>
      <c r="AI66" s="275"/>
      <c r="AJ66" s="275">
        <v>53351</v>
      </c>
      <c r="AK66" s="275">
        <v>3107</v>
      </c>
      <c r="AL66" s="275">
        <v>2493</v>
      </c>
      <c r="AM66" s="275"/>
      <c r="AN66" s="275"/>
      <c r="AO66" s="275">
        <v>202922</v>
      </c>
      <c r="AP66" s="275"/>
      <c r="AQ66" s="275"/>
      <c r="AR66" s="275"/>
      <c r="AS66" s="275"/>
      <c r="AT66" s="275"/>
      <c r="AU66" s="275"/>
      <c r="AV66" s="280">
        <v>133717</v>
      </c>
      <c r="AW66" s="280"/>
      <c r="AX66" s="280"/>
      <c r="AY66" s="275">
        <v>14973</v>
      </c>
      <c r="AZ66" s="275">
        <v>3295</v>
      </c>
      <c r="BA66" s="280">
        <v>5021</v>
      </c>
      <c r="BB66" s="280">
        <v>1174</v>
      </c>
      <c r="BC66" s="280"/>
      <c r="BD66" s="280">
        <v>1389</v>
      </c>
      <c r="BE66" s="275">
        <v>30319</v>
      </c>
      <c r="BF66" s="280">
        <v>25055</v>
      </c>
      <c r="BG66" s="280">
        <v>7947</v>
      </c>
      <c r="BH66" s="280">
        <v>504546</v>
      </c>
      <c r="BI66" s="280"/>
      <c r="BJ66" s="280">
        <v>8047</v>
      </c>
      <c r="BK66" s="280">
        <v>126420</v>
      </c>
      <c r="BL66" s="280">
        <v>6470</v>
      </c>
      <c r="BM66" s="280"/>
      <c r="BN66" s="280">
        <v>236725</v>
      </c>
      <c r="BO66" s="280"/>
      <c r="BP66" s="280"/>
      <c r="BQ66" s="280"/>
      <c r="BR66" s="280">
        <v>16116</v>
      </c>
      <c r="BS66" s="280"/>
      <c r="BT66" s="280"/>
      <c r="BU66" s="280"/>
      <c r="BV66" s="280">
        <v>41893</v>
      </c>
      <c r="BW66" s="280"/>
      <c r="BX66" s="280"/>
      <c r="BY66" s="280">
        <v>14422</v>
      </c>
      <c r="BZ66" s="280"/>
      <c r="CA66" s="280"/>
      <c r="CB66" s="280"/>
      <c r="CC66" s="280"/>
      <c r="CD66" s="24" t="s">
        <v>247</v>
      </c>
      <c r="CE66" s="25">
        <f t="shared" si="6"/>
        <v>8382333</v>
      </c>
    </row>
    <row r="67" spans="1:83" x14ac:dyDescent="0.25">
      <c r="A67" s="31" t="s">
        <v>15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30067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276251</v>
      </c>
      <c r="L67" s="25">
        <f t="shared" si="10"/>
        <v>81920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47150</v>
      </c>
      <c r="Q67" s="25">
        <f t="shared" si="10"/>
        <v>11677</v>
      </c>
      <c r="R67" s="25">
        <f t="shared" si="10"/>
        <v>9668</v>
      </c>
      <c r="S67" s="25">
        <f t="shared" si="10"/>
        <v>12804</v>
      </c>
      <c r="T67" s="25">
        <f t="shared" si="10"/>
        <v>0</v>
      </c>
      <c r="U67" s="25">
        <f t="shared" si="10"/>
        <v>35015</v>
      </c>
      <c r="V67" s="25">
        <f t="shared" si="10"/>
        <v>0</v>
      </c>
      <c r="W67" s="25">
        <f t="shared" si="10"/>
        <v>2531</v>
      </c>
      <c r="X67" s="25">
        <f t="shared" si="10"/>
        <v>16544</v>
      </c>
      <c r="Y67" s="25">
        <f t="shared" si="10"/>
        <v>40029</v>
      </c>
      <c r="Z67" s="25">
        <f t="shared" si="10"/>
        <v>0</v>
      </c>
      <c r="AA67" s="25">
        <f t="shared" si="10"/>
        <v>0</v>
      </c>
      <c r="AB67" s="25">
        <f t="shared" si="10"/>
        <v>15384</v>
      </c>
      <c r="AC67" s="25">
        <f t="shared" si="10"/>
        <v>2809</v>
      </c>
      <c r="AD67" s="25">
        <f t="shared" si="10"/>
        <v>0</v>
      </c>
      <c r="AE67" s="25">
        <f t="shared" si="10"/>
        <v>138313</v>
      </c>
      <c r="AF67" s="25">
        <f t="shared" si="10"/>
        <v>0</v>
      </c>
      <c r="AG67" s="25">
        <f t="shared" si="10"/>
        <v>155086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110745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16642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14601</v>
      </c>
      <c r="AW67" s="25">
        <f t="shared" si="11"/>
        <v>0</v>
      </c>
      <c r="AX67" s="25">
        <f t="shared" si="11"/>
        <v>0</v>
      </c>
      <c r="AY67" s="25">
        <f t="shared" si="11"/>
        <v>61064</v>
      </c>
      <c r="AZ67" s="25">
        <f t="shared" si="11"/>
        <v>0</v>
      </c>
      <c r="BA67" s="25">
        <f t="shared" si="11"/>
        <v>33856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153387</v>
      </c>
      <c r="BF67" s="25">
        <f t="shared" si="11"/>
        <v>24432</v>
      </c>
      <c r="BG67" s="25">
        <f t="shared" si="11"/>
        <v>11400</v>
      </c>
      <c r="BH67" s="25">
        <f t="shared" si="11"/>
        <v>24596</v>
      </c>
      <c r="BI67" s="25">
        <f t="shared" si="11"/>
        <v>0</v>
      </c>
      <c r="BJ67" s="25">
        <f t="shared" si="11"/>
        <v>55969</v>
      </c>
      <c r="BK67" s="25">
        <f t="shared" si="11"/>
        <v>0</v>
      </c>
      <c r="BL67" s="25">
        <f t="shared" si="11"/>
        <v>37204</v>
      </c>
      <c r="BM67" s="25">
        <f t="shared" si="11"/>
        <v>0</v>
      </c>
      <c r="BN67" s="25">
        <f t="shared" si="11"/>
        <v>49991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51265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21199</v>
      </c>
      <c r="BW67" s="25">
        <f t="shared" si="12"/>
        <v>0</v>
      </c>
      <c r="BX67" s="25">
        <f t="shared" si="12"/>
        <v>0</v>
      </c>
      <c r="BY67" s="25">
        <f t="shared" si="12"/>
        <v>11596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247</v>
      </c>
      <c r="CE67" s="25">
        <f t="shared" si="6"/>
        <v>1553195</v>
      </c>
    </row>
    <row r="68" spans="1:83" x14ac:dyDescent="0.25">
      <c r="A68" s="31" t="s">
        <v>267</v>
      </c>
      <c r="B68" s="25"/>
      <c r="C68" s="273"/>
      <c r="D68" s="273"/>
      <c r="E68" s="273">
        <v>3804</v>
      </c>
      <c r="F68" s="273"/>
      <c r="G68" s="273"/>
      <c r="H68" s="273"/>
      <c r="I68" s="273"/>
      <c r="J68" s="273"/>
      <c r="K68" s="273">
        <v>186</v>
      </c>
      <c r="L68" s="273">
        <v>10364</v>
      </c>
      <c r="M68" s="273"/>
      <c r="N68" s="273"/>
      <c r="O68" s="273"/>
      <c r="P68" s="275">
        <v>71</v>
      </c>
      <c r="Q68" s="275"/>
      <c r="R68" s="275"/>
      <c r="S68" s="280"/>
      <c r="T68" s="280"/>
      <c r="U68" s="276"/>
      <c r="V68" s="275"/>
      <c r="W68" s="275">
        <v>8212</v>
      </c>
      <c r="X68" s="275">
        <v>53542</v>
      </c>
      <c r="Y68" s="275">
        <v>129612</v>
      </c>
      <c r="Z68" s="275"/>
      <c r="AA68" s="275">
        <v>0</v>
      </c>
      <c r="AB68" s="281">
        <v>83871</v>
      </c>
      <c r="AC68" s="275"/>
      <c r="AD68" s="275"/>
      <c r="AE68" s="275">
        <v>16291</v>
      </c>
      <c r="AF68" s="275"/>
      <c r="AG68" s="275"/>
      <c r="AH68" s="275"/>
      <c r="AI68" s="275"/>
      <c r="AJ68" s="275"/>
      <c r="AK68" s="275"/>
      <c r="AL68" s="275"/>
      <c r="AM68" s="275"/>
      <c r="AN68" s="275"/>
      <c r="AO68" s="275">
        <v>2105</v>
      </c>
      <c r="AP68" s="275"/>
      <c r="AQ68" s="275"/>
      <c r="AR68" s="275"/>
      <c r="AS68" s="275"/>
      <c r="AT68" s="275"/>
      <c r="AU68" s="275"/>
      <c r="AV68" s="280"/>
      <c r="AW68" s="280"/>
      <c r="AX68" s="280"/>
      <c r="AY68" s="275">
        <v>4624</v>
      </c>
      <c r="AZ68" s="275">
        <v>6744</v>
      </c>
      <c r="BA68" s="280"/>
      <c r="BB68" s="280"/>
      <c r="BC68" s="280"/>
      <c r="BD68" s="280"/>
      <c r="BE68" s="275">
        <v>1610</v>
      </c>
      <c r="BF68" s="280"/>
      <c r="BG68" s="280">
        <v>1106</v>
      </c>
      <c r="BH68" s="280"/>
      <c r="BI68" s="280"/>
      <c r="BJ68" s="280"/>
      <c r="BK68" s="280"/>
      <c r="BL68" s="280"/>
      <c r="BM68" s="280"/>
      <c r="BN68" s="280">
        <f>165631-1106</f>
        <v>164525</v>
      </c>
      <c r="BO68" s="280"/>
      <c r="BP68" s="280"/>
      <c r="BQ68" s="280"/>
      <c r="BR68" s="280"/>
      <c r="BS68" s="280"/>
      <c r="BT68" s="280"/>
      <c r="BU68" s="280"/>
      <c r="BV68" s="280">
        <v>14624</v>
      </c>
      <c r="BW68" s="280"/>
      <c r="BX68" s="280"/>
      <c r="BY68" s="280"/>
      <c r="BZ68" s="280"/>
      <c r="CA68" s="280"/>
      <c r="CB68" s="280"/>
      <c r="CC68" s="280"/>
      <c r="CD68" s="24" t="s">
        <v>247</v>
      </c>
      <c r="CE68" s="25">
        <f t="shared" si="6"/>
        <v>501291</v>
      </c>
    </row>
    <row r="69" spans="1:83" x14ac:dyDescent="0.25">
      <c r="A69" s="31" t="s">
        <v>268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15072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48945</v>
      </c>
      <c r="L69" s="25">
        <f t="shared" si="13"/>
        <v>41069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15874</v>
      </c>
      <c r="Q69" s="25">
        <f t="shared" si="13"/>
        <v>0</v>
      </c>
      <c r="R69" s="25">
        <f t="shared" si="13"/>
        <v>6074</v>
      </c>
      <c r="S69" s="25">
        <f t="shared" si="13"/>
        <v>0</v>
      </c>
      <c r="T69" s="25">
        <f t="shared" si="13"/>
        <v>0</v>
      </c>
      <c r="U69" s="25">
        <f t="shared" si="13"/>
        <v>71545</v>
      </c>
      <c r="V69" s="25">
        <f t="shared" si="13"/>
        <v>0</v>
      </c>
      <c r="W69" s="25">
        <f t="shared" si="13"/>
        <v>6194</v>
      </c>
      <c r="X69" s="25">
        <f t="shared" si="13"/>
        <v>40388</v>
      </c>
      <c r="Y69" s="25">
        <f t="shared" si="13"/>
        <v>97769</v>
      </c>
      <c r="Z69" s="25">
        <f t="shared" si="13"/>
        <v>0</v>
      </c>
      <c r="AA69" s="25">
        <f t="shared" si="13"/>
        <v>0</v>
      </c>
      <c r="AB69" s="25">
        <f t="shared" si="13"/>
        <v>15068</v>
      </c>
      <c r="AC69" s="25">
        <f t="shared" si="13"/>
        <v>5654</v>
      </c>
      <c r="AD69" s="25">
        <f t="shared" si="13"/>
        <v>0</v>
      </c>
      <c r="AE69" s="25">
        <f t="shared" si="13"/>
        <v>23175</v>
      </c>
      <c r="AF69" s="25">
        <f t="shared" si="13"/>
        <v>0</v>
      </c>
      <c r="AG69" s="25">
        <f t="shared" si="13"/>
        <v>20777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14340</v>
      </c>
      <c r="AK69" s="25">
        <f t="shared" si="14"/>
        <v>1085</v>
      </c>
      <c r="AL69" s="25">
        <f t="shared" si="14"/>
        <v>1663</v>
      </c>
      <c r="AM69" s="25">
        <f t="shared" si="14"/>
        <v>0</v>
      </c>
      <c r="AN69" s="25">
        <f t="shared" si="14"/>
        <v>0</v>
      </c>
      <c r="AO69" s="25">
        <f t="shared" si="14"/>
        <v>8341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1096</v>
      </c>
      <c r="AW69" s="25">
        <f t="shared" si="14"/>
        <v>0</v>
      </c>
      <c r="AX69" s="25">
        <f t="shared" si="14"/>
        <v>0</v>
      </c>
      <c r="AY69" s="25">
        <f t="shared" si="14"/>
        <v>3264</v>
      </c>
      <c r="AZ69" s="25">
        <f t="shared" si="14"/>
        <v>1385</v>
      </c>
      <c r="BA69" s="25">
        <f t="shared" si="14"/>
        <v>492</v>
      </c>
      <c r="BB69" s="25">
        <f t="shared" si="14"/>
        <v>0</v>
      </c>
      <c r="BC69" s="25">
        <f t="shared" si="14"/>
        <v>0</v>
      </c>
      <c r="BD69" s="25">
        <f t="shared" si="14"/>
        <v>3376</v>
      </c>
      <c r="BE69" s="25">
        <f t="shared" si="14"/>
        <v>211254</v>
      </c>
      <c r="BF69" s="25">
        <f t="shared" si="14"/>
        <v>824</v>
      </c>
      <c r="BG69" s="25">
        <f t="shared" si="14"/>
        <v>5157</v>
      </c>
      <c r="BH69" s="25">
        <f t="shared" si="14"/>
        <v>51493</v>
      </c>
      <c r="BI69" s="25">
        <f t="shared" si="14"/>
        <v>0</v>
      </c>
      <c r="BJ69" s="25">
        <f t="shared" si="14"/>
        <v>105839</v>
      </c>
      <c r="BK69" s="25">
        <f t="shared" si="14"/>
        <v>3989</v>
      </c>
      <c r="BL69" s="25">
        <f t="shared" si="14"/>
        <v>0</v>
      </c>
      <c r="BM69" s="25">
        <f t="shared" si="14"/>
        <v>0</v>
      </c>
      <c r="BN69" s="25">
        <f t="shared" si="14"/>
        <v>122833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63786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11741</v>
      </c>
      <c r="BW69" s="25">
        <f t="shared" si="15"/>
        <v>0</v>
      </c>
      <c r="BX69" s="25">
        <f t="shared" si="15"/>
        <v>0</v>
      </c>
      <c r="BY69" s="25">
        <f t="shared" si="15"/>
        <v>53894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0</v>
      </c>
      <c r="CD69" s="25">
        <f t="shared" si="15"/>
        <v>1074602</v>
      </c>
      <c r="CE69" s="25">
        <f t="shared" si="15"/>
        <v>2148058</v>
      </c>
    </row>
    <row r="70" spans="1:83" x14ac:dyDescent="0.25">
      <c r="A70" s="26" t="s">
        <v>269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5">
        <f t="shared" si="16"/>
        <v>0</v>
      </c>
    </row>
    <row r="72" spans="1:83" x14ac:dyDescent="0.25">
      <c r="A72" s="26" t="s">
        <v>271</v>
      </c>
      <c r="B72" s="27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6"/>
        <v>0</v>
      </c>
    </row>
    <row r="73" spans="1:83" x14ac:dyDescent="0.25">
      <c r="A73" s="26" t="s">
        <v>272</v>
      </c>
      <c r="B73" s="27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/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/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>
        <v>460775</v>
      </c>
      <c r="CE73" s="25">
        <f t="shared" si="16"/>
        <v>460775</v>
      </c>
    </row>
    <row r="74" spans="1:83" x14ac:dyDescent="0.25">
      <c r="A74" s="26" t="s">
        <v>273</v>
      </c>
      <c r="B74" s="27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6"/>
        <v>0</v>
      </c>
    </row>
    <row r="75" spans="1:83" x14ac:dyDescent="0.25">
      <c r="A75" s="26" t="s">
        <v>274</v>
      </c>
      <c r="B75" s="27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5">
        <f t="shared" si="16"/>
        <v>0</v>
      </c>
    </row>
    <row r="76" spans="1:83" x14ac:dyDescent="0.25">
      <c r="A76" s="26" t="s">
        <v>275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25">
      <c r="A77" s="26" t="s">
        <v>276</v>
      </c>
      <c r="B77" s="27"/>
      <c r="C77" s="282"/>
      <c r="D77" s="282"/>
      <c r="E77" s="282">
        <v>6633</v>
      </c>
      <c r="F77" s="282"/>
      <c r="G77" s="282"/>
      <c r="H77" s="282"/>
      <c r="I77" s="282"/>
      <c r="J77" s="282"/>
      <c r="K77" s="282">
        <v>4593</v>
      </c>
      <c r="L77" s="282">
        <v>18073</v>
      </c>
      <c r="M77" s="282"/>
      <c r="N77" s="282"/>
      <c r="O77" s="282"/>
      <c r="P77" s="282">
        <v>15874</v>
      </c>
      <c r="Q77" s="282"/>
      <c r="R77" s="282">
        <v>6074</v>
      </c>
      <c r="S77" s="282"/>
      <c r="T77" s="282"/>
      <c r="U77" s="282">
        <v>71241</v>
      </c>
      <c r="V77" s="282"/>
      <c r="W77" s="282">
        <v>6035</v>
      </c>
      <c r="X77" s="282">
        <v>39350</v>
      </c>
      <c r="Y77" s="282">
        <v>95256</v>
      </c>
      <c r="Z77" s="282"/>
      <c r="AA77" s="282"/>
      <c r="AB77" s="282">
        <v>1560</v>
      </c>
      <c r="AC77" s="282">
        <v>5654</v>
      </c>
      <c r="AD77" s="282"/>
      <c r="AE77" s="282">
        <v>729</v>
      </c>
      <c r="AF77" s="282"/>
      <c r="AG77" s="282">
        <v>5746</v>
      </c>
      <c r="AH77" s="282"/>
      <c r="AI77" s="282"/>
      <c r="AJ77" s="282">
        <v>580</v>
      </c>
      <c r="AK77" s="282">
        <v>210</v>
      </c>
      <c r="AL77" s="282"/>
      <c r="AM77" s="282"/>
      <c r="AN77" s="282"/>
      <c r="AO77" s="282">
        <v>3670</v>
      </c>
      <c r="AP77" s="282"/>
      <c r="AQ77" s="282"/>
      <c r="AR77" s="282"/>
      <c r="AS77" s="282"/>
      <c r="AT77" s="282"/>
      <c r="AU77" s="282"/>
      <c r="AV77" s="282">
        <v>141</v>
      </c>
      <c r="AW77" s="282"/>
      <c r="AX77" s="282"/>
      <c r="AY77" s="282">
        <v>3264</v>
      </c>
      <c r="AZ77" s="282"/>
      <c r="BA77" s="282">
        <v>492</v>
      </c>
      <c r="BB77" s="282"/>
      <c r="BC77" s="282"/>
      <c r="BD77" s="282"/>
      <c r="BE77" s="282">
        <v>204535</v>
      </c>
      <c r="BF77" s="282">
        <v>824</v>
      </c>
      <c r="BG77" s="282">
        <v>5143</v>
      </c>
      <c r="BH77" s="282">
        <v>10028</v>
      </c>
      <c r="BI77" s="282"/>
      <c r="BJ77" s="282"/>
      <c r="BK77" s="282"/>
      <c r="BL77" s="282"/>
      <c r="BM77" s="282"/>
      <c r="BN77" s="282">
        <v>2165</v>
      </c>
      <c r="BO77" s="282"/>
      <c r="BP77" s="282"/>
      <c r="BQ77" s="282"/>
      <c r="BR77" s="282"/>
      <c r="BS77" s="282"/>
      <c r="BT77" s="282"/>
      <c r="BU77" s="282"/>
      <c r="BV77" s="282"/>
      <c r="BW77" s="282"/>
      <c r="BX77" s="282"/>
      <c r="BY77" s="282"/>
      <c r="BZ77" s="282"/>
      <c r="CA77" s="282"/>
      <c r="CB77" s="282"/>
      <c r="CC77" s="282"/>
      <c r="CD77" s="282"/>
      <c r="CE77" s="25">
        <f t="shared" si="16"/>
        <v>507870</v>
      </c>
    </row>
    <row r="78" spans="1:83" x14ac:dyDescent="0.25">
      <c r="A78" s="26" t="s">
        <v>277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/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0</v>
      </c>
    </row>
    <row r="79" spans="1:83" x14ac:dyDescent="0.25">
      <c r="A79" s="26" t="s">
        <v>278</v>
      </c>
      <c r="B79" s="16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/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/>
      <c r="BN79" s="282"/>
      <c r="BO79" s="282"/>
      <c r="BP79" s="282"/>
      <c r="BQ79" s="282"/>
      <c r="BR79" s="282">
        <f>42893+15372</f>
        <v>58265</v>
      </c>
      <c r="BS79" s="282"/>
      <c r="BT79" s="282"/>
      <c r="BU79" s="282"/>
      <c r="BV79" s="282"/>
      <c r="BW79" s="282"/>
      <c r="BX79" s="282"/>
      <c r="BY79" s="282"/>
      <c r="BZ79" s="282"/>
      <c r="CA79" s="282"/>
      <c r="CB79" s="282"/>
      <c r="CC79" s="282"/>
      <c r="CD79" s="282"/>
      <c r="CE79" s="25">
        <f t="shared" si="16"/>
        <v>58265</v>
      </c>
    </row>
    <row r="80" spans="1:83" x14ac:dyDescent="0.25">
      <c r="A80" s="26" t="s">
        <v>279</v>
      </c>
      <c r="B80" s="16"/>
      <c r="C80" s="282"/>
      <c r="D80" s="282"/>
      <c r="E80" s="282">
        <v>6961</v>
      </c>
      <c r="F80" s="282"/>
      <c r="G80" s="282"/>
      <c r="H80" s="282"/>
      <c r="I80" s="282"/>
      <c r="J80" s="282"/>
      <c r="K80" s="282">
        <v>1628</v>
      </c>
      <c r="L80" s="282">
        <v>18968</v>
      </c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>
        <f>367+27028</f>
        <v>27395</v>
      </c>
      <c r="AF80" s="282"/>
      <c r="AG80" s="282">
        <f>1217+11000+285</f>
        <v>12502</v>
      </c>
      <c r="AH80" s="282"/>
      <c r="AI80" s="282"/>
      <c r="AJ80" s="282">
        <v>1450</v>
      </c>
      <c r="AK80" s="282">
        <v>60</v>
      </c>
      <c r="AL80" s="282">
        <v>1663</v>
      </c>
      <c r="AM80" s="282"/>
      <c r="AN80" s="282"/>
      <c r="AO80" s="282">
        <v>3853</v>
      </c>
      <c r="AP80" s="282"/>
      <c r="AQ80" s="282"/>
      <c r="AR80" s="282"/>
      <c r="AS80" s="282"/>
      <c r="AT80" s="282"/>
      <c r="AU80" s="282"/>
      <c r="AV80" s="282"/>
      <c r="AW80" s="282"/>
      <c r="AX80" s="282"/>
      <c r="AY80" s="282"/>
      <c r="AZ80" s="282"/>
      <c r="BA80" s="282"/>
      <c r="BB80" s="282"/>
      <c r="BC80" s="282"/>
      <c r="BD80" s="282"/>
      <c r="BE80" s="282"/>
      <c r="BF80" s="282"/>
      <c r="BG80" s="282"/>
      <c r="BH80" s="282"/>
      <c r="BI80" s="282"/>
      <c r="BJ80" s="282">
        <v>1962</v>
      </c>
      <c r="BK80" s="282">
        <v>509</v>
      </c>
      <c r="BL80" s="282"/>
      <c r="BM80" s="282"/>
      <c r="BN80" s="282">
        <f>5732+799</f>
        <v>6531</v>
      </c>
      <c r="BO80" s="282"/>
      <c r="BP80" s="282"/>
      <c r="BQ80" s="282"/>
      <c r="BR80" s="282">
        <v>1204</v>
      </c>
      <c r="BS80" s="282"/>
      <c r="BT80" s="282"/>
      <c r="BU80" s="282"/>
      <c r="BV80" s="282">
        <v>6418</v>
      </c>
      <c r="BW80" s="282"/>
      <c r="BX80" s="282"/>
      <c r="BY80" s="282">
        <f>350+6700+12000</f>
        <v>19050</v>
      </c>
      <c r="BZ80" s="282"/>
      <c r="CA80" s="282"/>
      <c r="CB80" s="282"/>
      <c r="CC80" s="282"/>
      <c r="CD80" s="282"/>
      <c r="CE80" s="25">
        <f t="shared" si="16"/>
        <v>110154</v>
      </c>
    </row>
    <row r="81" spans="1:84" x14ac:dyDescent="0.25">
      <c r="A81" s="26" t="s">
        <v>280</v>
      </c>
      <c r="B81" s="16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2"/>
      <c r="AO81" s="282"/>
      <c r="AP81" s="282"/>
      <c r="AQ81" s="282"/>
      <c r="AR81" s="282"/>
      <c r="AS81" s="282"/>
      <c r="AT81" s="282"/>
      <c r="AU81" s="282"/>
      <c r="AV81" s="282"/>
      <c r="AW81" s="282"/>
      <c r="AX81" s="282"/>
      <c r="AY81" s="282"/>
      <c r="AZ81" s="282"/>
      <c r="BA81" s="282"/>
      <c r="BB81" s="282"/>
      <c r="BC81" s="282"/>
      <c r="BD81" s="282"/>
      <c r="BE81" s="282"/>
      <c r="BF81" s="282"/>
      <c r="BG81" s="282"/>
      <c r="BH81" s="282"/>
      <c r="BI81" s="282"/>
      <c r="BJ81" s="282"/>
      <c r="BK81" s="282"/>
      <c r="BL81" s="282"/>
      <c r="BM81" s="282"/>
      <c r="BN81" s="282"/>
      <c r="BO81" s="282"/>
      <c r="BP81" s="282"/>
      <c r="BQ81" s="282"/>
      <c r="BR81" s="282"/>
      <c r="BS81" s="282"/>
      <c r="BT81" s="282"/>
      <c r="BU81" s="282"/>
      <c r="BV81" s="282"/>
      <c r="BW81" s="282"/>
      <c r="BX81" s="282"/>
      <c r="BY81" s="282"/>
      <c r="BZ81" s="282"/>
      <c r="CA81" s="282"/>
      <c r="CB81" s="282"/>
      <c r="CC81" s="282"/>
      <c r="CD81" s="282">
        <v>248689</v>
      </c>
      <c r="CE81" s="25">
        <f t="shared" si="16"/>
        <v>248689</v>
      </c>
    </row>
    <row r="82" spans="1:84" x14ac:dyDescent="0.25">
      <c r="A82" s="26" t="s">
        <v>281</v>
      </c>
      <c r="B82" s="16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/>
      <c r="AZ82" s="282"/>
      <c r="BA82" s="282"/>
      <c r="BB82" s="282"/>
      <c r="BC82" s="282"/>
      <c r="BD82" s="282"/>
      <c r="BE82" s="282"/>
      <c r="BF82" s="282"/>
      <c r="BG82" s="282"/>
      <c r="BH82" s="282"/>
      <c r="BI82" s="282"/>
      <c r="BJ82" s="282"/>
      <c r="BK82" s="282"/>
      <c r="BL82" s="282"/>
      <c r="BM82" s="282"/>
      <c r="BN82" s="282"/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0</v>
      </c>
    </row>
    <row r="83" spans="1:84" x14ac:dyDescent="0.25">
      <c r="A83" s="26" t="s">
        <v>282</v>
      </c>
      <c r="B83" s="16"/>
      <c r="C83" s="273"/>
      <c r="D83" s="273"/>
      <c r="E83" s="275">
        <v>1478</v>
      </c>
      <c r="F83" s="275"/>
      <c r="G83" s="273"/>
      <c r="H83" s="273"/>
      <c r="I83" s="275"/>
      <c r="J83" s="275"/>
      <c r="K83" s="275">
        <f>48945-K80-K77</f>
        <v>42724</v>
      </c>
      <c r="L83" s="275">
        <v>4028</v>
      </c>
      <c r="M83" s="273"/>
      <c r="N83" s="273"/>
      <c r="O83" s="273"/>
      <c r="P83" s="275"/>
      <c r="Q83" s="275"/>
      <c r="R83" s="276"/>
      <c r="S83" s="275"/>
      <c r="T83" s="273"/>
      <c r="U83" s="275">
        <v>304</v>
      </c>
      <c r="V83" s="275"/>
      <c r="W83" s="273">
        <v>159</v>
      </c>
      <c r="X83" s="275">
        <v>1038</v>
      </c>
      <c r="Y83" s="275">
        <v>2513</v>
      </c>
      <c r="Z83" s="275"/>
      <c r="AA83" s="275"/>
      <c r="AB83" s="275">
        <f>15068-AB77</f>
        <v>13508</v>
      </c>
      <c r="AC83" s="275"/>
      <c r="AD83" s="275"/>
      <c r="AE83" s="275">
        <f>23175-AE80-AE77</f>
        <v>-4949</v>
      </c>
      <c r="AF83" s="275"/>
      <c r="AG83" s="275">
        <f>20777-AG80-AG77</f>
        <v>2529</v>
      </c>
      <c r="AH83" s="275"/>
      <c r="AI83" s="275"/>
      <c r="AJ83" s="275">
        <f>14340-AJ80-AJ77</f>
        <v>12310</v>
      </c>
      <c r="AK83" s="275">
        <v>815</v>
      </c>
      <c r="AL83" s="275"/>
      <c r="AM83" s="275"/>
      <c r="AN83" s="275"/>
      <c r="AO83" s="273">
        <v>818</v>
      </c>
      <c r="AP83" s="275"/>
      <c r="AQ83" s="273"/>
      <c r="AR83" s="273"/>
      <c r="AS83" s="273"/>
      <c r="AT83" s="273"/>
      <c r="AU83" s="275"/>
      <c r="AV83" s="275">
        <v>955</v>
      </c>
      <c r="AW83" s="275"/>
      <c r="AX83" s="275"/>
      <c r="AY83" s="275"/>
      <c r="AZ83" s="275">
        <v>1385</v>
      </c>
      <c r="BA83" s="275"/>
      <c r="BB83" s="275"/>
      <c r="BC83" s="275"/>
      <c r="BD83" s="275">
        <v>3376</v>
      </c>
      <c r="BE83" s="275">
        <f>211254-BE77</f>
        <v>6719</v>
      </c>
      <c r="BF83" s="275"/>
      <c r="BG83" s="275">
        <f>5157-BG77-BG80</f>
        <v>14</v>
      </c>
      <c r="BH83" s="276">
        <f>41452+13</f>
        <v>41465</v>
      </c>
      <c r="BI83" s="275"/>
      <c r="BJ83" s="275">
        <f>105839-BJ80</f>
        <v>103877</v>
      </c>
      <c r="BK83" s="275">
        <v>3480</v>
      </c>
      <c r="BL83" s="275"/>
      <c r="BM83" s="275"/>
      <c r="BN83" s="275">
        <f>122833-BN80-BN77</f>
        <v>114137</v>
      </c>
      <c r="BO83" s="275"/>
      <c r="BP83" s="275"/>
      <c r="BQ83" s="275"/>
      <c r="BR83" s="275">
        <f>63786-BR79-BR80</f>
        <v>4317</v>
      </c>
      <c r="BS83" s="275"/>
      <c r="BT83" s="275"/>
      <c r="BU83" s="275"/>
      <c r="BV83" s="275">
        <f>11741-BV80</f>
        <v>5323</v>
      </c>
      <c r="BW83" s="275"/>
      <c r="BX83" s="275"/>
      <c r="BY83" s="275">
        <f>53894-BY80</f>
        <v>34844</v>
      </c>
      <c r="BZ83" s="275"/>
      <c r="CA83" s="275"/>
      <c r="CB83" s="275"/>
      <c r="CC83" s="275"/>
      <c r="CD83" s="282">
        <v>365138</v>
      </c>
      <c r="CE83" s="25">
        <f t="shared" si="16"/>
        <v>762305</v>
      </c>
    </row>
    <row r="84" spans="1:84" x14ac:dyDescent="0.25">
      <c r="A84" s="31" t="s">
        <v>283</v>
      </c>
      <c r="B84" s="16"/>
      <c r="C84" s="273"/>
      <c r="D84" s="273"/>
      <c r="E84" s="273"/>
      <c r="F84" s="273"/>
      <c r="G84" s="273"/>
      <c r="H84" s="273"/>
      <c r="I84" s="273"/>
      <c r="J84" s="273"/>
      <c r="K84" s="273">
        <v>12</v>
      </c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>
        <v>265142</v>
      </c>
      <c r="AZ84" s="273">
        <v>154247</v>
      </c>
      <c r="BA84" s="273">
        <v>399291</v>
      </c>
      <c r="BB84" s="273"/>
      <c r="BC84" s="273"/>
      <c r="BD84" s="273"/>
      <c r="BE84" s="273"/>
      <c r="BF84" s="273"/>
      <c r="BG84" s="273"/>
      <c r="BH84" s="273"/>
      <c r="BI84" s="273"/>
      <c r="BJ84" s="273"/>
      <c r="BK84" s="273"/>
      <c r="BL84" s="273"/>
      <c r="BM84" s="273"/>
      <c r="BN84" s="273">
        <v>19799</v>
      </c>
      <c r="BO84" s="273"/>
      <c r="BP84" s="273"/>
      <c r="BQ84" s="273"/>
      <c r="BR84" s="273"/>
      <c r="BS84" s="273"/>
      <c r="BT84" s="273"/>
      <c r="BU84" s="273"/>
      <c r="BV84" s="273">
        <v>17166</v>
      </c>
      <c r="BW84" s="273"/>
      <c r="BX84" s="273"/>
      <c r="BY84" s="273"/>
      <c r="BZ84" s="273"/>
      <c r="CA84" s="273"/>
      <c r="CB84" s="273"/>
      <c r="CC84" s="273"/>
      <c r="CD84" s="282">
        <v>167409</v>
      </c>
      <c r="CE84" s="25">
        <f t="shared" si="16"/>
        <v>1023066</v>
      </c>
    </row>
    <row r="85" spans="1:84" x14ac:dyDescent="0.25">
      <c r="A85" s="31" t="s">
        <v>284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1078695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4541966</v>
      </c>
      <c r="L85" s="25">
        <f t="shared" si="17"/>
        <v>2939232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856750</v>
      </c>
      <c r="Q85" s="25">
        <f t="shared" si="17"/>
        <v>17202</v>
      </c>
      <c r="R85" s="25">
        <f t="shared" si="17"/>
        <v>81683</v>
      </c>
      <c r="S85" s="25">
        <f t="shared" si="17"/>
        <v>71220</v>
      </c>
      <c r="T85" s="25">
        <f t="shared" si="17"/>
        <v>0</v>
      </c>
      <c r="U85" s="25">
        <f t="shared" si="17"/>
        <v>1602850</v>
      </c>
      <c r="V85" s="25">
        <f t="shared" si="17"/>
        <v>0</v>
      </c>
      <c r="W85" s="25">
        <f t="shared" si="17"/>
        <v>112776</v>
      </c>
      <c r="X85" s="25">
        <f t="shared" si="17"/>
        <v>735362</v>
      </c>
      <c r="Y85" s="25">
        <f t="shared" si="17"/>
        <v>1780116</v>
      </c>
      <c r="Z85" s="25">
        <f t="shared" si="17"/>
        <v>0</v>
      </c>
      <c r="AA85" s="25">
        <f t="shared" si="17"/>
        <v>0</v>
      </c>
      <c r="AB85" s="25">
        <f t="shared" si="17"/>
        <v>1710290</v>
      </c>
      <c r="AC85" s="25">
        <f t="shared" si="17"/>
        <v>223141</v>
      </c>
      <c r="AD85" s="25">
        <f t="shared" si="17"/>
        <v>0</v>
      </c>
      <c r="AE85" s="25">
        <f t="shared" si="17"/>
        <v>1507876</v>
      </c>
      <c r="AF85" s="25">
        <f t="shared" si="17"/>
        <v>0</v>
      </c>
      <c r="AG85" s="25">
        <f t="shared" si="17"/>
        <v>4497480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1617684</v>
      </c>
      <c r="AK85" s="25">
        <f t="shared" si="18"/>
        <v>265546</v>
      </c>
      <c r="AL85" s="25">
        <f t="shared" si="18"/>
        <v>211221</v>
      </c>
      <c r="AM85" s="25">
        <f t="shared" si="18"/>
        <v>0</v>
      </c>
      <c r="AN85" s="25">
        <f t="shared" si="18"/>
        <v>0</v>
      </c>
      <c r="AO85" s="25">
        <f t="shared" si="18"/>
        <v>596936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205784</v>
      </c>
      <c r="AW85" s="25">
        <f t="shared" si="18"/>
        <v>0</v>
      </c>
      <c r="AX85" s="25">
        <f t="shared" si="18"/>
        <v>0</v>
      </c>
      <c r="AY85" s="25">
        <f t="shared" si="18"/>
        <v>1116531</v>
      </c>
      <c r="AZ85" s="25">
        <f t="shared" si="18"/>
        <v>83275</v>
      </c>
      <c r="BA85" s="25">
        <f t="shared" si="18"/>
        <v>127353</v>
      </c>
      <c r="BB85" s="25">
        <f t="shared" si="18"/>
        <v>105884</v>
      </c>
      <c r="BC85" s="25">
        <f t="shared" si="18"/>
        <v>0</v>
      </c>
      <c r="BD85" s="25">
        <f t="shared" si="18"/>
        <v>305055</v>
      </c>
      <c r="BE85" s="25">
        <f t="shared" si="18"/>
        <v>1173786</v>
      </c>
      <c r="BF85" s="25">
        <f t="shared" si="18"/>
        <v>618274</v>
      </c>
      <c r="BG85" s="25">
        <f t="shared" si="18"/>
        <v>61063</v>
      </c>
      <c r="BH85" s="25">
        <f t="shared" si="18"/>
        <v>1007883</v>
      </c>
      <c r="BI85" s="25">
        <f t="shared" si="18"/>
        <v>0</v>
      </c>
      <c r="BJ85" s="25">
        <f t="shared" si="18"/>
        <v>918075</v>
      </c>
      <c r="BK85" s="25">
        <f t="shared" si="18"/>
        <v>805406</v>
      </c>
      <c r="BL85" s="25">
        <f t="shared" si="18"/>
        <v>628954</v>
      </c>
      <c r="BM85" s="25">
        <f t="shared" si="18"/>
        <v>0</v>
      </c>
      <c r="BN85" s="25">
        <f t="shared" si="18"/>
        <v>1266884</v>
      </c>
      <c r="BO85" s="25">
        <f t="shared" ref="BO85:CD85" si="19">SUM(BO61:BO69)-BO84</f>
        <v>0</v>
      </c>
      <c r="BP85" s="25">
        <f t="shared" si="19"/>
        <v>0</v>
      </c>
      <c r="BQ85" s="25">
        <f t="shared" si="19"/>
        <v>0</v>
      </c>
      <c r="BR85" s="25">
        <f t="shared" si="19"/>
        <v>510120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876704</v>
      </c>
      <c r="BW85" s="25">
        <f t="shared" si="19"/>
        <v>0</v>
      </c>
      <c r="BX85" s="25">
        <f t="shared" si="19"/>
        <v>0</v>
      </c>
      <c r="BY85" s="25">
        <f t="shared" si="19"/>
        <v>514629</v>
      </c>
      <c r="BZ85" s="25">
        <f t="shared" si="19"/>
        <v>0</v>
      </c>
      <c r="CA85" s="25">
        <f t="shared" si="19"/>
        <v>0</v>
      </c>
      <c r="CB85" s="25">
        <f t="shared" si="19"/>
        <v>0</v>
      </c>
      <c r="CC85" s="25">
        <f t="shared" si="19"/>
        <v>0</v>
      </c>
      <c r="CD85" s="25">
        <f t="shared" si="19"/>
        <v>907193</v>
      </c>
      <c r="CE85" s="25">
        <f t="shared" si="16"/>
        <v>35680879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1324830</v>
      </c>
    </row>
    <row r="87" spans="1:84" x14ac:dyDescent="0.25">
      <c r="A87" s="31" t="s">
        <v>286</v>
      </c>
      <c r="B87" s="16"/>
      <c r="C87" s="273"/>
      <c r="D87" s="273"/>
      <c r="E87" s="273">
        <v>1941763</v>
      </c>
      <c r="F87" s="273"/>
      <c r="G87" s="273"/>
      <c r="H87" s="273"/>
      <c r="I87" s="273"/>
      <c r="J87" s="273"/>
      <c r="K87" s="273">
        <v>4901213</v>
      </c>
      <c r="L87" s="273">
        <v>2326897</v>
      </c>
      <c r="M87" s="273"/>
      <c r="N87" s="273"/>
      <c r="O87" s="273"/>
      <c r="P87" s="273">
        <v>7628</v>
      </c>
      <c r="Q87" s="273"/>
      <c r="R87" s="273"/>
      <c r="S87" s="273">
        <v>400322</v>
      </c>
      <c r="T87" s="273"/>
      <c r="U87" s="273">
        <v>451716</v>
      </c>
      <c r="V87" s="273">
        <v>6582</v>
      </c>
      <c r="W87" s="273">
        <v>7834</v>
      </c>
      <c r="X87" s="273">
        <v>51078</v>
      </c>
      <c r="Y87" s="273">
        <v>123651</v>
      </c>
      <c r="Z87" s="273"/>
      <c r="AA87" s="273"/>
      <c r="AB87" s="273">
        <v>543143</v>
      </c>
      <c r="AC87" s="273">
        <v>108435</v>
      </c>
      <c r="AD87" s="273"/>
      <c r="AE87" s="273">
        <v>363926</v>
      </c>
      <c r="AF87" s="273"/>
      <c r="AG87" s="273">
        <v>92914</v>
      </c>
      <c r="AH87" s="273"/>
      <c r="AI87" s="273"/>
      <c r="AJ87" s="273"/>
      <c r="AK87" s="273">
        <v>357955</v>
      </c>
      <c r="AL87" s="273">
        <v>34630</v>
      </c>
      <c r="AM87" s="273"/>
      <c r="AN87" s="273"/>
      <c r="AO87" s="273"/>
      <c r="AP87" s="273"/>
      <c r="AQ87" s="273"/>
      <c r="AR87" s="273"/>
      <c r="AS87" s="273"/>
      <c r="AT87" s="273"/>
      <c r="AU87" s="273"/>
      <c r="AV87" s="273"/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11719687</v>
      </c>
    </row>
    <row r="88" spans="1:84" x14ac:dyDescent="0.25">
      <c r="A88" s="31" t="s">
        <v>287</v>
      </c>
      <c r="B88" s="16"/>
      <c r="C88" s="273"/>
      <c r="D88" s="273"/>
      <c r="E88" s="273"/>
      <c r="F88" s="273"/>
      <c r="G88" s="273"/>
      <c r="H88" s="273"/>
      <c r="I88" s="273"/>
      <c r="J88" s="273"/>
      <c r="K88" s="273"/>
      <c r="L88" s="273"/>
      <c r="M88" s="273"/>
      <c r="N88" s="273"/>
      <c r="O88" s="273"/>
      <c r="P88" s="273">
        <v>613950</v>
      </c>
      <c r="Q88" s="273">
        <v>11325</v>
      </c>
      <c r="R88" s="273">
        <v>48046</v>
      </c>
      <c r="S88" s="273">
        <v>735310</v>
      </c>
      <c r="T88" s="273"/>
      <c r="U88" s="273">
        <v>3367659</v>
      </c>
      <c r="V88" s="273">
        <v>239137</v>
      </c>
      <c r="W88" s="273">
        <v>415155</v>
      </c>
      <c r="X88" s="273">
        <v>2706892</v>
      </c>
      <c r="Y88" s="273">
        <v>6552750</v>
      </c>
      <c r="Z88" s="273"/>
      <c r="AA88" s="273"/>
      <c r="AB88" s="273">
        <v>4331496</v>
      </c>
      <c r="AC88" s="273">
        <v>666990</v>
      </c>
      <c r="AD88" s="273"/>
      <c r="AE88" s="273">
        <v>2840052</v>
      </c>
      <c r="AF88" s="273"/>
      <c r="AG88" s="273">
        <v>14435689</v>
      </c>
      <c r="AH88" s="273"/>
      <c r="AI88" s="273"/>
      <c r="AJ88" s="273">
        <v>831832</v>
      </c>
      <c r="AK88" s="273">
        <v>623266</v>
      </c>
      <c r="AL88" s="273">
        <v>346861</v>
      </c>
      <c r="AM88" s="273"/>
      <c r="AN88" s="273"/>
      <c r="AO88" s="273">
        <v>833205</v>
      </c>
      <c r="AP88" s="273"/>
      <c r="AQ88" s="273"/>
      <c r="AR88" s="273"/>
      <c r="AS88" s="273"/>
      <c r="AT88" s="273"/>
      <c r="AU88" s="273"/>
      <c r="AV88" s="273">
        <v>1054857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40654472</v>
      </c>
    </row>
    <row r="89" spans="1:84" x14ac:dyDescent="0.25">
      <c r="A89" s="21" t="s">
        <v>288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1941763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4901213</v>
      </c>
      <c r="L89" s="25">
        <f t="shared" si="21"/>
        <v>2326897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621578</v>
      </c>
      <c r="Q89" s="25">
        <f t="shared" si="21"/>
        <v>11325</v>
      </c>
      <c r="R89" s="25">
        <f t="shared" si="21"/>
        <v>48046</v>
      </c>
      <c r="S89" s="25">
        <f t="shared" si="21"/>
        <v>1135632</v>
      </c>
      <c r="T89" s="25">
        <f t="shared" si="21"/>
        <v>0</v>
      </c>
      <c r="U89" s="25">
        <f t="shared" si="21"/>
        <v>3819375</v>
      </c>
      <c r="V89" s="25">
        <f t="shared" si="21"/>
        <v>245719</v>
      </c>
      <c r="W89" s="25">
        <f t="shared" si="21"/>
        <v>422989</v>
      </c>
      <c r="X89" s="25">
        <f t="shared" si="21"/>
        <v>2757970</v>
      </c>
      <c r="Y89" s="25">
        <f t="shared" si="21"/>
        <v>6676401</v>
      </c>
      <c r="Z89" s="25">
        <f t="shared" si="21"/>
        <v>0</v>
      </c>
      <c r="AA89" s="25">
        <f t="shared" si="21"/>
        <v>0</v>
      </c>
      <c r="AB89" s="25">
        <f t="shared" si="21"/>
        <v>4874639</v>
      </c>
      <c r="AC89" s="25">
        <f t="shared" si="21"/>
        <v>775425</v>
      </c>
      <c r="AD89" s="25">
        <f t="shared" si="21"/>
        <v>0</v>
      </c>
      <c r="AE89" s="25">
        <f t="shared" si="21"/>
        <v>3203978</v>
      </c>
      <c r="AF89" s="25">
        <f t="shared" si="21"/>
        <v>0</v>
      </c>
      <c r="AG89" s="25">
        <f t="shared" si="21"/>
        <v>14528603</v>
      </c>
      <c r="AH89" s="25">
        <f t="shared" si="21"/>
        <v>0</v>
      </c>
      <c r="AI89" s="25">
        <f t="shared" si="21"/>
        <v>0</v>
      </c>
      <c r="AJ89" s="25">
        <f t="shared" si="21"/>
        <v>831832</v>
      </c>
      <c r="AK89" s="25">
        <f t="shared" si="21"/>
        <v>981221</v>
      </c>
      <c r="AL89" s="25">
        <f t="shared" si="21"/>
        <v>381491</v>
      </c>
      <c r="AM89" s="25">
        <f t="shared" si="21"/>
        <v>0</v>
      </c>
      <c r="AN89" s="25">
        <f t="shared" si="21"/>
        <v>0</v>
      </c>
      <c r="AO89" s="25">
        <f t="shared" si="21"/>
        <v>833205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1054857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52374159</v>
      </c>
    </row>
    <row r="90" spans="1:84" x14ac:dyDescent="0.25">
      <c r="A90" s="31" t="s">
        <v>289</v>
      </c>
      <c r="B90" s="25"/>
      <c r="C90" s="273"/>
      <c r="D90" s="273"/>
      <c r="E90" s="273">
        <v>1841</v>
      </c>
      <c r="F90" s="273"/>
      <c r="G90" s="273"/>
      <c r="H90" s="273"/>
      <c r="I90" s="273"/>
      <c r="J90" s="273"/>
      <c r="K90" s="273">
        <v>16915</v>
      </c>
      <c r="L90" s="273">
        <v>5016</v>
      </c>
      <c r="M90" s="273"/>
      <c r="N90" s="273"/>
      <c r="O90" s="273"/>
      <c r="P90" s="273">
        <v>2887</v>
      </c>
      <c r="Q90" s="273">
        <v>715</v>
      </c>
      <c r="R90" s="273">
        <v>592</v>
      </c>
      <c r="S90" s="273">
        <v>784</v>
      </c>
      <c r="T90" s="273"/>
      <c r="U90" s="273">
        <v>2144</v>
      </c>
      <c r="V90" s="273"/>
      <c r="W90" s="273">
        <v>155</v>
      </c>
      <c r="X90" s="273">
        <v>1013</v>
      </c>
      <c r="Y90" s="273">
        <v>2451</v>
      </c>
      <c r="Z90" s="273"/>
      <c r="AA90" s="273"/>
      <c r="AB90" s="273">
        <v>942</v>
      </c>
      <c r="AC90" s="273">
        <v>172</v>
      </c>
      <c r="AD90" s="273"/>
      <c r="AE90" s="273">
        <v>8469</v>
      </c>
      <c r="AF90" s="273"/>
      <c r="AG90" s="273">
        <v>9496</v>
      </c>
      <c r="AH90" s="273"/>
      <c r="AI90" s="273"/>
      <c r="AJ90" s="273">
        <v>6781</v>
      </c>
      <c r="AK90" s="273"/>
      <c r="AL90" s="273"/>
      <c r="AM90" s="273"/>
      <c r="AN90" s="273"/>
      <c r="AO90" s="273">
        <v>1019</v>
      </c>
      <c r="AP90" s="273"/>
      <c r="AQ90" s="273"/>
      <c r="AR90" s="273"/>
      <c r="AS90" s="273"/>
      <c r="AT90" s="273"/>
      <c r="AU90" s="273"/>
      <c r="AV90" s="273">
        <v>894</v>
      </c>
      <c r="AW90" s="273"/>
      <c r="AX90" s="273"/>
      <c r="AY90" s="273">
        <v>3739</v>
      </c>
      <c r="AZ90" s="273"/>
      <c r="BA90" s="273">
        <v>2073</v>
      </c>
      <c r="BB90" s="273"/>
      <c r="BC90" s="273"/>
      <c r="BD90" s="273"/>
      <c r="BE90" s="273">
        <v>9392</v>
      </c>
      <c r="BF90" s="273">
        <v>1496</v>
      </c>
      <c r="BG90" s="273">
        <v>698</v>
      </c>
      <c r="BH90" s="273">
        <v>1506</v>
      </c>
      <c r="BI90" s="273"/>
      <c r="BJ90" s="273">
        <v>3427</v>
      </c>
      <c r="BK90" s="273"/>
      <c r="BL90" s="273">
        <v>2278</v>
      </c>
      <c r="BM90" s="273"/>
      <c r="BN90" s="273">
        <v>3061</v>
      </c>
      <c r="BO90" s="273"/>
      <c r="BP90" s="273"/>
      <c r="BQ90" s="273"/>
      <c r="BR90" s="273">
        <v>3139</v>
      </c>
      <c r="BS90" s="273"/>
      <c r="BT90" s="273"/>
      <c r="BU90" s="273"/>
      <c r="BV90" s="273">
        <v>1298</v>
      </c>
      <c r="BW90" s="273"/>
      <c r="BX90" s="273"/>
      <c r="BY90" s="273">
        <v>710</v>
      </c>
      <c r="BZ90" s="273"/>
      <c r="CA90" s="273"/>
      <c r="CB90" s="273"/>
      <c r="CC90" s="273"/>
      <c r="CD90" s="224" t="s">
        <v>247</v>
      </c>
      <c r="CE90" s="25">
        <f t="shared" si="20"/>
        <v>95103</v>
      </c>
      <c r="CF90" s="25">
        <f>BE59-CE90</f>
        <v>0</v>
      </c>
    </row>
    <row r="91" spans="1:84" x14ac:dyDescent="0.25">
      <c r="A91" s="21" t="s">
        <v>290</v>
      </c>
      <c r="B91" s="16"/>
      <c r="C91" s="273"/>
      <c r="D91" s="273"/>
      <c r="E91" s="273">
        <v>2078</v>
      </c>
      <c r="F91" s="273"/>
      <c r="G91" s="273"/>
      <c r="H91" s="273"/>
      <c r="I91" s="273"/>
      <c r="J91" s="273"/>
      <c r="K91" s="273">
        <v>40588</v>
      </c>
      <c r="L91" s="273">
        <v>4854</v>
      </c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>
        <v>1384</v>
      </c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>
        <v>905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49809</v>
      </c>
      <c r="CF91" s="25">
        <f>AY59-CE91</f>
        <v>0</v>
      </c>
    </row>
    <row r="92" spans="1:84" x14ac:dyDescent="0.25">
      <c r="A92" s="21" t="s">
        <v>291</v>
      </c>
      <c r="B92" s="16"/>
      <c r="C92" s="273"/>
      <c r="D92" s="273"/>
      <c r="E92" s="273">
        <v>600</v>
      </c>
      <c r="F92" s="273"/>
      <c r="G92" s="273"/>
      <c r="H92" s="273"/>
      <c r="I92" s="273"/>
      <c r="J92" s="273"/>
      <c r="K92" s="273"/>
      <c r="L92" s="273">
        <v>1636</v>
      </c>
      <c r="M92" s="273"/>
      <c r="N92" s="273"/>
      <c r="O92" s="273"/>
      <c r="P92" s="273">
        <v>288</v>
      </c>
      <c r="Q92" s="273">
        <v>51</v>
      </c>
      <c r="R92" s="273"/>
      <c r="S92" s="273">
        <v>69</v>
      </c>
      <c r="T92" s="273"/>
      <c r="U92" s="273">
        <v>148</v>
      </c>
      <c r="V92" s="273"/>
      <c r="W92" s="273">
        <v>12</v>
      </c>
      <c r="X92" s="273">
        <v>77</v>
      </c>
      <c r="Y92" s="273">
        <v>190</v>
      </c>
      <c r="Z92" s="273"/>
      <c r="AA92" s="273"/>
      <c r="AB92" s="273"/>
      <c r="AC92" s="273"/>
      <c r="AD92" s="273"/>
      <c r="AE92" s="273">
        <v>76</v>
      </c>
      <c r="AF92" s="273"/>
      <c r="AG92" s="273">
        <v>973</v>
      </c>
      <c r="AH92" s="273"/>
      <c r="AI92" s="273"/>
      <c r="AJ92" s="273">
        <v>298</v>
      </c>
      <c r="AK92" s="273">
        <v>75</v>
      </c>
      <c r="AL92" s="273">
        <v>75</v>
      </c>
      <c r="AM92" s="273"/>
      <c r="AN92" s="273"/>
      <c r="AO92" s="273">
        <v>332</v>
      </c>
      <c r="AP92" s="273"/>
      <c r="AQ92" s="273"/>
      <c r="AR92" s="273"/>
      <c r="AS92" s="273"/>
      <c r="AT92" s="273"/>
      <c r="AU92" s="273"/>
      <c r="AV92" s="273"/>
      <c r="AW92" s="273"/>
      <c r="AX92" s="264" t="s">
        <v>247</v>
      </c>
      <c r="AY92" s="264" t="s">
        <v>247</v>
      </c>
      <c r="AZ92" s="24" t="s">
        <v>247</v>
      </c>
      <c r="BA92" s="273"/>
      <c r="BB92" s="273"/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70</v>
      </c>
      <c r="BI92" s="273"/>
      <c r="BJ92" s="24" t="s">
        <v>247</v>
      </c>
      <c r="BK92" s="273"/>
      <c r="BL92" s="273">
        <v>266</v>
      </c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/>
      <c r="BT92" s="273"/>
      <c r="BU92" s="273"/>
      <c r="BV92" s="273">
        <v>46</v>
      </c>
      <c r="BW92" s="273"/>
      <c r="BX92" s="273"/>
      <c r="BY92" s="273"/>
      <c r="BZ92" s="273"/>
      <c r="CA92" s="273"/>
      <c r="CB92" s="273"/>
      <c r="CC92" s="24" t="s">
        <v>247</v>
      </c>
      <c r="CD92" s="24" t="s">
        <v>247</v>
      </c>
      <c r="CE92" s="25">
        <f t="shared" si="20"/>
        <v>5282</v>
      </c>
      <c r="CF92" s="16"/>
    </row>
    <row r="93" spans="1:84" x14ac:dyDescent="0.25">
      <c r="A93" s="21" t="s">
        <v>292</v>
      </c>
      <c r="B93" s="16"/>
      <c r="C93" s="273"/>
      <c r="D93" s="273"/>
      <c r="E93" s="273">
        <v>11208</v>
      </c>
      <c r="F93" s="273"/>
      <c r="G93" s="273"/>
      <c r="H93" s="273"/>
      <c r="I93" s="273"/>
      <c r="J93" s="273"/>
      <c r="K93" s="273">
        <v>160075</v>
      </c>
      <c r="L93" s="273">
        <v>30540</v>
      </c>
      <c r="M93" s="273"/>
      <c r="N93" s="273"/>
      <c r="O93" s="273"/>
      <c r="P93" s="273">
        <v>2114</v>
      </c>
      <c r="Q93" s="273"/>
      <c r="R93" s="273"/>
      <c r="S93" s="273"/>
      <c r="T93" s="273"/>
      <c r="U93" s="273"/>
      <c r="V93" s="273"/>
      <c r="W93" s="273">
        <v>396</v>
      </c>
      <c r="X93" s="273">
        <v>2582</v>
      </c>
      <c r="Y93" s="273">
        <v>6251</v>
      </c>
      <c r="Z93" s="273"/>
      <c r="AA93" s="273"/>
      <c r="AB93" s="273"/>
      <c r="AC93" s="273"/>
      <c r="AD93" s="273"/>
      <c r="AE93" s="273">
        <v>1399</v>
      </c>
      <c r="AF93" s="273"/>
      <c r="AG93" s="273">
        <v>17221</v>
      </c>
      <c r="AH93" s="273"/>
      <c r="AI93" s="273"/>
      <c r="AJ93" s="273">
        <v>337</v>
      </c>
      <c r="AK93" s="273">
        <v>1400</v>
      </c>
      <c r="AL93" s="273">
        <v>1400</v>
      </c>
      <c r="AM93" s="273"/>
      <c r="AN93" s="273"/>
      <c r="AO93" s="273">
        <v>6203</v>
      </c>
      <c r="AP93" s="273"/>
      <c r="AQ93" s="273"/>
      <c r="AR93" s="273"/>
      <c r="AS93" s="273"/>
      <c r="AT93" s="273"/>
      <c r="AU93" s="273"/>
      <c r="AV93" s="273"/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241126</v>
      </c>
      <c r="CF93" s="25">
        <f>BA59</f>
        <v>0</v>
      </c>
    </row>
    <row r="94" spans="1:84" x14ac:dyDescent="0.25">
      <c r="A94" s="21" t="s">
        <v>293</v>
      </c>
      <c r="B94" s="16"/>
      <c r="C94" s="277"/>
      <c r="D94" s="277"/>
      <c r="E94" s="277">
        <v>3.92</v>
      </c>
      <c r="F94" s="277"/>
      <c r="G94" s="277"/>
      <c r="H94" s="277"/>
      <c r="I94" s="277"/>
      <c r="J94" s="277"/>
      <c r="K94" s="277">
        <v>27.53</v>
      </c>
      <c r="L94" s="277">
        <v>10.68</v>
      </c>
      <c r="M94" s="277"/>
      <c r="N94" s="277"/>
      <c r="O94" s="277"/>
      <c r="P94" s="274">
        <v>1.1399999999999999</v>
      </c>
      <c r="Q94" s="274">
        <v>0.03</v>
      </c>
      <c r="R94" s="274"/>
      <c r="S94" s="278"/>
      <c r="T94" s="278"/>
      <c r="U94" s="279"/>
      <c r="V94" s="274"/>
      <c r="W94" s="274"/>
      <c r="X94" s="274"/>
      <c r="Y94" s="274"/>
      <c r="Z94" s="274"/>
      <c r="AA94" s="274"/>
      <c r="AB94" s="278"/>
      <c r="AC94" s="274"/>
      <c r="AD94" s="274"/>
      <c r="AE94" s="274"/>
      <c r="AF94" s="274"/>
      <c r="AG94" s="274">
        <v>10.32</v>
      </c>
      <c r="AH94" s="274"/>
      <c r="AI94" s="274"/>
      <c r="AJ94" s="274"/>
      <c r="AK94" s="274"/>
      <c r="AL94" s="274"/>
      <c r="AM94" s="274"/>
      <c r="AN94" s="274"/>
      <c r="AO94" s="274">
        <v>2.17</v>
      </c>
      <c r="AP94" s="274"/>
      <c r="AQ94" s="274"/>
      <c r="AR94" s="274"/>
      <c r="AS94" s="274"/>
      <c r="AT94" s="274"/>
      <c r="AU94" s="274"/>
      <c r="AV94" s="278"/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55.790000000000006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98855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1058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1403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1060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1404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1407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1062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/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/>
      <c r="D120" s="16"/>
      <c r="E120" s="16"/>
    </row>
    <row r="121" spans="1:5" x14ac:dyDescent="0.25">
      <c r="A121" s="16" t="s">
        <v>328</v>
      </c>
      <c r="B121" s="35" t="s">
        <v>299</v>
      </c>
      <c r="C121" s="292"/>
      <c r="D121" s="16"/>
      <c r="E121" s="16"/>
    </row>
    <row r="122" spans="1:5" x14ac:dyDescent="0.25">
      <c r="A122" s="16" t="s">
        <v>329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186</v>
      </c>
      <c r="D127" s="295">
        <v>665</v>
      </c>
      <c r="E127" s="16"/>
    </row>
    <row r="128" spans="1:5" x14ac:dyDescent="0.25">
      <c r="A128" s="16" t="s">
        <v>334</v>
      </c>
      <c r="B128" s="35" t="s">
        <v>299</v>
      </c>
      <c r="C128" s="294">
        <v>141</v>
      </c>
      <c r="D128" s="295">
        <v>15661</v>
      </c>
      <c r="E128" s="16"/>
    </row>
    <row r="129" spans="1:5" x14ac:dyDescent="0.25">
      <c r="A129" s="16" t="s">
        <v>335</v>
      </c>
      <c r="B129" s="35" t="s">
        <v>299</v>
      </c>
      <c r="C129" s="292"/>
      <c r="D129" s="295"/>
      <c r="E129" s="16"/>
    </row>
    <row r="130" spans="1:5" x14ac:dyDescent="0.25">
      <c r="A130" s="16" t="s">
        <v>336</v>
      </c>
      <c r="B130" s="35" t="s">
        <v>299</v>
      </c>
      <c r="C130" s="292"/>
      <c r="D130" s="295"/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/>
      <c r="D132" s="16"/>
      <c r="E132" s="16"/>
    </row>
    <row r="133" spans="1:5" x14ac:dyDescent="0.25">
      <c r="A133" s="16" t="s">
        <v>339</v>
      </c>
      <c r="B133" s="35" t="s">
        <v>299</v>
      </c>
      <c r="C133" s="292"/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18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/>
      <c r="D135" s="16"/>
      <c r="E135" s="16"/>
    </row>
    <row r="136" spans="1:5" x14ac:dyDescent="0.25">
      <c r="A136" s="16" t="s">
        <v>342</v>
      </c>
      <c r="B136" s="35" t="s">
        <v>299</v>
      </c>
      <c r="C136" s="292"/>
      <c r="D136" s="16"/>
      <c r="E136" s="16"/>
    </row>
    <row r="137" spans="1:5" x14ac:dyDescent="0.25">
      <c r="A137" s="16" t="s">
        <v>343</v>
      </c>
      <c r="B137" s="35" t="s">
        <v>299</v>
      </c>
      <c r="C137" s="292"/>
      <c r="D137" s="16"/>
      <c r="E137" s="16"/>
    </row>
    <row r="138" spans="1:5" x14ac:dyDescent="0.25">
      <c r="A138" s="16" t="s">
        <v>122</v>
      </c>
      <c r="B138" s="35" t="s">
        <v>299</v>
      </c>
      <c r="C138" s="292"/>
      <c r="D138" s="16"/>
      <c r="E138" s="16"/>
    </row>
    <row r="139" spans="1:5" x14ac:dyDescent="0.25">
      <c r="A139" s="16" t="s">
        <v>344</v>
      </c>
      <c r="B139" s="35" t="s">
        <v>299</v>
      </c>
      <c r="C139" s="294">
        <v>42</v>
      </c>
      <c r="D139" s="16"/>
      <c r="E139" s="16"/>
    </row>
    <row r="140" spans="1:5" x14ac:dyDescent="0.25">
      <c r="A140" s="16" t="s">
        <v>345</v>
      </c>
      <c r="B140" s="35"/>
      <c r="C140" s="292"/>
      <c r="D140" s="16"/>
      <c r="E140" s="16"/>
    </row>
    <row r="141" spans="1:5" x14ac:dyDescent="0.25">
      <c r="A141" s="16" t="s">
        <v>335</v>
      </c>
      <c r="B141" s="35" t="s">
        <v>299</v>
      </c>
      <c r="C141" s="292"/>
      <c r="D141" s="16"/>
      <c r="E141" s="16"/>
    </row>
    <row r="142" spans="1:5" x14ac:dyDescent="0.25">
      <c r="A142" s="16" t="s">
        <v>346</v>
      </c>
      <c r="B142" s="35" t="s">
        <v>299</v>
      </c>
      <c r="C142" s="292"/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60</v>
      </c>
    </row>
    <row r="144" spans="1:5" x14ac:dyDescent="0.25">
      <c r="A144" s="16" t="s">
        <v>348</v>
      </c>
      <c r="B144" s="35" t="s">
        <v>299</v>
      </c>
      <c r="C144" s="294">
        <f>42+25</f>
        <v>67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>
        <v>482096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149</v>
      </c>
      <c r="C154" s="295">
        <v>14</v>
      </c>
      <c r="D154" s="295">
        <v>23</v>
      </c>
      <c r="E154" s="25">
        <f>SUM(B154:D154)</f>
        <v>186</v>
      </c>
    </row>
    <row r="155" spans="1:6" x14ac:dyDescent="0.25">
      <c r="A155" s="16" t="s">
        <v>241</v>
      </c>
      <c r="B155" s="295">
        <v>477</v>
      </c>
      <c r="C155" s="295">
        <v>74</v>
      </c>
      <c r="D155" s="295">
        <v>114</v>
      </c>
      <c r="E155" s="25">
        <f>SUM(B155:D155)</f>
        <v>665</v>
      </c>
    </row>
    <row r="156" spans="1:6" x14ac:dyDescent="0.25">
      <c r="A156" s="16" t="s">
        <v>355</v>
      </c>
      <c r="B156" s="295">
        <v>9073</v>
      </c>
      <c r="C156" s="295">
        <v>6070</v>
      </c>
      <c r="D156" s="295">
        <v>7148</v>
      </c>
      <c r="E156" s="25">
        <f>SUM(B156:D156)</f>
        <v>22291</v>
      </c>
    </row>
    <row r="157" spans="1:6" x14ac:dyDescent="0.25">
      <c r="A157" s="16" t="s">
        <v>286</v>
      </c>
      <c r="B157" s="295">
        <v>3221779</v>
      </c>
      <c r="C157" s="295">
        <v>499815</v>
      </c>
      <c r="D157" s="295">
        <v>769985</v>
      </c>
      <c r="E157" s="25">
        <f>SUM(B157:D157)</f>
        <v>4491579</v>
      </c>
      <c r="F157" s="14"/>
    </row>
    <row r="158" spans="1:6" x14ac:dyDescent="0.25">
      <c r="A158" s="16" t="s">
        <v>287</v>
      </c>
      <c r="B158" s="295">
        <v>19284899</v>
      </c>
      <c r="C158" s="295">
        <v>12586906</v>
      </c>
      <c r="D158" s="295">
        <v>8782667</v>
      </c>
      <c r="E158" s="25">
        <f>SUM(B158:D158)</f>
        <v>40654472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>
        <v>113</v>
      </c>
      <c r="C160" s="272">
        <v>8</v>
      </c>
      <c r="D160" s="272">
        <v>20</v>
      </c>
      <c r="E160" s="25">
        <f>SUM(B160:D160)</f>
        <v>141</v>
      </c>
    </row>
    <row r="161" spans="1:5" x14ac:dyDescent="0.25">
      <c r="A161" s="16" t="s">
        <v>241</v>
      </c>
      <c r="B161" s="272">
        <v>1580</v>
      </c>
      <c r="C161" s="272">
        <v>9554</v>
      </c>
      <c r="D161" s="272">
        <v>4527</v>
      </c>
      <c r="E161" s="25">
        <f>SUM(B161:D161)</f>
        <v>15661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f>SUM(B162:D162)</f>
        <v>0</v>
      </c>
    </row>
    <row r="163" spans="1:5" x14ac:dyDescent="0.25">
      <c r="A163" s="16" t="s">
        <v>286</v>
      </c>
      <c r="B163" s="272">
        <v>2007651</v>
      </c>
      <c r="C163" s="272">
        <v>2953227</v>
      </c>
      <c r="D163" s="272">
        <v>2267231</v>
      </c>
      <c r="E163" s="25">
        <f>SUM(B163:D163)</f>
        <v>7228109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>
        <v>5263255</v>
      </c>
      <c r="C173" s="272">
        <v>1938442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963255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149179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149774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2001797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/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247940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132367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/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3644312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23035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478255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501290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273112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187663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460775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86971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128234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/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215205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/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365138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365138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358540</v>
      </c>
      <c r="C211" s="292"/>
      <c r="D211" s="295"/>
      <c r="E211" s="25">
        <f t="shared" ref="E211:E219" si="22">SUM(B211:C211)-D211</f>
        <v>358540</v>
      </c>
    </row>
    <row r="212" spans="1:5" x14ac:dyDescent="0.25">
      <c r="A212" s="16" t="s">
        <v>390</v>
      </c>
      <c r="B212" s="292">
        <v>719936</v>
      </c>
      <c r="C212" s="292"/>
      <c r="D212" s="295"/>
      <c r="E212" s="25">
        <f t="shared" si="22"/>
        <v>719936</v>
      </c>
    </row>
    <row r="213" spans="1:5" x14ac:dyDescent="0.25">
      <c r="A213" s="16" t="s">
        <v>391</v>
      </c>
      <c r="B213" s="292">
        <v>14473214</v>
      </c>
      <c r="C213" s="292">
        <f>14700151-B213</f>
        <v>226937</v>
      </c>
      <c r="D213" s="295"/>
      <c r="E213" s="25">
        <f t="shared" si="22"/>
        <v>14700151</v>
      </c>
    </row>
    <row r="214" spans="1:5" x14ac:dyDescent="0.25">
      <c r="A214" s="16" t="s">
        <v>393</v>
      </c>
      <c r="B214" s="292"/>
      <c r="C214" s="292"/>
      <c r="D214" s="295"/>
      <c r="E214" s="25">
        <f t="shared" si="22"/>
        <v>0</v>
      </c>
    </row>
    <row r="215" spans="1:5" x14ac:dyDescent="0.25">
      <c r="A215" s="16" t="s">
        <v>394</v>
      </c>
      <c r="B215" s="292">
        <v>7373508</v>
      </c>
      <c r="C215" s="292">
        <f>7415860-B215</f>
        <v>42352</v>
      </c>
      <c r="D215" s="295"/>
      <c r="E215" s="25">
        <f t="shared" si="22"/>
        <v>7415860</v>
      </c>
    </row>
    <row r="216" spans="1:5" x14ac:dyDescent="0.25">
      <c r="A216" s="16" t="s">
        <v>395</v>
      </c>
      <c r="B216" s="292">
        <v>9389639</v>
      </c>
      <c r="C216" s="292">
        <f>9501384-B216</f>
        <v>111745</v>
      </c>
      <c r="D216" s="295"/>
      <c r="E216" s="25">
        <f t="shared" si="22"/>
        <v>9501384</v>
      </c>
    </row>
    <row r="217" spans="1:5" x14ac:dyDescent="0.25">
      <c r="A217" s="16" t="s">
        <v>396</v>
      </c>
      <c r="B217" s="292"/>
      <c r="C217" s="292"/>
      <c r="D217" s="295"/>
      <c r="E217" s="25">
        <f t="shared" si="22"/>
        <v>0</v>
      </c>
    </row>
    <row r="218" spans="1:5" x14ac:dyDescent="0.25">
      <c r="A218" s="16" t="s">
        <v>397</v>
      </c>
      <c r="B218" s="292"/>
      <c r="C218" s="292"/>
      <c r="D218" s="295"/>
      <c r="E218" s="25">
        <f t="shared" si="22"/>
        <v>0</v>
      </c>
    </row>
    <row r="219" spans="1:5" x14ac:dyDescent="0.25">
      <c r="A219" s="16" t="s">
        <v>398</v>
      </c>
      <c r="B219" s="292">
        <v>3560648</v>
      </c>
      <c r="C219" s="292">
        <f>8480832-B219</f>
        <v>4920184</v>
      </c>
      <c r="D219" s="295" t="s">
        <v>392</v>
      </c>
      <c r="E219" s="25">
        <f t="shared" si="22"/>
        <v>8480832</v>
      </c>
    </row>
    <row r="220" spans="1:5" x14ac:dyDescent="0.25">
      <c r="A220" s="16" t="s">
        <v>229</v>
      </c>
      <c r="B220" s="25">
        <f>SUM(B211:B219)</f>
        <v>35875485</v>
      </c>
      <c r="C220" s="225">
        <f>SUM(C211:C219)</f>
        <v>5301218</v>
      </c>
      <c r="D220" s="25">
        <f>SUM(D211:D219)</f>
        <v>0</v>
      </c>
      <c r="E220" s="25">
        <f>SUM(E211:E219)</f>
        <v>41176703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717974</v>
      </c>
      <c r="C225" s="292">
        <f>718340-B225</f>
        <v>366</v>
      </c>
      <c r="D225" s="295"/>
      <c r="E225" s="25">
        <f t="shared" ref="E225:E232" si="23">SUM(B225:C225)-D225</f>
        <v>718340</v>
      </c>
    </row>
    <row r="226" spans="1:6" x14ac:dyDescent="0.25">
      <c r="A226" s="16" t="s">
        <v>391</v>
      </c>
      <c r="B226" s="292">
        <v>7827442</v>
      </c>
      <c r="C226" s="292">
        <f>8588022-B226</f>
        <v>760580</v>
      </c>
      <c r="D226" s="295"/>
      <c r="E226" s="25">
        <f t="shared" si="23"/>
        <v>8588022</v>
      </c>
    </row>
    <row r="227" spans="1:6" x14ac:dyDescent="0.25">
      <c r="A227" s="16" t="s">
        <v>393</v>
      </c>
      <c r="B227" s="292"/>
      <c r="C227" s="292"/>
      <c r="D227" s="295"/>
      <c r="E227" s="25">
        <f t="shared" si="23"/>
        <v>0</v>
      </c>
    </row>
    <row r="228" spans="1:6" x14ac:dyDescent="0.25">
      <c r="A228" s="16" t="s">
        <v>394</v>
      </c>
      <c r="B228" s="292">
        <v>5666987</v>
      </c>
      <c r="C228" s="292">
        <f>5850758-B228</f>
        <v>183771</v>
      </c>
      <c r="D228" s="295"/>
      <c r="E228" s="25">
        <f t="shared" si="23"/>
        <v>5850758</v>
      </c>
    </row>
    <row r="229" spans="1:6" x14ac:dyDescent="0.25">
      <c r="A229" s="16" t="s">
        <v>395</v>
      </c>
      <c r="B229" s="292">
        <v>7835116</v>
      </c>
      <c r="C229" s="292">
        <f>8420170-B229</f>
        <v>585054</v>
      </c>
      <c r="D229" s="295"/>
      <c r="E229" s="25">
        <f t="shared" si="23"/>
        <v>8420170</v>
      </c>
    </row>
    <row r="230" spans="1:6" x14ac:dyDescent="0.25">
      <c r="A230" s="16" t="s">
        <v>396</v>
      </c>
      <c r="B230" s="292"/>
      <c r="C230" s="292"/>
      <c r="D230" s="295"/>
      <c r="E230" s="25">
        <f t="shared" si="23"/>
        <v>0</v>
      </c>
    </row>
    <row r="231" spans="1:6" x14ac:dyDescent="0.25">
      <c r="A231" s="16" t="s">
        <v>397</v>
      </c>
      <c r="B231" s="292"/>
      <c r="C231" s="292"/>
      <c r="D231" s="295"/>
      <c r="E231" s="25">
        <f t="shared" si="23"/>
        <v>0</v>
      </c>
    </row>
    <row r="232" spans="1:6" x14ac:dyDescent="0.25">
      <c r="A232" s="16" t="s">
        <v>398</v>
      </c>
      <c r="B232" s="292"/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22047519</v>
      </c>
      <c r="C233" s="225">
        <f>SUM(C224:C232)</f>
        <v>1529771</v>
      </c>
      <c r="D233" s="25">
        <f>SUM(D224:D232)</f>
        <v>0</v>
      </c>
      <c r="E233" s="25">
        <f>SUM(E224:E232)</f>
        <v>23577290</v>
      </c>
    </row>
    <row r="234" spans="1:6" x14ac:dyDescent="0.25">
      <c r="A234" s="16"/>
      <c r="B234" s="16"/>
      <c r="C234" s="22"/>
      <c r="D234" s="16"/>
      <c r="E234" s="16"/>
      <c r="F234" s="11">
        <f>E220-E233</f>
        <v>17599413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48" t="s">
        <v>401</v>
      </c>
      <c r="C236" s="348"/>
      <c r="D236" s="30"/>
      <c r="E236" s="30"/>
    </row>
    <row r="237" spans="1:6" x14ac:dyDescent="0.25">
      <c r="A237" s="43" t="s">
        <v>401</v>
      </c>
      <c r="B237" s="30"/>
      <c r="C237" s="292">
        <v>2368570</v>
      </c>
      <c r="D237" s="32">
        <f>C237</f>
        <v>2368570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92">
        <v>2273100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92">
        <v>10639478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/>
      <c r="D241" s="16"/>
      <c r="E241" s="16"/>
    </row>
    <row r="242" spans="1:5" x14ac:dyDescent="0.25">
      <c r="A242" s="16" t="s">
        <v>406</v>
      </c>
      <c r="B242" s="35" t="s">
        <v>299</v>
      </c>
      <c r="C242" s="292"/>
      <c r="D242" s="16"/>
      <c r="E242" s="16"/>
    </row>
    <row r="243" spans="1:5" x14ac:dyDescent="0.25">
      <c r="A243" s="16" t="s">
        <v>407</v>
      </c>
      <c r="B243" s="35" t="s">
        <v>299</v>
      </c>
      <c r="C243" s="292"/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5128564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f>SUM(C239:C244)</f>
        <v>18041142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4">
        <v>441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193782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672211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f>SUM(C249:C251)</f>
        <v>865993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/>
      <c r="D254" s="16"/>
      <c r="E254" s="16"/>
    </row>
    <row r="255" spans="1:5" x14ac:dyDescent="0.25">
      <c r="A255" s="16" t="s">
        <v>415</v>
      </c>
      <c r="B255" s="35" t="s">
        <v>299</v>
      </c>
      <c r="C255" s="292"/>
      <c r="D255" s="16"/>
      <c r="E255" s="16"/>
    </row>
    <row r="256" spans="1:5" x14ac:dyDescent="0.25">
      <c r="A256" s="16" t="s">
        <v>417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f>D237+D245+D252+D256</f>
        <v>21275705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8135089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/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9772621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5518701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152863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/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910287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523107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/>
      <c r="D275" s="16"/>
      <c r="E275" s="16"/>
    </row>
    <row r="276" spans="1:5" x14ac:dyDescent="0.25">
      <c r="A276" s="16" t="s">
        <v>431</v>
      </c>
      <c r="B276" s="16"/>
      <c r="C276" s="22"/>
      <c r="D276" s="25">
        <f>SUM(C266:C268)-C269+SUM(C270:C275)</f>
        <v>13975266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>
        <v>2838061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92"/>
      <c r="D279" s="16"/>
      <c r="E279" s="16"/>
    </row>
    <row r="280" spans="1:5" x14ac:dyDescent="0.25">
      <c r="A280" s="16" t="s">
        <v>433</v>
      </c>
      <c r="B280" s="35" t="s">
        <v>299</v>
      </c>
      <c r="C280" s="292"/>
      <c r="D280" s="16"/>
      <c r="E280" s="16"/>
    </row>
    <row r="281" spans="1:5" x14ac:dyDescent="0.25">
      <c r="A281" s="16" t="s">
        <v>434</v>
      </c>
      <c r="B281" s="16"/>
      <c r="C281" s="22"/>
      <c r="D281" s="25">
        <f>SUM(C278:C280)</f>
        <v>2838061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358540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719936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14700151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/>
      <c r="D286" s="16"/>
      <c r="E286" s="16"/>
    </row>
    <row r="287" spans="1:5" x14ac:dyDescent="0.25">
      <c r="A287" s="16" t="s">
        <v>437</v>
      </c>
      <c r="B287" s="35" t="s">
        <v>299</v>
      </c>
      <c r="C287" s="292">
        <v>7415860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9501384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/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8480832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f>SUM(C283:C290)</f>
        <v>41176703</v>
      </c>
      <c r="E291" s="16"/>
    </row>
    <row r="292" spans="1:5" x14ac:dyDescent="0.25">
      <c r="A292" s="16" t="s">
        <v>440</v>
      </c>
      <c r="B292" s="35" t="s">
        <v>299</v>
      </c>
      <c r="C292" s="292">
        <v>23577290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f>D291-C292</f>
        <v>17599413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/>
      <c r="D295" s="16"/>
      <c r="E295" s="16"/>
    </row>
    <row r="296" spans="1:5" x14ac:dyDescent="0.25">
      <c r="A296" s="16" t="s">
        <v>444</v>
      </c>
      <c r="B296" s="35" t="s">
        <v>299</v>
      </c>
      <c r="C296" s="292"/>
      <c r="D296" s="16"/>
      <c r="E296" s="16"/>
    </row>
    <row r="297" spans="1:5" x14ac:dyDescent="0.25">
      <c r="A297" s="16" t="s">
        <v>445</v>
      </c>
      <c r="B297" s="35" t="s">
        <v>299</v>
      </c>
      <c r="C297" s="292"/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78151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f>C295-C296+C297+C298</f>
        <v>78151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/>
      <c r="D302" s="16"/>
      <c r="E302" s="16"/>
    </row>
    <row r="303" spans="1:5" x14ac:dyDescent="0.25">
      <c r="A303" s="16" t="s">
        <v>449</v>
      </c>
      <c r="B303" s="35" t="s">
        <v>299</v>
      </c>
      <c r="C303" s="292"/>
      <c r="D303" s="16"/>
      <c r="E303" s="16"/>
    </row>
    <row r="304" spans="1:5" x14ac:dyDescent="0.25">
      <c r="A304" s="16" t="s">
        <v>450</v>
      </c>
      <c r="B304" s="35" t="s">
        <v>299</v>
      </c>
      <c r="C304" s="292"/>
      <c r="D304" s="16"/>
      <c r="E304" s="16"/>
    </row>
    <row r="305" spans="1:6" x14ac:dyDescent="0.25">
      <c r="A305" s="16" t="s">
        <v>451</v>
      </c>
      <c r="B305" s="35" t="s">
        <v>299</v>
      </c>
      <c r="C305" s="292"/>
      <c r="D305" s="16"/>
      <c r="E305" s="16"/>
    </row>
    <row r="306" spans="1:6" x14ac:dyDescent="0.25">
      <c r="A306" s="16" t="s">
        <v>452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f>D276+D281+D293+D299+D306</f>
        <v>34490891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34490891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92"/>
      <c r="D314" s="16"/>
      <c r="E314" s="16"/>
    </row>
    <row r="315" spans="1:6" x14ac:dyDescent="0.25">
      <c r="A315" s="16" t="s">
        <v>457</v>
      </c>
      <c r="B315" s="35" t="s">
        <v>299</v>
      </c>
      <c r="C315" s="292">
        <v>3550840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92">
        <v>4577198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92">
        <v>330390</v>
      </c>
      <c r="D317" s="16"/>
      <c r="E317" s="16"/>
    </row>
    <row r="318" spans="1:6" x14ac:dyDescent="0.25">
      <c r="A318" s="16" t="s">
        <v>460</v>
      </c>
      <c r="B318" s="35" t="s">
        <v>299</v>
      </c>
      <c r="C318" s="292">
        <v>101504</v>
      </c>
      <c r="D318" s="16"/>
      <c r="E318" s="16"/>
    </row>
    <row r="319" spans="1:6" x14ac:dyDescent="0.25">
      <c r="A319" s="16" t="s">
        <v>461</v>
      </c>
      <c r="B319" s="35" t="s">
        <v>299</v>
      </c>
      <c r="C319" s="292">
        <v>1839702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92"/>
      <c r="D320" s="16"/>
      <c r="E320" s="16"/>
    </row>
    <row r="321" spans="1:5" x14ac:dyDescent="0.25">
      <c r="A321" s="16" t="s">
        <v>463</v>
      </c>
      <c r="B321" s="35" t="s">
        <v>299</v>
      </c>
      <c r="C321" s="292"/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3423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1402225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f>SUM(C314:C323)</f>
        <v>11805282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/>
      <c r="D326" s="16"/>
      <c r="E326" s="16"/>
    </row>
    <row r="327" spans="1:5" x14ac:dyDescent="0.25">
      <c r="A327" s="16" t="s">
        <v>469</v>
      </c>
      <c r="B327" s="35" t="s">
        <v>299</v>
      </c>
      <c r="C327" s="292"/>
      <c r="D327" s="16"/>
      <c r="E327" s="16"/>
    </row>
    <row r="328" spans="1:5" x14ac:dyDescent="0.25">
      <c r="A328" s="16" t="s">
        <v>470</v>
      </c>
      <c r="B328" s="35" t="s">
        <v>299</v>
      </c>
      <c r="C328" s="292">
        <v>960231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f>SUM(C326:C328)</f>
        <v>960231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/>
      <c r="D331" s="16"/>
      <c r="E331" s="16"/>
    </row>
    <row r="332" spans="1:5" x14ac:dyDescent="0.25">
      <c r="A332" s="16" t="s">
        <v>474</v>
      </c>
      <c r="B332" s="35" t="s">
        <v>299</v>
      </c>
      <c r="C332" s="292"/>
      <c r="D332" s="16"/>
      <c r="E332" s="16"/>
    </row>
    <row r="333" spans="1:5" x14ac:dyDescent="0.25">
      <c r="A333" s="16" t="s">
        <v>475</v>
      </c>
      <c r="B333" s="35" t="s">
        <v>299</v>
      </c>
      <c r="C333" s="292">
        <f>10067583+C323</f>
        <v>11469808</v>
      </c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219460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 t="s">
        <v>392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/>
      <c r="D336" s="16"/>
      <c r="E336" s="16"/>
    </row>
    <row r="337" spans="1:5" x14ac:dyDescent="0.25">
      <c r="A337" s="21" t="s">
        <v>479</v>
      </c>
      <c r="B337" s="35" t="s">
        <v>299</v>
      </c>
      <c r="C337" s="298"/>
      <c r="D337" s="16"/>
      <c r="E337" s="16"/>
    </row>
    <row r="338" spans="1:5" x14ac:dyDescent="0.25">
      <c r="A338" s="16" t="s">
        <v>480</v>
      </c>
      <c r="B338" s="35" t="s">
        <v>299</v>
      </c>
      <c r="C338" s="292" t="s">
        <v>392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11689268</v>
      </c>
      <c r="E339" s="16"/>
    </row>
    <row r="340" spans="1:5" x14ac:dyDescent="0.25">
      <c r="A340" s="16" t="s">
        <v>481</v>
      </c>
      <c r="B340" s="16"/>
      <c r="C340" s="22"/>
      <c r="D340" s="25">
        <f>C323</f>
        <v>1402225</v>
      </c>
      <c r="E340" s="16"/>
    </row>
    <row r="341" spans="1:5" x14ac:dyDescent="0.25">
      <c r="A341" s="16" t="s">
        <v>482</v>
      </c>
      <c r="B341" s="16"/>
      <c r="C341" s="22"/>
      <c r="D341" s="25">
        <f>D339-D340</f>
        <v>10287043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11438335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/>
      <c r="D345" s="16"/>
      <c r="E345" s="16"/>
    </row>
    <row r="346" spans="1:5" x14ac:dyDescent="0.25">
      <c r="A346" s="16" t="s">
        <v>485</v>
      </c>
      <c r="B346" s="35" t="s">
        <v>299</v>
      </c>
      <c r="C346" s="293"/>
      <c r="D346" s="16"/>
      <c r="E346" s="16"/>
    </row>
    <row r="347" spans="1:5" x14ac:dyDescent="0.25">
      <c r="A347" s="16" t="s">
        <v>486</v>
      </c>
      <c r="B347" s="35" t="s">
        <v>299</v>
      </c>
      <c r="C347" s="293"/>
      <c r="D347" s="16"/>
      <c r="E347" s="16"/>
    </row>
    <row r="348" spans="1:5" x14ac:dyDescent="0.25">
      <c r="A348" s="16" t="s">
        <v>487</v>
      </c>
      <c r="B348" s="35" t="s">
        <v>299</v>
      </c>
      <c r="C348" s="293"/>
      <c r="D348" s="16"/>
      <c r="E348" s="16"/>
    </row>
    <row r="349" spans="1:5" x14ac:dyDescent="0.25">
      <c r="A349" s="16" t="s">
        <v>488</v>
      </c>
      <c r="B349" s="35" t="s">
        <v>299</v>
      </c>
      <c r="C349" s="293"/>
      <c r="D349" s="16"/>
      <c r="E349" s="16"/>
    </row>
    <row r="350" spans="1:5" x14ac:dyDescent="0.25">
      <c r="A350" s="16" t="s">
        <v>489</v>
      </c>
      <c r="B350" s="16"/>
      <c r="C350" s="22"/>
      <c r="D350" s="25">
        <f>D324+D329+D341+C343+C347+C348</f>
        <v>34490891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f>D308</f>
        <v>34490891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2">
        <v>11719687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2">
        <v>40654472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f>SUM(C358:C359)</f>
        <v>52374159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2368570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v>18041142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865993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f>D256</f>
        <v>0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f>SUM(C362:C365)</f>
        <v>21275705</v>
      </c>
      <c r="E366" s="16"/>
    </row>
    <row r="367" spans="1:5" x14ac:dyDescent="0.25">
      <c r="A367" s="16" t="s">
        <v>500</v>
      </c>
      <c r="B367" s="16"/>
      <c r="C367" s="22"/>
      <c r="D367" s="25">
        <f>D360-D366</f>
        <v>31098454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72913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/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/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/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/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/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/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/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70342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154247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725564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514</v>
      </c>
      <c r="B381" s="35"/>
      <c r="C381" s="35"/>
      <c r="D381" s="25">
        <f>SUM(C370:C380)</f>
        <v>1023066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>
        <v>1324830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f>D381+C382</f>
        <v>2347896</v>
      </c>
      <c r="E383" s="16"/>
    </row>
    <row r="384" spans="1:6" x14ac:dyDescent="0.25">
      <c r="A384" s="16" t="s">
        <v>517</v>
      </c>
      <c r="B384" s="16"/>
      <c r="C384" s="22"/>
      <c r="D384" s="25">
        <f>D367+D383</f>
        <v>33446350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16280974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3644312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494245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3293377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>
        <v>406162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8382333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1553195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501290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4">
        <v>460775</v>
      </c>
      <c r="D397" s="16"/>
      <c r="E397" s="16"/>
    </row>
    <row r="398" spans="1:5" x14ac:dyDescent="0.25">
      <c r="A398" s="16" t="s">
        <v>525</v>
      </c>
      <c r="B398" s="35" t="s">
        <v>299</v>
      </c>
      <c r="C398" s="294">
        <v>248689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94">
        <v>365138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/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/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41465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/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/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/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/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507870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/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58265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111139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/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/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354718</v>
      </c>
      <c r="D414" s="25">
        <v>0</v>
      </c>
      <c r="E414" s="204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f>SUM(C401:C414)</f>
        <v>1073457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f>SUM(C389:C399,D415)</f>
        <v>36703947</v>
      </c>
      <c r="E416" s="25"/>
    </row>
    <row r="417" spans="1:13" x14ac:dyDescent="0.25">
      <c r="A417" s="25" t="s">
        <v>531</v>
      </c>
      <c r="B417" s="16"/>
      <c r="C417" s="22"/>
      <c r="D417" s="25">
        <f>D384-D416</f>
        <v>-3257597</v>
      </c>
      <c r="E417" s="25"/>
    </row>
    <row r="418" spans="1:13" x14ac:dyDescent="0.25">
      <c r="A418" s="25" t="s">
        <v>532</v>
      </c>
      <c r="B418" s="16"/>
      <c r="C418" s="294">
        <v>894094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f>SUM(C418:C419)</f>
        <v>894094</v>
      </c>
      <c r="E420" s="25"/>
      <c r="F420" s="11">
        <f>D420-C399</f>
        <v>528956</v>
      </c>
    </row>
    <row r="421" spans="1:13" x14ac:dyDescent="0.25">
      <c r="A421" s="25" t="s">
        <v>535</v>
      </c>
      <c r="B421" s="16"/>
      <c r="C421" s="22"/>
      <c r="D421" s="25">
        <f>D417+D420</f>
        <v>-2363503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f>D421+C422-C423</f>
        <v>-2363503</v>
      </c>
      <c r="E424" s="16"/>
    </row>
    <row r="426" spans="1:13" ht="29.1" customHeight="1" x14ac:dyDescent="0.25">
      <c r="A426" s="349" t="s">
        <v>539</v>
      </c>
      <c r="B426" s="349"/>
      <c r="C426" s="349"/>
      <c r="D426" s="349"/>
      <c r="E426" s="349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85711</v>
      </c>
      <c r="E612" s="219">
        <f>SUM(C624:D647)+SUM(C668:D713)</f>
        <v>33260387.969257154</v>
      </c>
      <c r="F612" s="219">
        <f>CE64-(AX64+BD64+BE64+BG64+BJ64+BN64+BP64+BQ64+CB64+CC64+CD64)</f>
        <v>3033700</v>
      </c>
      <c r="G612" s="217">
        <f>CE91-(AX91+AY91+BD91+BE91+BG91+BJ91+BN91+BP91+BQ91+CB91+CC91+CD91)</f>
        <v>49809</v>
      </c>
      <c r="H612" s="222">
        <f>CE60-(AX60+AY60+AZ60+BD60+BE60+BG60+BJ60+BN60+BO60+BP60+BQ60+BR60+CB60+CC60+CD60)</f>
        <v>154.07</v>
      </c>
      <c r="I612" s="217">
        <f>CE92-(AX92+AY92+AZ92+BD92+BE92+BF92+BG92+BJ92+BN92+BO92+BP92+BQ92+BR92+CB92+CC92+CD92)</f>
        <v>5282</v>
      </c>
      <c r="J612" s="217">
        <f>CE93-(AX93+AY93+AZ93+BA93+BD93+BE93+BF93+BG93+BJ93+BN93+BO93+BP93+BQ93+BR93+CB93+CC93+CD93)</f>
        <v>241126</v>
      </c>
      <c r="K612" s="217">
        <f>CE89-(AW89+AX89+AY89+AZ89+BA89+BB89+BC89+BD89+BE89+BF89+BG89+BH89+BI89+BJ89+BK89+BL89+BM89+BN89+BO89+BP89+BQ89+BR89+BS89+BT89+BU89+BV89+BW89+BX89+CB89+CC89+CD89)</f>
        <v>52374159</v>
      </c>
      <c r="L612" s="223">
        <f>CE94-(AW94+AX94+AY94+AZ94+BA94+BB94+BC94+BD94+BE94+BF94+BG94+BH94+BI94+BJ94+BK94+BL94+BM94+BN94+BO94+BP94+BQ94+BR94+BS94+BT94+BU94+BV94+BW94+BX94+BY94+BZ94+CA94+CB94+CC94+CD94)</f>
        <v>55.790000000000006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1173786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907193</v>
      </c>
      <c r="D615" s="217">
        <f>SUM(C614:C615)</f>
        <v>2080979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918075</v>
      </c>
      <c r="D617" s="217">
        <f>(D615/D612)*BJ90</f>
        <v>83204.198212598145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61063</v>
      </c>
      <c r="D618" s="217">
        <f>(D615/D612)*BG90</f>
        <v>16946.75528228582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1266884</v>
      </c>
      <c r="D619" s="217">
        <f>(D615/D612)*BN90</f>
        <v>74318.077247961177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2420491.030742845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305055</v>
      </c>
      <c r="D624" s="217">
        <f>(D615/D612)*BD90</f>
        <v>0</v>
      </c>
      <c r="E624" s="219">
        <f>(E623/E612)*SUM(C624:D624)</f>
        <v>22200.068503883715</v>
      </c>
      <c r="F624" s="219">
        <f>SUM(C624:E624)</f>
        <v>327255.06850388373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1116531</v>
      </c>
      <c r="D625" s="217">
        <f>(D615/D612)*AY90</f>
        <v>90779.252149665743</v>
      </c>
      <c r="E625" s="219">
        <f>(E623/E612)*SUM(C625:D625)</f>
        <v>87860.780197550281</v>
      </c>
      <c r="F625" s="219">
        <f>(F624/F612)*AY64</f>
        <v>43517.362196423099</v>
      </c>
      <c r="G625" s="217">
        <f>SUM(C625:F625)</f>
        <v>1338688.3945436392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510120</v>
      </c>
      <c r="D626" s="217">
        <f>(D615/D612)*BR90</f>
        <v>76211.840732228069</v>
      </c>
      <c r="E626" s="219">
        <f>(E623/E612)*SUM(C626:D626)</f>
        <v>42669.705562156654</v>
      </c>
      <c r="F626" s="219">
        <f>(F624/F612)*BR64</f>
        <v>2984.8527360986463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83275</v>
      </c>
      <c r="D628" s="217">
        <f>(D615/D612)*AZ90</f>
        <v>0</v>
      </c>
      <c r="E628" s="219">
        <f>(E623/E612)*SUM(C628:D628)</f>
        <v>6060.2537400171004</v>
      </c>
      <c r="F628" s="219">
        <f>(F624/F612)*AZ64</f>
        <v>9054.0173417503283</v>
      </c>
      <c r="G628" s="217">
        <f>(G625/G612)*AZ91</f>
        <v>24323.174467706507</v>
      </c>
      <c r="H628" s="219">
        <f>SUM(C626:G628)</f>
        <v>754698.84457995719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618274</v>
      </c>
      <c r="D629" s="217">
        <f>(D615/D612)*BF90</f>
        <v>36321.412467477923</v>
      </c>
      <c r="E629" s="219">
        <f>(E623/E612)*SUM(C629:D629)</f>
        <v>47637.517821724039</v>
      </c>
      <c r="F629" s="219">
        <f>(F624/F612)*BF64</f>
        <v>8035.2623999463667</v>
      </c>
      <c r="G629" s="217">
        <f>(G625/G612)*BF91</f>
        <v>0</v>
      </c>
      <c r="H629" s="219">
        <f>(H628/H612)*BF60</f>
        <v>32231.572644487045</v>
      </c>
      <c r="I629" s="217">
        <f>SUM(C629:H629)</f>
        <v>742499.76533363538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127353</v>
      </c>
      <c r="D630" s="217">
        <f>(D615/D612)*BA90</f>
        <v>50330.406447247144</v>
      </c>
      <c r="E630" s="219">
        <f>(E623/E612)*SUM(C630:D630)</f>
        <v>12930.729852427596</v>
      </c>
      <c r="F630" s="219">
        <f>(F624/F612)*BA64</f>
        <v>2105.5779022735624</v>
      </c>
      <c r="G630" s="217">
        <f>(G625/G612)*BA91</f>
        <v>0</v>
      </c>
      <c r="H630" s="219">
        <f>(H628/H612)*BA60</f>
        <v>30125.254067415703</v>
      </c>
      <c r="I630" s="217">
        <f>(I629/I612)*BA92</f>
        <v>0</v>
      </c>
      <c r="J630" s="217">
        <f>SUM(C630:I630)</f>
        <v>222844.96826936398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105884</v>
      </c>
      <c r="D632" s="217">
        <f>(D615/D612)*BB90</f>
        <v>0</v>
      </c>
      <c r="E632" s="219">
        <f>(E623/E612)*SUM(C632:D632)</f>
        <v>7705.6008046589086</v>
      </c>
      <c r="F632" s="219">
        <f>(F624/F612)*BB64</f>
        <v>0</v>
      </c>
      <c r="G632" s="217">
        <f>(G625/G612)*BB91</f>
        <v>0</v>
      </c>
      <c r="H632" s="219">
        <f>(H628/H612)*BB60</f>
        <v>4016.7005423220935</v>
      </c>
      <c r="I632" s="217">
        <f>(I629/I612)*BB92</f>
        <v>0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805406</v>
      </c>
      <c r="D635" s="217">
        <f>(D615/D612)*BK90</f>
        <v>0</v>
      </c>
      <c r="E635" s="219">
        <f>(E623/E612)*SUM(C635:D635)</f>
        <v>58612.605508642599</v>
      </c>
      <c r="F635" s="219">
        <f>(F624/F612)*BK64</f>
        <v>1469.3414932562218</v>
      </c>
      <c r="G635" s="217">
        <f>(G625/G612)*BK91</f>
        <v>0</v>
      </c>
      <c r="H635" s="219">
        <f>(H628/H612)*BK60</f>
        <v>40803.799411637854</v>
      </c>
      <c r="I635" s="217">
        <f>(I629/I612)*BK92</f>
        <v>0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1007883</v>
      </c>
      <c r="D636" s="217">
        <f>(D615/D612)*BH90</f>
        <v>36564.202657768546</v>
      </c>
      <c r="E636" s="219">
        <f>(E623/E612)*SUM(C636:D636)</f>
        <v>76008.586804648934</v>
      </c>
      <c r="F636" s="219">
        <f>(F624/F612)*BH64</f>
        <v>2281.9506606227237</v>
      </c>
      <c r="G636" s="217">
        <f>(G625/G612)*BH91</f>
        <v>0</v>
      </c>
      <c r="H636" s="219">
        <f>(H628/H612)*BH60</f>
        <v>8768.1633789713997</v>
      </c>
      <c r="I636" s="217">
        <f>(I629/I612)*BH92</f>
        <v>9840.0196087380682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628954</v>
      </c>
      <c r="D637" s="217">
        <f>(D615/D612)*BL90</f>
        <v>55307.605348205012</v>
      </c>
      <c r="E637" s="219">
        <f>(E623/E612)*SUM(C637:D637)</f>
        <v>49796.44494700167</v>
      </c>
      <c r="F637" s="219">
        <f>(F624/F612)*BL64</f>
        <v>573.99354567332477</v>
      </c>
      <c r="G637" s="217">
        <f>(G625/G612)*BL91</f>
        <v>0</v>
      </c>
      <c r="H637" s="219">
        <f>(H628/H612)*BL60</f>
        <v>43546.911977126118</v>
      </c>
      <c r="I637" s="217">
        <f>(I629/I612)*BL92</f>
        <v>37392.074513204665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876704</v>
      </c>
      <c r="D642" s="217">
        <f>(D615/D612)*BV90</f>
        <v>31514.16669972349</v>
      </c>
      <c r="E642" s="219">
        <f>(E623/E612)*SUM(C642:D642)</f>
        <v>66094.656757652032</v>
      </c>
      <c r="F642" s="219">
        <f>(F624/F612)*BV64</f>
        <v>143.36354485996029</v>
      </c>
      <c r="G642" s="217">
        <f>(G625/G612)*BV91</f>
        <v>0</v>
      </c>
      <c r="H642" s="219">
        <f>(H628/H612)*BV60</f>
        <v>50796.566614487936</v>
      </c>
      <c r="I642" s="217">
        <f>(I629/I612)*BV92</f>
        <v>6466.2986000278743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4012534.0534192296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514629</v>
      </c>
      <c r="D645" s="217">
        <f>(D615/D612)*BY90</f>
        <v>17238.103510634573</v>
      </c>
      <c r="E645" s="219">
        <f>(E623/E612)*SUM(C645:D645)</f>
        <v>38706.08950155972</v>
      </c>
      <c r="F645" s="219">
        <f>(F624/F612)*BY64</f>
        <v>320.92290892278544</v>
      </c>
      <c r="G645" s="217">
        <f>(G625/G612)*BY91</f>
        <v>0</v>
      </c>
      <c r="H645" s="219">
        <f>(H628/H612)*BY60</f>
        <v>10139.719661715528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581033.83558283269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11027069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24">ROUND(SUM(D668:L668),0)</f>
        <v>0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24"/>
        <v>0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1078695</v>
      </c>
      <c r="D670" s="217">
        <f>(D615/D612)*E90</f>
        <v>44697.674032504576</v>
      </c>
      <c r="E670" s="219">
        <f>(E623/E612)*SUM(C670:D670)</f>
        <v>81753.76348619991</v>
      </c>
      <c r="F670" s="219">
        <f>(F624/F612)*E64</f>
        <v>1171.1798393864474</v>
      </c>
      <c r="G670" s="217">
        <f>(G625/G612)*E91</f>
        <v>55849.233750159256</v>
      </c>
      <c r="H670" s="219">
        <f>(H628/H612)*E60</f>
        <v>22630.678665278137</v>
      </c>
      <c r="I670" s="217">
        <f>(I629/I612)*E92</f>
        <v>84343.025217754883</v>
      </c>
      <c r="J670" s="217">
        <f>(J630/J612)*E93</f>
        <v>10358.262503268132</v>
      </c>
      <c r="K670" s="217">
        <f>(K644/K612)*E89</f>
        <v>148764.01473424103</v>
      </c>
      <c r="L670" s="217">
        <f>(L647/L612)*E94</f>
        <v>40825.463980726003</v>
      </c>
      <c r="M670" s="202">
        <f t="shared" si="24"/>
        <v>490393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24"/>
        <v>0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4"/>
        <v>0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24"/>
        <v>0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4541966</v>
      </c>
      <c r="D676" s="217">
        <f>(D615/D612)*K90</f>
        <v>410679.60687659692</v>
      </c>
      <c r="E676" s="219">
        <f>(E623/E612)*SUM(C676:D676)</f>
        <v>360423.76538040413</v>
      </c>
      <c r="F676" s="219">
        <f>(F624/F612)*K64</f>
        <v>17165.222507371196</v>
      </c>
      <c r="G676" s="217">
        <f>(G625/G612)*K91</f>
        <v>1090860.7793317919</v>
      </c>
      <c r="H676" s="219">
        <f>(H628/H612)*K60</f>
        <v>157141.16268011311</v>
      </c>
      <c r="I676" s="217">
        <f>(I629/I612)*K92</f>
        <v>0</v>
      </c>
      <c r="J676" s="217">
        <f>(J630/J612)*K93</f>
        <v>147938.87136069292</v>
      </c>
      <c r="K676" s="217">
        <f>(K644/K612)*K89</f>
        <v>375495.94000279834</v>
      </c>
      <c r="L676" s="217">
        <f>(L647/L612)*K94</f>
        <v>286715.56719117012</v>
      </c>
      <c r="M676" s="202">
        <f t="shared" si="24"/>
        <v>2846421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2939232</v>
      </c>
      <c r="D677" s="217">
        <f>(D615/D612)*L90</f>
        <v>121783.55944977891</v>
      </c>
      <c r="E677" s="219">
        <f>(E623/E612)*SUM(C677:D677)</f>
        <v>222762.30552273861</v>
      </c>
      <c r="F677" s="219">
        <f>(F624/F612)*L64</f>
        <v>3191.3221302761963</v>
      </c>
      <c r="G677" s="217">
        <f>(G625/G612)*L91</f>
        <v>130458.21974170982</v>
      </c>
      <c r="H677" s="219">
        <f>(H628/H612)*L60</f>
        <v>61671.048570530678</v>
      </c>
      <c r="I677" s="217">
        <f>(I629/I612)*L92</f>
        <v>229975.31542707828</v>
      </c>
      <c r="J677" s="217">
        <f>(J630/J612)*L93</f>
        <v>28224.60178888372</v>
      </c>
      <c r="K677" s="217">
        <f>(K644/K612)*L89</f>
        <v>178270.23153343701</v>
      </c>
      <c r="L677" s="217">
        <f>(L647/L612)*L94</f>
        <v>111228.56002912085</v>
      </c>
      <c r="M677" s="202">
        <f t="shared" si="24"/>
        <v>1087565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24"/>
        <v>0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856750</v>
      </c>
      <c r="D681" s="217">
        <f>(D615/D612)*P90</f>
        <v>70093.527936904255</v>
      </c>
      <c r="E681" s="219">
        <f>(E623/E612)*SUM(C681:D681)</f>
        <v>67450.098548066861</v>
      </c>
      <c r="F681" s="219">
        <f>(F624/F612)*P64</f>
        <v>3386.3569603038923</v>
      </c>
      <c r="G681" s="217">
        <f>(G625/G612)*P91</f>
        <v>0</v>
      </c>
      <c r="H681" s="219">
        <f>(H628/H612)*P60</f>
        <v>13666.578674486149</v>
      </c>
      <c r="I681" s="217">
        <f>(I629/I612)*P92</f>
        <v>40484.652104522342</v>
      </c>
      <c r="J681" s="217">
        <f>(J630/J612)*P93</f>
        <v>1953.7265285429007</v>
      </c>
      <c r="K681" s="217">
        <f>(K644/K612)*P89</f>
        <v>47620.867608704088</v>
      </c>
      <c r="L681" s="217">
        <f>(L647/L612)*P94</f>
        <v>11872.711463782562</v>
      </c>
      <c r="M681" s="202">
        <f t="shared" si="24"/>
        <v>256529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17202</v>
      </c>
      <c r="D682" s="217">
        <f>(D615/D612)*Q90</f>
        <v>17359.498605779889</v>
      </c>
      <c r="E682" s="219">
        <f>(E623/E612)*SUM(C682:D682)</f>
        <v>2515.1780388624838</v>
      </c>
      <c r="F682" s="219">
        <f>(F624/F612)*Q64</f>
        <v>0</v>
      </c>
      <c r="G682" s="217">
        <f>(G625/G612)*Q91</f>
        <v>0</v>
      </c>
      <c r="H682" s="219">
        <f>(H628/H612)*Q60</f>
        <v>146.95245886544245</v>
      </c>
      <c r="I682" s="217">
        <f>(I629/I612)*Q92</f>
        <v>7169.1571435091646</v>
      </c>
      <c r="J682" s="217">
        <f>(J630/J612)*Q93</f>
        <v>0</v>
      </c>
      <c r="K682" s="217">
        <f>(K644/K612)*Q89</f>
        <v>867.64062703083732</v>
      </c>
      <c r="L682" s="217">
        <f>(L647/L612)*Q94</f>
        <v>312.43977536269898</v>
      </c>
      <c r="M682" s="202">
        <f t="shared" si="24"/>
        <v>28371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81683</v>
      </c>
      <c r="D683" s="217">
        <f>(D615/D612)*R90</f>
        <v>14373.179265205166</v>
      </c>
      <c r="E683" s="219">
        <f>(E623/E612)*SUM(C683:D683)</f>
        <v>6990.3911095012027</v>
      </c>
      <c r="F683" s="219">
        <f>(F624/F612)*R64</f>
        <v>89.103301771502771</v>
      </c>
      <c r="G683" s="217">
        <f>(G625/G612)*R91</f>
        <v>0</v>
      </c>
      <c r="H683" s="219">
        <f>(H628/H612)*R60</f>
        <v>587.80983546176981</v>
      </c>
      <c r="I683" s="217">
        <f>(I629/I612)*R92</f>
        <v>0</v>
      </c>
      <c r="J683" s="217">
        <f>(J630/J612)*R93</f>
        <v>0</v>
      </c>
      <c r="K683" s="217">
        <f>(K644/K612)*R89</f>
        <v>3680.9414186599215</v>
      </c>
      <c r="L683" s="217">
        <f>(L647/L612)*R94</f>
        <v>0</v>
      </c>
      <c r="M683" s="202">
        <f t="shared" si="24"/>
        <v>25721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71220</v>
      </c>
      <c r="D684" s="217">
        <f>(D615/D612)*S90</f>
        <v>19034.750918785219</v>
      </c>
      <c r="E684" s="219">
        <f>(E623/E612)*SUM(C684:D684)</f>
        <v>6568.1980403468024</v>
      </c>
      <c r="F684" s="219">
        <f>(F624/F612)*S64</f>
        <v>0</v>
      </c>
      <c r="G684" s="217">
        <f>(G625/G612)*S91</f>
        <v>0</v>
      </c>
      <c r="H684" s="219">
        <f>(H628/H612)*S60</f>
        <v>4457.5579189184209</v>
      </c>
      <c r="I684" s="217">
        <f>(I629/I612)*S92</f>
        <v>9699.4479000418105</v>
      </c>
      <c r="J684" s="217">
        <f>(J630/J612)*S93</f>
        <v>0</v>
      </c>
      <c r="K684" s="217">
        <f>(K644/K612)*S89</f>
        <v>87004.014177155303</v>
      </c>
      <c r="L684" s="217">
        <f>(L647/L612)*S94</f>
        <v>0</v>
      </c>
      <c r="M684" s="202">
        <f t="shared" si="24"/>
        <v>126764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24"/>
        <v>0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1602850</v>
      </c>
      <c r="D686" s="217">
        <f>(D615/D612)*U90</f>
        <v>52054.216798310605</v>
      </c>
      <c r="E686" s="219">
        <f>(E623/E612)*SUM(C686:D686)</f>
        <v>120433.97741485477</v>
      </c>
      <c r="F686" s="219">
        <f>(F624/F612)*U64</f>
        <v>65318.005987599674</v>
      </c>
      <c r="G686" s="217">
        <f>(G625/G612)*U91</f>
        <v>0</v>
      </c>
      <c r="H686" s="219">
        <f>(H628/H612)*U60</f>
        <v>34043.9863038275</v>
      </c>
      <c r="I686" s="217">
        <f>(I629/I612)*U92</f>
        <v>20804.612887046202</v>
      </c>
      <c r="J686" s="217">
        <f>(J630/J612)*U93</f>
        <v>0</v>
      </c>
      <c r="K686" s="217">
        <f>(K644/K612)*U89</f>
        <v>292613.23795725423</v>
      </c>
      <c r="L686" s="217">
        <f>(L647/L612)*U94</f>
        <v>0</v>
      </c>
      <c r="M686" s="202">
        <f t="shared" si="24"/>
        <v>585268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18825.235075796056</v>
      </c>
      <c r="L687" s="217">
        <f>(L647/L612)*V94</f>
        <v>0</v>
      </c>
      <c r="M687" s="202">
        <f t="shared" si="24"/>
        <v>18825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112776</v>
      </c>
      <c r="D688" s="217">
        <f>(D615/D612)*W90</f>
        <v>3763.247949504731</v>
      </c>
      <c r="E688" s="219">
        <f>(E623/E612)*SUM(C688:D688)</f>
        <v>8481.0256769110329</v>
      </c>
      <c r="F688" s="219">
        <f>(F624/F612)*W64</f>
        <v>72.598695026902377</v>
      </c>
      <c r="G688" s="217">
        <f>(G625/G612)*W91</f>
        <v>0</v>
      </c>
      <c r="H688" s="219">
        <f>(H628/H612)*W60</f>
        <v>1224.6038238786871</v>
      </c>
      <c r="I688" s="217">
        <f>(I629/I612)*W92</f>
        <v>1686.8605043550974</v>
      </c>
      <c r="J688" s="217">
        <f>(J630/J612)*W93</f>
        <v>365.97715482639006</v>
      </c>
      <c r="K688" s="217">
        <f>(K644/K612)*W89</f>
        <v>32406.396572816499</v>
      </c>
      <c r="L688" s="217">
        <f>(L647/L612)*W94</f>
        <v>0</v>
      </c>
      <c r="M688" s="202">
        <f t="shared" si="24"/>
        <v>48001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735362</v>
      </c>
      <c r="D689" s="217">
        <f>(D615/D612)*X90</f>
        <v>24594.646276440595</v>
      </c>
      <c r="E689" s="219">
        <f>(E623/E612)*SUM(C689:D689)</f>
        <v>55305.074846564414</v>
      </c>
      <c r="F689" s="219">
        <f>(F624/F612)*X64</f>
        <v>473.23993325857464</v>
      </c>
      <c r="G689" s="217">
        <f>(G625/G612)*X91</f>
        <v>0</v>
      </c>
      <c r="H689" s="219">
        <f>(H628/H612)*X60</f>
        <v>7935.4327787338925</v>
      </c>
      <c r="I689" s="217">
        <f>(I629/I612)*X92</f>
        <v>10824.021569611876</v>
      </c>
      <c r="J689" s="217">
        <f>(J630/J612)*X93</f>
        <v>2386.2449842468163</v>
      </c>
      <c r="K689" s="217">
        <f>(K644/K612)*X89</f>
        <v>211295.96645759279</v>
      </c>
      <c r="L689" s="217">
        <f>(L647/L612)*X94</f>
        <v>0</v>
      </c>
      <c r="M689" s="202">
        <f t="shared" si="24"/>
        <v>312815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1780116</v>
      </c>
      <c r="D690" s="217">
        <f>(D615/D612)*Y90</f>
        <v>59507.875640232873</v>
      </c>
      <c r="E690" s="219">
        <f>(E623/E612)*SUM(C690:D690)</f>
        <v>133876.76340526537</v>
      </c>
      <c r="F690" s="219">
        <f>(F624/F612)*Y64</f>
        <v>1145.5060066726246</v>
      </c>
      <c r="G690" s="217">
        <f>(G625/G612)*Y91</f>
        <v>0</v>
      </c>
      <c r="H690" s="219">
        <f>(H628/H612)*Y60</f>
        <v>19152.803805462667</v>
      </c>
      <c r="I690" s="217">
        <f>(I629/I612)*Y92</f>
        <v>26708.624652289043</v>
      </c>
      <c r="J690" s="217">
        <f>(J630/J612)*Y93</f>
        <v>5777.0787747973845</v>
      </c>
      <c r="K690" s="217">
        <f>(K644/K612)*Y89</f>
        <v>511498.16776594345</v>
      </c>
      <c r="L690" s="217">
        <f>(L647/L612)*Y94</f>
        <v>0</v>
      </c>
      <c r="M690" s="202">
        <f t="shared" si="24"/>
        <v>757667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4"/>
        <v>0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24"/>
        <v>0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1710290</v>
      </c>
      <c r="D693" s="217">
        <f>(D615/D612)*AB90</f>
        <v>22870.835925377138</v>
      </c>
      <c r="E693" s="219">
        <f>(E623/E612)*SUM(C693:D693)</f>
        <v>126129.02357211565</v>
      </c>
      <c r="F693" s="219">
        <f>(F624/F612)*AB64</f>
        <v>146629.19165721053</v>
      </c>
      <c r="G693" s="217">
        <f>(G625/G612)*AB91</f>
        <v>0</v>
      </c>
      <c r="H693" s="219">
        <f>(H628/H612)*AB60</f>
        <v>4114.6688482323889</v>
      </c>
      <c r="I693" s="217">
        <f>(I629/I612)*AB92</f>
        <v>0</v>
      </c>
      <c r="J693" s="217">
        <f>(J630/J612)*AB93</f>
        <v>0</v>
      </c>
      <c r="K693" s="217">
        <f>(K644/K612)*AB89</f>
        <v>373460.02989041712</v>
      </c>
      <c r="L693" s="217">
        <f>(L647/L612)*AB94</f>
        <v>0</v>
      </c>
      <c r="M693" s="202">
        <f t="shared" si="24"/>
        <v>673204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223141</v>
      </c>
      <c r="D694" s="217">
        <f>(D615/D612)*AC90</f>
        <v>4175.9912729987982</v>
      </c>
      <c r="E694" s="219">
        <f>(E623/E612)*SUM(C694:D694)</f>
        <v>16542.763692964581</v>
      </c>
      <c r="F694" s="219">
        <f>(F624/F612)*AC64</f>
        <v>198.48677392199164</v>
      </c>
      <c r="G694" s="217">
        <f>(G625/G612)*AC91</f>
        <v>0</v>
      </c>
      <c r="H694" s="219">
        <f>(H628/H612)*AC60</f>
        <v>4555.5262248287163</v>
      </c>
      <c r="I694" s="217">
        <f>(I629/I612)*AC92</f>
        <v>0</v>
      </c>
      <c r="J694" s="217">
        <f>(J630/J612)*AC93</f>
        <v>0</v>
      </c>
      <c r="K694" s="217">
        <f>(K644/K612)*AC89</f>
        <v>59407.526111733954</v>
      </c>
      <c r="L694" s="217">
        <f>(L647/L612)*AC94</f>
        <v>0</v>
      </c>
      <c r="M694" s="202">
        <f t="shared" si="24"/>
        <v>84880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24"/>
        <v>0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1507876</v>
      </c>
      <c r="D696" s="217">
        <f>(D615/D612)*AE90</f>
        <v>205619.01215713267</v>
      </c>
      <c r="E696" s="219">
        <f>(E623/E612)*SUM(C696:D696)</f>
        <v>124697.86317533364</v>
      </c>
      <c r="F696" s="219">
        <f>(F624/F612)*AE64</f>
        <v>5115.2414851124577</v>
      </c>
      <c r="G696" s="217">
        <f>(G625/G612)*AE91</f>
        <v>0</v>
      </c>
      <c r="H696" s="219">
        <f>(H628/H612)*AE60</f>
        <v>57360.44311047771</v>
      </c>
      <c r="I696" s="217">
        <f>(I629/I612)*AE92</f>
        <v>10683.449860915618</v>
      </c>
      <c r="J696" s="217">
        <f>(J630/J612)*AE93</f>
        <v>1292.9344434396962</v>
      </c>
      <c r="K696" s="217">
        <f>(K644/K612)*AE89</f>
        <v>245465.91442940469</v>
      </c>
      <c r="L696" s="217">
        <f>(L647/L612)*AE94</f>
        <v>0</v>
      </c>
      <c r="M696" s="202">
        <f t="shared" si="24"/>
        <v>650235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 t="e">
        <f>(H628/H612)*#REF!</f>
        <v>#REF!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 t="e">
        <f t="shared" si="24"/>
        <v>#REF!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4497480</v>
      </c>
      <c r="D698" s="217">
        <f>(D615/D612)*AG90</f>
        <v>230553.56469998017</v>
      </c>
      <c r="E698" s="219">
        <f>(E623/E612)*SUM(C698:D698)</f>
        <v>344077.85161692509</v>
      </c>
      <c r="F698" s="219">
        <f>(F624/F612)*AG64</f>
        <v>5893.0075937959136</v>
      </c>
      <c r="G698" s="217">
        <f>(G625/G612)*AG91</f>
        <v>0</v>
      </c>
      <c r="H698" s="219">
        <f>(H628/H612)*AG60</f>
        <v>59907.619064145372</v>
      </c>
      <c r="I698" s="217">
        <f>(I629/I612)*AG92</f>
        <v>136776.27256145916</v>
      </c>
      <c r="J698" s="217">
        <f>(J630/J612)*AG93</f>
        <v>15915.385311275919</v>
      </c>
      <c r="K698" s="217">
        <f>(K644/K612)*AG89</f>
        <v>1113077.8116381548</v>
      </c>
      <c r="L698" s="217">
        <f>(L647/L612)*AG94</f>
        <v>107479.28272476846</v>
      </c>
      <c r="M698" s="202">
        <f t="shared" si="24"/>
        <v>2013681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4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24"/>
        <v>0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1617684</v>
      </c>
      <c r="D701" s="217">
        <f>(D615/D612)*AJ90</f>
        <v>164636.02803607471</v>
      </c>
      <c r="E701" s="219">
        <f>(E623/E612)*SUM(C701:D701)</f>
        <v>129706.53396353053</v>
      </c>
      <c r="F701" s="219">
        <f>(F624/F612)*AJ64</f>
        <v>4890.4336389964628</v>
      </c>
      <c r="G701" s="217">
        <f>(G625/G612)*AJ91</f>
        <v>0</v>
      </c>
      <c r="H701" s="219">
        <f>(H628/H612)*AJ60</f>
        <v>56233.807592509314</v>
      </c>
      <c r="I701" s="217">
        <f>(I629/I612)*AJ92</f>
        <v>41890.369191484919</v>
      </c>
      <c r="J701" s="217">
        <f>(J630/J612)*AJ93</f>
        <v>311.45025549619561</v>
      </c>
      <c r="K701" s="217">
        <f>(K644/K612)*AJ89</f>
        <v>63729.027643648165</v>
      </c>
      <c r="L701" s="217">
        <f>(L647/L612)*AJ94</f>
        <v>0</v>
      </c>
      <c r="M701" s="202">
        <f t="shared" si="24"/>
        <v>461398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265546</v>
      </c>
      <c r="D702" s="217">
        <f>(D615/D612)*AK90</f>
        <v>0</v>
      </c>
      <c r="E702" s="219">
        <f>(E623/E612)*SUM(C702:D702)</f>
        <v>19324.841064504122</v>
      </c>
      <c r="F702" s="219">
        <f>(F624/F612)*AK64</f>
        <v>292.33649854815076</v>
      </c>
      <c r="G702" s="217">
        <f>(G625/G612)*AK91</f>
        <v>0</v>
      </c>
      <c r="H702" s="219">
        <f>(H628/H612)*AK60</f>
        <v>8474.2584612405153</v>
      </c>
      <c r="I702" s="217">
        <f>(I629/I612)*AK92</f>
        <v>10542.87815221936</v>
      </c>
      <c r="J702" s="217">
        <f>(J630/J612)*AK93</f>
        <v>1293.8586281741063</v>
      </c>
      <c r="K702" s="217">
        <f>(K644/K612)*AK89</f>
        <v>75174.146021706416</v>
      </c>
      <c r="L702" s="217">
        <f>(L647/L612)*AK94</f>
        <v>0</v>
      </c>
      <c r="M702" s="202">
        <f t="shared" si="24"/>
        <v>115102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211221</v>
      </c>
      <c r="D703" s="217">
        <f>(D615/D612)*AL90</f>
        <v>0</v>
      </c>
      <c r="E703" s="219">
        <f>(E623/E612)*SUM(C703:D703)</f>
        <v>15371.394238608849</v>
      </c>
      <c r="F703" s="219">
        <f>(F624/F612)*AL64</f>
        <v>117.58183889944071</v>
      </c>
      <c r="G703" s="217">
        <f>(G625/G612)*AL91</f>
        <v>0</v>
      </c>
      <c r="H703" s="219">
        <f>(H628/H612)*AL60</f>
        <v>6759.8131078103524</v>
      </c>
      <c r="I703" s="217">
        <f>(I629/I612)*AL92</f>
        <v>10542.87815221936</v>
      </c>
      <c r="J703" s="217">
        <f>(J630/J612)*AL93</f>
        <v>1293.8586281741063</v>
      </c>
      <c r="K703" s="217">
        <f>(K644/K612)*AL89</f>
        <v>29227.116154227035</v>
      </c>
      <c r="L703" s="217">
        <f>(L647/L612)*AL94</f>
        <v>0</v>
      </c>
      <c r="M703" s="202">
        <f t="shared" si="24"/>
        <v>63313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596936</v>
      </c>
      <c r="D706" s="217">
        <f>(D615/D612)*AO90</f>
        <v>24740.320390614972</v>
      </c>
      <c r="E706" s="219">
        <f>(E623/E612)*SUM(C706:D706)</f>
        <v>45241.864253705113</v>
      </c>
      <c r="F706" s="219">
        <f>(F624/F612)*AO64</f>
        <v>648.21033940067821</v>
      </c>
      <c r="G706" s="217">
        <f>(G625/G612)*AO91</f>
        <v>37196.98725227161</v>
      </c>
      <c r="H706" s="219">
        <f>(H628/H612)*AO60</f>
        <v>12539.943156517757</v>
      </c>
      <c r="I706" s="217">
        <f>(I629/I612)*AO92</f>
        <v>46669.807287157695</v>
      </c>
      <c r="J706" s="217">
        <f>(J630/J612)*AO93</f>
        <v>5732.7179075457016</v>
      </c>
      <c r="K706" s="217">
        <f>(K644/K612)*AO89</f>
        <v>63834.217098916452</v>
      </c>
      <c r="L706" s="217">
        <f>(L647/L612)*AO94</f>
        <v>22599.810417901896</v>
      </c>
      <c r="M706" s="202">
        <f t="shared" si="24"/>
        <v>259204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0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4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205784</v>
      </c>
      <c r="D713" s="217">
        <f>(D615/D612)*AV90</f>
        <v>21705.443011982126</v>
      </c>
      <c r="E713" s="219">
        <f>(E623/E612)*SUM(C713:D713)</f>
        <v>16555.313693518725</v>
      </c>
      <c r="F713" s="219">
        <f>(F624/F612)*AV64</f>
        <v>971.39858650409496</v>
      </c>
      <c r="G713" s="217">
        <f>(G625/G612)*AV91</f>
        <v>0</v>
      </c>
      <c r="H713" s="219">
        <f>(H628/H612)*AV60</f>
        <v>1665.4612004750145</v>
      </c>
      <c r="I713" s="217">
        <f>(I629/I612)*AV92</f>
        <v>0</v>
      </c>
      <c r="J713" s="217">
        <f>(J630/J612)*AV93</f>
        <v>0</v>
      </c>
      <c r="K713" s="217">
        <f>(K644/K612)*AV89</f>
        <v>80815.610499590985</v>
      </c>
      <c r="L713" s="217">
        <f>(L647/L612)*AV94</f>
        <v>0</v>
      </c>
      <c r="M713" s="202">
        <f t="shared" si="24"/>
        <v>121713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35680879</v>
      </c>
      <c r="D715" s="202">
        <f>SUM(D616:D647)+SUM(D668:D713)</f>
        <v>2080979</v>
      </c>
      <c r="E715" s="202">
        <f>SUM(E624:E647)+SUM(E668:E713)</f>
        <v>2420491.0307428455</v>
      </c>
      <c r="F715" s="202">
        <f>SUM(F625:F648)+SUM(F668:F713)</f>
        <v>327255.06850388378</v>
      </c>
      <c r="G715" s="202">
        <f>SUM(G626:G647)+SUM(G668:G713)</f>
        <v>1338688.3945436389</v>
      </c>
      <c r="H715" s="202" t="e">
        <f>SUM(H629:H647)+SUM(H668:H713)</f>
        <v>#REF!</v>
      </c>
      <c r="I715" s="202">
        <f>SUM(I630:I647)+SUM(I668:I713)</f>
        <v>742499.76533363538</v>
      </c>
      <c r="J715" s="202">
        <f>SUM(J631:J647)+SUM(J668:J713)</f>
        <v>222844.96826936404</v>
      </c>
      <c r="K715" s="202">
        <f>SUM(K668:K713)</f>
        <v>4012534.0534192296</v>
      </c>
      <c r="L715" s="202">
        <f>SUM(L668:L713)</f>
        <v>581033.83558283269</v>
      </c>
      <c r="M715" s="202" t="e">
        <f>SUM(M668:M713)</f>
        <v>#REF!</v>
      </c>
      <c r="N715" s="211" t="s">
        <v>694</v>
      </c>
    </row>
    <row r="716" spans="1:14" s="202" customFormat="1" ht="12.6" customHeight="1" x14ac:dyDescent="0.2">
      <c r="C716" s="214">
        <f>CE85</f>
        <v>35680879</v>
      </c>
      <c r="D716" s="202">
        <f>D615</f>
        <v>2080979</v>
      </c>
      <c r="E716" s="202">
        <f>E623</f>
        <v>2420491.030742845</v>
      </c>
      <c r="F716" s="202">
        <f>F624</f>
        <v>327255.06850388373</v>
      </c>
      <c r="G716" s="202">
        <f>G625</f>
        <v>1338688.3945436392</v>
      </c>
      <c r="H716" s="202">
        <f>H628</f>
        <v>754698.84457995719</v>
      </c>
      <c r="I716" s="202">
        <f>I629</f>
        <v>742499.76533363538</v>
      </c>
      <c r="J716" s="202">
        <f>J630</f>
        <v>222844.96826936398</v>
      </c>
      <c r="K716" s="202">
        <f>K644</f>
        <v>4012534.0534192296</v>
      </c>
      <c r="L716" s="202">
        <f>L647</f>
        <v>581033.83558283269</v>
      </c>
      <c r="M716" s="202">
        <f>C648</f>
        <v>11027069</v>
      </c>
      <c r="N716" s="211" t="s">
        <v>695</v>
      </c>
    </row>
  </sheetData>
  <sheetProtection algorithmName="SHA-512" hashValue="14fL5azzM7QQPjEwOs7h7NLsyD7ia0GtDck5zUBKCZg0eWSUXGXhKiCxthJS0bfMhCrnZuL3HmKoMfEq1wUz0w==" saltValue="fP6Y7PytbjJpt4826lCWq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customProperties>
    <customPr name="OrphanNamesChecked" r:id="rId4"/>
  </customProperties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topLeftCell="A88" zoomScaleNormal="100" workbookViewId="0">
      <selection activeCell="C9" sqref="C9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899</v>
      </c>
      <c r="B1" s="169"/>
      <c r="C1" s="169"/>
    </row>
    <row r="2" spans="1:3" ht="20.100000000000001" customHeight="1" x14ac:dyDescent="0.25">
      <c r="A2" s="168"/>
      <c r="B2" s="169"/>
      <c r="C2" s="94" t="s">
        <v>900</v>
      </c>
    </row>
    <row r="3" spans="1:3" ht="20.100000000000001" customHeight="1" x14ac:dyDescent="0.25">
      <c r="A3" s="120" t="str">
        <f>"Hospital: "&amp;data!C98</f>
        <v>Hospital: NORTH VALLEY HOSPITAL OCPHD#4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901</v>
      </c>
      <c r="C4" s="173"/>
    </row>
    <row r="5" spans="1:3" ht="20.100000000000001" customHeight="1" x14ac:dyDescent="0.25">
      <c r="A5" s="174">
        <v>1</v>
      </c>
      <c r="B5" s="175" t="s">
        <v>420</v>
      </c>
      <c r="C5" s="175"/>
    </row>
    <row r="6" spans="1:3" ht="20.100000000000001" customHeight="1" x14ac:dyDescent="0.25">
      <c r="A6" s="174">
        <v>2</v>
      </c>
      <c r="B6" s="176" t="s">
        <v>421</v>
      </c>
      <c r="C6" s="176">
        <f>data!C266</f>
        <v>8135089</v>
      </c>
    </row>
    <row r="7" spans="1:3" ht="20.100000000000001" customHeight="1" x14ac:dyDescent="0.25">
      <c r="A7" s="174">
        <v>3</v>
      </c>
      <c r="B7" s="176" t="s">
        <v>422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423</v>
      </c>
      <c r="C8" s="176">
        <f>data!C268</f>
        <v>9772621</v>
      </c>
    </row>
    <row r="9" spans="1:3" ht="20.100000000000001" customHeight="1" x14ac:dyDescent="0.25">
      <c r="A9" s="174">
        <v>5</v>
      </c>
      <c r="B9" s="176" t="s">
        <v>902</v>
      </c>
      <c r="C9" s="176">
        <f>data!C269</f>
        <v>5518701</v>
      </c>
    </row>
    <row r="10" spans="1:3" ht="20.100000000000001" customHeight="1" x14ac:dyDescent="0.25">
      <c r="A10" s="174">
        <v>6</v>
      </c>
      <c r="B10" s="176" t="s">
        <v>903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904</v>
      </c>
      <c r="C11" s="176">
        <f>data!C271</f>
        <v>152863</v>
      </c>
    </row>
    <row r="12" spans="1:3" ht="20.100000000000001" customHeight="1" x14ac:dyDescent="0.25">
      <c r="A12" s="174">
        <v>8</v>
      </c>
      <c r="B12" s="176" t="s">
        <v>427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428</v>
      </c>
      <c r="C13" s="176">
        <f>data!C273</f>
        <v>910287</v>
      </c>
    </row>
    <row r="14" spans="1:3" ht="20.100000000000001" customHeight="1" x14ac:dyDescent="0.25">
      <c r="A14" s="174">
        <v>10</v>
      </c>
      <c r="B14" s="176" t="s">
        <v>429</v>
      </c>
      <c r="C14" s="176">
        <f>data!C274</f>
        <v>523107</v>
      </c>
    </row>
    <row r="15" spans="1:3" ht="20.100000000000001" customHeight="1" x14ac:dyDescent="0.25">
      <c r="A15" s="174">
        <v>11</v>
      </c>
      <c r="B15" s="176" t="s">
        <v>905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906</v>
      </c>
      <c r="C16" s="176">
        <f>data!D276</f>
        <v>13975266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907</v>
      </c>
      <c r="C18" s="175"/>
    </row>
    <row r="19" spans="1:3" ht="20.100000000000001" customHeight="1" x14ac:dyDescent="0.25">
      <c r="A19" s="174">
        <v>15</v>
      </c>
      <c r="B19" s="176" t="s">
        <v>421</v>
      </c>
      <c r="C19" s="176">
        <f>data!C278</f>
        <v>2838061</v>
      </c>
    </row>
    <row r="20" spans="1:3" ht="20.100000000000001" customHeight="1" x14ac:dyDescent="0.25">
      <c r="A20" s="174">
        <v>16</v>
      </c>
      <c r="B20" s="176" t="s">
        <v>422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433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908</v>
      </c>
      <c r="C22" s="176">
        <f>data!D281</f>
        <v>2838061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909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358540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719936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14700151</v>
      </c>
    </row>
    <row r="28" spans="1:3" ht="20.100000000000001" customHeight="1" x14ac:dyDescent="0.25">
      <c r="A28" s="174">
        <v>24</v>
      </c>
      <c r="B28" s="176" t="s">
        <v>910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394</v>
      </c>
      <c r="C29" s="176">
        <f>data!C287</f>
        <v>7415860</v>
      </c>
    </row>
    <row r="30" spans="1:3" ht="20.100000000000001" customHeight="1" x14ac:dyDescent="0.25">
      <c r="A30" s="174">
        <v>26</v>
      </c>
      <c r="B30" s="176" t="s">
        <v>438</v>
      </c>
      <c r="C30" s="176">
        <f>data!C288</f>
        <v>9501384</v>
      </c>
    </row>
    <row r="31" spans="1:3" ht="20.100000000000001" customHeight="1" x14ac:dyDescent="0.25">
      <c r="A31" s="174">
        <v>27</v>
      </c>
      <c r="B31" s="176" t="s">
        <v>397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398</v>
      </c>
      <c r="C32" s="176">
        <f>data!C290</f>
        <v>8480832</v>
      </c>
    </row>
    <row r="33" spans="1:3" ht="20.100000000000001" customHeight="1" x14ac:dyDescent="0.25">
      <c r="A33" s="174">
        <v>29</v>
      </c>
      <c r="B33" s="176" t="s">
        <v>612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911</v>
      </c>
      <c r="C34" s="176">
        <f>data!C292</f>
        <v>23577290</v>
      </c>
    </row>
    <row r="35" spans="1:3" ht="20.100000000000001" customHeight="1" x14ac:dyDescent="0.25">
      <c r="A35" s="174">
        <v>31</v>
      </c>
      <c r="B35" s="176" t="s">
        <v>912</v>
      </c>
      <c r="C35" s="176">
        <f>data!D293</f>
        <v>17599413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913</v>
      </c>
      <c r="C37" s="175"/>
    </row>
    <row r="38" spans="1:3" ht="20.100000000000001" customHeight="1" x14ac:dyDescent="0.25">
      <c r="A38" s="174">
        <v>34</v>
      </c>
      <c r="B38" s="176" t="s">
        <v>914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915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445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433</v>
      </c>
      <c r="C41" s="176">
        <f>data!C298</f>
        <v>78151</v>
      </c>
    </row>
    <row r="42" spans="1:3" ht="20.100000000000001" customHeight="1" x14ac:dyDescent="0.25">
      <c r="A42" s="174">
        <v>38</v>
      </c>
      <c r="B42" s="176" t="s">
        <v>916</v>
      </c>
      <c r="C42" s="176">
        <f>data!D299</f>
        <v>78151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917</v>
      </c>
      <c r="C44" s="175"/>
    </row>
    <row r="45" spans="1:3" ht="20.100000000000001" customHeight="1" x14ac:dyDescent="0.25">
      <c r="A45" s="174">
        <v>41</v>
      </c>
      <c r="B45" s="176" t="s">
        <v>448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449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918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451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919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920</v>
      </c>
      <c r="C50" s="176">
        <f>data!D308</f>
        <v>34490891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921</v>
      </c>
      <c r="B53" s="169"/>
      <c r="C53" s="169"/>
    </row>
    <row r="54" spans="1:3" ht="20.100000000000001" customHeight="1" x14ac:dyDescent="0.25">
      <c r="A54" s="168"/>
      <c r="B54" s="169"/>
      <c r="C54" s="94" t="s">
        <v>922</v>
      </c>
    </row>
    <row r="55" spans="1:3" ht="20.100000000000001" customHeight="1" x14ac:dyDescent="0.25">
      <c r="A55" s="120" t="str">
        <f>"Hospital: "&amp;data!C98</f>
        <v>Hospital: NORTH VALLEY HOSPITAL OCPHD#4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923</v>
      </c>
      <c r="C56" s="173"/>
    </row>
    <row r="57" spans="1:3" ht="20.100000000000001" customHeight="1" x14ac:dyDescent="0.25">
      <c r="A57" s="183">
        <v>1</v>
      </c>
      <c r="B57" s="168" t="s">
        <v>455</v>
      </c>
      <c r="C57" s="184"/>
    </row>
    <row r="58" spans="1:3" ht="20.100000000000001" customHeight="1" x14ac:dyDescent="0.25">
      <c r="A58" s="174">
        <v>2</v>
      </c>
      <c r="B58" s="176" t="s">
        <v>456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924</v>
      </c>
      <c r="C59" s="176">
        <f>data!C315</f>
        <v>3550840</v>
      </c>
    </row>
    <row r="60" spans="1:3" ht="20.100000000000001" customHeight="1" x14ac:dyDescent="0.25">
      <c r="A60" s="174">
        <v>4</v>
      </c>
      <c r="B60" s="176" t="s">
        <v>925</v>
      </c>
      <c r="C60" s="176">
        <f>data!C316</f>
        <v>4577198</v>
      </c>
    </row>
    <row r="61" spans="1:3" ht="20.100000000000001" customHeight="1" x14ac:dyDescent="0.25">
      <c r="A61" s="174">
        <v>5</v>
      </c>
      <c r="B61" s="176" t="s">
        <v>459</v>
      </c>
      <c r="C61" s="176">
        <f>data!C317</f>
        <v>330390</v>
      </c>
    </row>
    <row r="62" spans="1:3" ht="20.100000000000001" customHeight="1" x14ac:dyDescent="0.25">
      <c r="A62" s="174">
        <v>6</v>
      </c>
      <c r="B62" s="176" t="s">
        <v>926</v>
      </c>
      <c r="C62" s="176">
        <f>data!C318</f>
        <v>101504</v>
      </c>
    </row>
    <row r="63" spans="1:3" ht="20.100000000000001" customHeight="1" x14ac:dyDescent="0.25">
      <c r="A63" s="174">
        <v>7</v>
      </c>
      <c r="B63" s="176" t="s">
        <v>927</v>
      </c>
      <c r="C63" s="176">
        <f>data!C319</f>
        <v>1839702</v>
      </c>
    </row>
    <row r="64" spans="1:3" ht="20.100000000000001" customHeight="1" x14ac:dyDescent="0.25">
      <c r="A64" s="174">
        <v>8</v>
      </c>
      <c r="B64" s="176" t="s">
        <v>462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463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464</v>
      </c>
      <c r="C66" s="176">
        <f>data!C322</f>
        <v>3423</v>
      </c>
    </row>
    <row r="67" spans="1:3" ht="20.100000000000001" customHeight="1" x14ac:dyDescent="0.25">
      <c r="A67" s="174">
        <v>11</v>
      </c>
      <c r="B67" s="176" t="s">
        <v>928</v>
      </c>
      <c r="C67" s="176">
        <f>data!C323</f>
        <v>1402225</v>
      </c>
    </row>
    <row r="68" spans="1:3" ht="20.100000000000001" customHeight="1" x14ac:dyDescent="0.25">
      <c r="A68" s="174">
        <v>12</v>
      </c>
      <c r="B68" s="176" t="s">
        <v>929</v>
      </c>
      <c r="C68" s="176">
        <f>data!D324</f>
        <v>11805282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930</v>
      </c>
      <c r="C70" s="175"/>
    </row>
    <row r="71" spans="1:3" ht="20.100000000000001" customHeight="1" x14ac:dyDescent="0.25">
      <c r="A71" s="174">
        <v>15</v>
      </c>
      <c r="B71" s="176" t="s">
        <v>468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931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470</v>
      </c>
      <c r="C73" s="176">
        <f>data!C328</f>
        <v>960231</v>
      </c>
    </row>
    <row r="74" spans="1:3" ht="20.100000000000001" customHeight="1" x14ac:dyDescent="0.25">
      <c r="A74" s="174">
        <v>18</v>
      </c>
      <c r="B74" s="176" t="s">
        <v>932</v>
      </c>
      <c r="C74" s="176">
        <f>data!D329</f>
        <v>960231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472</v>
      </c>
      <c r="C76" s="175"/>
    </row>
    <row r="77" spans="1:3" ht="20.100000000000001" customHeight="1" x14ac:dyDescent="0.25">
      <c r="A77" s="174">
        <v>21</v>
      </c>
      <c r="B77" s="176" t="s">
        <v>473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933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475</v>
      </c>
      <c r="C79" s="176">
        <f>data!C333</f>
        <v>11469808</v>
      </c>
    </row>
    <row r="80" spans="1:3" ht="20.100000000000001" customHeight="1" x14ac:dyDescent="0.25">
      <c r="A80" s="174">
        <v>24</v>
      </c>
      <c r="B80" s="176" t="s">
        <v>934</v>
      </c>
      <c r="C80" s="176">
        <f>data!C334</f>
        <v>219460</v>
      </c>
    </row>
    <row r="81" spans="1:3" ht="20.100000000000001" customHeight="1" x14ac:dyDescent="0.25">
      <c r="A81" s="174">
        <v>25</v>
      </c>
      <c r="B81" s="176" t="s">
        <v>477</v>
      </c>
      <c r="C81" s="176" t="str">
        <f>data!C335</f>
        <v xml:space="preserve"> </v>
      </c>
    </row>
    <row r="82" spans="1:3" ht="20.100000000000001" customHeight="1" x14ac:dyDescent="0.25">
      <c r="A82" s="174">
        <v>26</v>
      </c>
      <c r="B82" s="176" t="s">
        <v>935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479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480</v>
      </c>
      <c r="C84" s="176" t="str">
        <f>data!C338</f>
        <v xml:space="preserve"> </v>
      </c>
    </row>
    <row r="85" spans="1:3" ht="20.100000000000001" customHeight="1" x14ac:dyDescent="0.25">
      <c r="A85" s="174">
        <v>29</v>
      </c>
      <c r="B85" s="176" t="s">
        <v>612</v>
      </c>
      <c r="C85" s="176">
        <f>data!D339</f>
        <v>11689268</v>
      </c>
    </row>
    <row r="86" spans="1:3" ht="20.100000000000001" customHeight="1" x14ac:dyDescent="0.25">
      <c r="A86" s="174">
        <v>30</v>
      </c>
      <c r="B86" s="176" t="s">
        <v>936</v>
      </c>
      <c r="C86" s="176">
        <f>data!D340</f>
        <v>1402225</v>
      </c>
    </row>
    <row r="87" spans="1:3" ht="20.100000000000001" customHeight="1" x14ac:dyDescent="0.25">
      <c r="A87" s="174">
        <v>31</v>
      </c>
      <c r="B87" s="176" t="s">
        <v>937</v>
      </c>
      <c r="C87" s="176">
        <f>data!D341</f>
        <v>10287043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938</v>
      </c>
      <c r="C89" s="176">
        <f>data!C343</f>
        <v>11438335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939</v>
      </c>
      <c r="C91" s="175"/>
    </row>
    <row r="92" spans="1:3" ht="20.100000000000001" customHeight="1" x14ac:dyDescent="0.25">
      <c r="A92" s="174">
        <v>36</v>
      </c>
      <c r="B92" s="176" t="s">
        <v>484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485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940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941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942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943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944</v>
      </c>
      <c r="C102" s="176">
        <f>data!C343+data!C345+data!C346+data!C347+data!C348-data!C349</f>
        <v>11438335</v>
      </c>
    </row>
    <row r="103" spans="1:3" ht="20.100000000000001" customHeight="1" x14ac:dyDescent="0.25">
      <c r="A103" s="174">
        <v>47</v>
      </c>
      <c r="B103" s="176" t="s">
        <v>945</v>
      </c>
      <c r="C103" s="176">
        <f>data!D352</f>
        <v>34490891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946</v>
      </c>
      <c r="B106" s="169"/>
      <c r="C106" s="169"/>
    </row>
    <row r="107" spans="1:3" ht="20.100000000000001" customHeight="1" x14ac:dyDescent="0.25">
      <c r="A107" s="170"/>
      <c r="C107" s="94" t="s">
        <v>947</v>
      </c>
    </row>
    <row r="108" spans="1:3" ht="20.100000000000001" customHeight="1" x14ac:dyDescent="0.25">
      <c r="A108" s="120" t="str">
        <f>"Hospital: "&amp;data!C98</f>
        <v>Hospital: NORTH VALLEY HOSPITAL OCPHD#4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948</v>
      </c>
      <c r="C110" s="175"/>
    </row>
    <row r="111" spans="1:3" ht="20.100000000000001" customHeight="1" x14ac:dyDescent="0.25">
      <c r="A111" s="174">
        <v>2</v>
      </c>
      <c r="B111" s="176" t="s">
        <v>493</v>
      </c>
      <c r="C111" s="176">
        <f>data!C358</f>
        <v>11719687</v>
      </c>
    </row>
    <row r="112" spans="1:3" ht="20.100000000000001" customHeight="1" x14ac:dyDescent="0.25">
      <c r="A112" s="174">
        <v>3</v>
      </c>
      <c r="B112" s="176" t="s">
        <v>494</v>
      </c>
      <c r="C112" s="176">
        <f>data!C359</f>
        <v>40654472</v>
      </c>
    </row>
    <row r="113" spans="1:3" ht="20.100000000000001" customHeight="1" x14ac:dyDescent="0.25">
      <c r="A113" s="174">
        <v>4</v>
      </c>
      <c r="B113" s="176" t="s">
        <v>949</v>
      </c>
      <c r="C113" s="176">
        <f>data!D360</f>
        <v>52374159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950</v>
      </c>
      <c r="C115" s="175"/>
    </row>
    <row r="116" spans="1:3" ht="20.100000000000001" customHeight="1" x14ac:dyDescent="0.25">
      <c r="A116" s="174">
        <v>7</v>
      </c>
      <c r="B116" s="188" t="s">
        <v>951</v>
      </c>
      <c r="C116" s="189">
        <f>data!C362</f>
        <v>2368570</v>
      </c>
    </row>
    <row r="117" spans="1:3" ht="20.100000000000001" customHeight="1" x14ac:dyDescent="0.25">
      <c r="A117" s="174">
        <v>8</v>
      </c>
      <c r="B117" s="176" t="s">
        <v>497</v>
      </c>
      <c r="C117" s="189">
        <f>data!C363</f>
        <v>18041142</v>
      </c>
    </row>
    <row r="118" spans="1:3" ht="20.100000000000001" customHeight="1" x14ac:dyDescent="0.25">
      <c r="A118" s="174">
        <v>9</v>
      </c>
      <c r="B118" s="176" t="s">
        <v>952</v>
      </c>
      <c r="C118" s="189">
        <f>data!C364</f>
        <v>865993</v>
      </c>
    </row>
    <row r="119" spans="1:3" ht="20.100000000000001" customHeight="1" x14ac:dyDescent="0.25">
      <c r="A119" s="174">
        <v>10</v>
      </c>
      <c r="B119" s="176" t="s">
        <v>953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897</v>
      </c>
      <c r="C120" s="189">
        <f>data!D366</f>
        <v>21275705</v>
      </c>
    </row>
    <row r="121" spans="1:3" ht="20.100000000000001" customHeight="1" x14ac:dyDescent="0.25">
      <c r="A121" s="174">
        <v>12</v>
      </c>
      <c r="B121" s="176" t="s">
        <v>954</v>
      </c>
      <c r="C121" s="189">
        <f>data!D367</f>
        <v>31098454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501</v>
      </c>
      <c r="C123" s="175"/>
    </row>
    <row r="124" spans="1:3" ht="20.100000000000001" customHeight="1" x14ac:dyDescent="0.25">
      <c r="A124" s="174">
        <v>15</v>
      </c>
      <c r="B124" s="190" t="s">
        <v>502</v>
      </c>
      <c r="C124" s="191"/>
    </row>
    <row r="125" spans="1:3" ht="20.100000000000001" customHeight="1" x14ac:dyDescent="0.25">
      <c r="A125" s="195" t="s">
        <v>955</v>
      </c>
      <c r="B125" s="192" t="s">
        <v>503</v>
      </c>
      <c r="C125" s="191">
        <f>data!C370</f>
        <v>72913</v>
      </c>
    </row>
    <row r="126" spans="1:3" ht="20.100000000000001" customHeight="1" x14ac:dyDescent="0.25">
      <c r="A126" s="195" t="s">
        <v>956</v>
      </c>
      <c r="B126" s="192" t="s">
        <v>504</v>
      </c>
      <c r="C126" s="191">
        <f>data!C371</f>
        <v>0</v>
      </c>
    </row>
    <row r="127" spans="1:3" ht="20.100000000000001" customHeight="1" x14ac:dyDescent="0.25">
      <c r="A127" s="195" t="s">
        <v>957</v>
      </c>
      <c r="B127" s="192" t="s">
        <v>505</v>
      </c>
      <c r="C127" s="191">
        <f>data!C372</f>
        <v>0</v>
      </c>
    </row>
    <row r="128" spans="1:3" ht="20.100000000000001" customHeight="1" x14ac:dyDescent="0.25">
      <c r="A128" s="195" t="s">
        <v>958</v>
      </c>
      <c r="B128" s="192" t="s">
        <v>506</v>
      </c>
      <c r="C128" s="191">
        <f>data!C373</f>
        <v>0</v>
      </c>
    </row>
    <row r="129" spans="1:3" ht="20.100000000000001" customHeight="1" x14ac:dyDescent="0.25">
      <c r="A129" s="195" t="s">
        <v>959</v>
      </c>
      <c r="B129" s="192" t="s">
        <v>507</v>
      </c>
      <c r="C129" s="191">
        <f>data!C374</f>
        <v>0</v>
      </c>
    </row>
    <row r="130" spans="1:3" ht="20.100000000000001" customHeight="1" x14ac:dyDescent="0.25">
      <c r="A130" s="195" t="s">
        <v>960</v>
      </c>
      <c r="B130" s="192" t="s">
        <v>508</v>
      </c>
      <c r="C130" s="191">
        <f>data!C375</f>
        <v>0</v>
      </c>
    </row>
    <row r="131" spans="1:3" ht="20.100000000000001" customHeight="1" x14ac:dyDescent="0.25">
      <c r="A131" s="195" t="s">
        <v>961</v>
      </c>
      <c r="B131" s="192" t="s">
        <v>509</v>
      </c>
      <c r="C131" s="191">
        <f>data!C376</f>
        <v>0</v>
      </c>
    </row>
    <row r="132" spans="1:3" ht="20.100000000000001" customHeight="1" x14ac:dyDescent="0.25">
      <c r="A132" s="195" t="s">
        <v>962</v>
      </c>
      <c r="B132" s="192" t="s">
        <v>510</v>
      </c>
      <c r="C132" s="191">
        <f>data!C377</f>
        <v>0</v>
      </c>
    </row>
    <row r="133" spans="1:3" ht="20.100000000000001" customHeight="1" x14ac:dyDescent="0.25">
      <c r="A133" s="195" t="s">
        <v>963</v>
      </c>
      <c r="B133" s="192" t="s">
        <v>511</v>
      </c>
      <c r="C133" s="191">
        <f>data!C378</f>
        <v>70342</v>
      </c>
    </row>
    <row r="134" spans="1:3" ht="20.100000000000001" customHeight="1" x14ac:dyDescent="0.25">
      <c r="A134" s="195" t="s">
        <v>964</v>
      </c>
      <c r="B134" s="192" t="s">
        <v>512</v>
      </c>
      <c r="C134" s="191">
        <f>data!C379</f>
        <v>154247</v>
      </c>
    </row>
    <row r="135" spans="1:3" ht="20.100000000000001" customHeight="1" x14ac:dyDescent="0.25">
      <c r="A135" s="195" t="s">
        <v>965</v>
      </c>
      <c r="B135" s="192" t="s">
        <v>513</v>
      </c>
      <c r="C135" s="191">
        <f>data!C380</f>
        <v>725564</v>
      </c>
    </row>
    <row r="136" spans="1:3" ht="20.100000000000001" customHeight="1" x14ac:dyDescent="0.25">
      <c r="A136" s="174">
        <v>16</v>
      </c>
      <c r="B136" s="176" t="s">
        <v>515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966</v>
      </c>
      <c r="C137" s="189">
        <f>data!D383</f>
        <v>2347896</v>
      </c>
    </row>
    <row r="138" spans="1:3" ht="20.100000000000001" customHeight="1" x14ac:dyDescent="0.25">
      <c r="A138" s="174">
        <v>18</v>
      </c>
      <c r="B138" s="176" t="s">
        <v>967</v>
      </c>
      <c r="C138" s="189">
        <f>data!D384</f>
        <v>33446350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968</v>
      </c>
      <c r="C140" s="175"/>
    </row>
    <row r="141" spans="1:3" ht="20.100000000000001" customHeight="1" x14ac:dyDescent="0.25">
      <c r="A141" s="174">
        <v>21</v>
      </c>
      <c r="B141" s="176" t="s">
        <v>519</v>
      </c>
      <c r="C141" s="189">
        <f>data!C389</f>
        <v>16280974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3644312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494245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3293377</v>
      </c>
    </row>
    <row r="145" spans="1:3" ht="20.100000000000001" customHeight="1" x14ac:dyDescent="0.25">
      <c r="A145" s="174">
        <v>25</v>
      </c>
      <c r="B145" s="176" t="s">
        <v>969</v>
      </c>
      <c r="C145" s="189">
        <f>data!C393</f>
        <v>406162</v>
      </c>
    </row>
    <row r="146" spans="1:3" ht="20.100000000000001" customHeight="1" x14ac:dyDescent="0.25">
      <c r="A146" s="174">
        <v>26</v>
      </c>
      <c r="B146" s="176" t="s">
        <v>970</v>
      </c>
      <c r="C146" s="189">
        <f>data!C394</f>
        <v>8382333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1553195</v>
      </c>
    </row>
    <row r="148" spans="1:3" ht="20.100000000000001" customHeight="1" x14ac:dyDescent="0.25">
      <c r="A148" s="174">
        <v>28</v>
      </c>
      <c r="B148" s="176" t="s">
        <v>971</v>
      </c>
      <c r="C148" s="189">
        <f>data!C396</f>
        <v>501290</v>
      </c>
    </row>
    <row r="149" spans="1:3" ht="20.100000000000001" customHeight="1" x14ac:dyDescent="0.25">
      <c r="A149" s="174">
        <v>29</v>
      </c>
      <c r="B149" s="176" t="s">
        <v>524</v>
      </c>
      <c r="C149" s="189">
        <f>data!C397</f>
        <v>460775</v>
      </c>
    </row>
    <row r="150" spans="1:3" ht="20.100000000000001" customHeight="1" x14ac:dyDescent="0.25">
      <c r="A150" s="174">
        <v>30</v>
      </c>
      <c r="B150" s="176" t="s">
        <v>972</v>
      </c>
      <c r="C150" s="189">
        <f>data!C398</f>
        <v>248689</v>
      </c>
    </row>
    <row r="151" spans="1:3" ht="20.100000000000001" customHeight="1" x14ac:dyDescent="0.25">
      <c r="A151" s="174">
        <v>31</v>
      </c>
      <c r="B151" s="176" t="s">
        <v>526</v>
      </c>
      <c r="C151" s="189">
        <f>data!C399</f>
        <v>365138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973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974</v>
      </c>
      <c r="B154" s="193" t="s">
        <v>270</v>
      </c>
      <c r="C154" s="189">
        <f>data!C402</f>
        <v>0</v>
      </c>
    </row>
    <row r="155" spans="1:3" ht="20.100000000000001" customHeight="1" x14ac:dyDescent="0.25">
      <c r="A155" s="195" t="s">
        <v>975</v>
      </c>
      <c r="B155" s="193" t="s">
        <v>976</v>
      </c>
      <c r="C155" s="189">
        <f>data!C403</f>
        <v>41465</v>
      </c>
    </row>
    <row r="156" spans="1:3" ht="20.100000000000001" customHeight="1" x14ac:dyDescent="0.25">
      <c r="A156" s="195" t="s">
        <v>977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978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979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980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981</v>
      </c>
      <c r="B160" s="193" t="s">
        <v>276</v>
      </c>
      <c r="C160" s="189">
        <f>data!C408</f>
        <v>507870</v>
      </c>
    </row>
    <row r="161" spans="1:3" ht="20.100000000000001" customHeight="1" x14ac:dyDescent="0.25">
      <c r="A161" s="195" t="s">
        <v>982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983</v>
      </c>
      <c r="B162" s="193" t="s">
        <v>278</v>
      </c>
      <c r="C162" s="189">
        <f>data!C410</f>
        <v>58265</v>
      </c>
    </row>
    <row r="163" spans="1:3" ht="20.100000000000001" customHeight="1" x14ac:dyDescent="0.25">
      <c r="A163" s="195" t="s">
        <v>984</v>
      </c>
      <c r="B163" s="193" t="s">
        <v>279</v>
      </c>
      <c r="C163" s="189">
        <f>data!C411</f>
        <v>111139</v>
      </c>
    </row>
    <row r="164" spans="1:3" ht="20.100000000000001" customHeight="1" x14ac:dyDescent="0.25">
      <c r="A164" s="195" t="s">
        <v>985</v>
      </c>
      <c r="B164" s="193" t="s">
        <v>280</v>
      </c>
      <c r="C164" s="189">
        <f>data!C412</f>
        <v>0</v>
      </c>
    </row>
    <row r="165" spans="1:3" ht="20.100000000000001" customHeight="1" x14ac:dyDescent="0.25">
      <c r="A165" s="195" t="s">
        <v>986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987</v>
      </c>
      <c r="B166" s="193" t="s">
        <v>988</v>
      </c>
      <c r="C166" s="189">
        <f>data!C414</f>
        <v>354718</v>
      </c>
    </row>
    <row r="167" spans="1:3" ht="20.100000000000001" customHeight="1" x14ac:dyDescent="0.25">
      <c r="A167" s="174">
        <v>34</v>
      </c>
      <c r="B167" s="176" t="s">
        <v>989</v>
      </c>
      <c r="C167" s="189">
        <f>data!D416</f>
        <v>36703947</v>
      </c>
    </row>
    <row r="168" spans="1:3" ht="20.100000000000001" customHeight="1" x14ac:dyDescent="0.25">
      <c r="A168" s="174">
        <v>35</v>
      </c>
      <c r="B168" s="176" t="s">
        <v>990</v>
      </c>
      <c r="C168" s="189">
        <f>data!D417</f>
        <v>-3257597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991</v>
      </c>
      <c r="C170" s="189">
        <f>data!D420</f>
        <v>894094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992</v>
      </c>
      <c r="C172" s="176">
        <f>data!D421</f>
        <v>-2363503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993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994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995</v>
      </c>
      <c r="C177" s="189">
        <f>data!D424</f>
        <v>-2363503</v>
      </c>
    </row>
    <row r="178" spans="1:3" ht="20.100000000000001" customHeight="1" x14ac:dyDescent="0.25">
      <c r="A178" s="179">
        <v>45</v>
      </c>
      <c r="B178" s="178" t="s">
        <v>996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  <customProperties>
    <customPr name="OrphanNamesChecke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A94" zoomScale="65" workbookViewId="0">
      <selection activeCell="I363" sqref="I363:I371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997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998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NORTH VALLEY HOSPITAL OCPHD#4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999</v>
      </c>
      <c r="C6" s="243" t="s">
        <v>117</v>
      </c>
      <c r="D6" s="244" t="s">
        <v>1000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1001</v>
      </c>
      <c r="E7" s="244" t="s">
        <v>189</v>
      </c>
      <c r="F7" s="244" t="s">
        <v>1002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1003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0</v>
      </c>
      <c r="D9" s="238">
        <f>data!D59</f>
        <v>0</v>
      </c>
      <c r="E9" s="238">
        <f>data!E59</f>
        <v>665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0</v>
      </c>
      <c r="D10" s="245">
        <f>data!D60</f>
        <v>0</v>
      </c>
      <c r="E10" s="245">
        <f>data!E60</f>
        <v>4.62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0</v>
      </c>
      <c r="D11" s="238">
        <f>data!D61</f>
        <v>0</v>
      </c>
      <c r="E11" s="238">
        <f>data!E61</f>
        <v>532913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0</v>
      </c>
      <c r="D12" s="238">
        <f>data!D62</f>
        <v>0</v>
      </c>
      <c r="E12" s="238">
        <f>data!E62</f>
        <v>119287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0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0</v>
      </c>
      <c r="D14" s="238">
        <f>data!D64</f>
        <v>0</v>
      </c>
      <c r="E14" s="238">
        <f>data!E64</f>
        <v>10857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521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522</v>
      </c>
      <c r="C16" s="238">
        <f>data!C66</f>
        <v>0</v>
      </c>
      <c r="D16" s="238">
        <f>data!D66</f>
        <v>0</v>
      </c>
      <c r="E16" s="238">
        <f>data!E66</f>
        <v>366695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0</v>
      </c>
      <c r="D17" s="238">
        <f>data!D67</f>
        <v>0</v>
      </c>
      <c r="E17" s="238">
        <f>data!E67</f>
        <v>30067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1004</v>
      </c>
      <c r="C18" s="238">
        <f>data!C68</f>
        <v>0</v>
      </c>
      <c r="D18" s="238">
        <f>data!D68</f>
        <v>0</v>
      </c>
      <c r="E18" s="238">
        <f>data!E68</f>
        <v>3804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1005</v>
      </c>
      <c r="C19" s="238">
        <f>data!C69</f>
        <v>0</v>
      </c>
      <c r="D19" s="238">
        <f>data!D69</f>
        <v>0</v>
      </c>
      <c r="E19" s="238">
        <f>data!E69</f>
        <v>15072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1006</v>
      </c>
      <c r="C21" s="238">
        <f>data!C85</f>
        <v>0</v>
      </c>
      <c r="D21" s="238">
        <f>data!D85</f>
        <v>0</v>
      </c>
      <c r="E21" s="238">
        <f>data!E85</f>
        <v>1078695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1007</v>
      </c>
      <c r="C23" s="246">
        <f>+data!M668</f>
        <v>0</v>
      </c>
      <c r="D23" s="246">
        <f>+data!M669</f>
        <v>0</v>
      </c>
      <c r="E23" s="246">
        <f>+data!M670</f>
        <v>490393</v>
      </c>
      <c r="F23" s="246">
        <f>+data!M671</f>
        <v>0</v>
      </c>
      <c r="G23" s="246">
        <f>+data!M672</f>
        <v>0</v>
      </c>
      <c r="H23" s="246">
        <f>+data!M673</f>
        <v>0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1008</v>
      </c>
      <c r="C24" s="238">
        <f>data!C87</f>
        <v>0</v>
      </c>
      <c r="D24" s="238">
        <f>data!D87</f>
        <v>0</v>
      </c>
      <c r="E24" s="238">
        <f>data!E87</f>
        <v>1941763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1009</v>
      </c>
      <c r="C25" s="238">
        <f>data!C88</f>
        <v>0</v>
      </c>
      <c r="D25" s="238">
        <f>data!D88</f>
        <v>0</v>
      </c>
      <c r="E25" s="238">
        <f>data!E88</f>
        <v>0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1010</v>
      </c>
      <c r="C26" s="238">
        <f>data!C89</f>
        <v>0</v>
      </c>
      <c r="D26" s="238">
        <f>data!D89</f>
        <v>0</v>
      </c>
      <c r="E26" s="238">
        <f>data!E89</f>
        <v>1941763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1011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1012</v>
      </c>
      <c r="C28" s="238">
        <f>data!C90</f>
        <v>0</v>
      </c>
      <c r="D28" s="238">
        <f>data!D90</f>
        <v>0</v>
      </c>
      <c r="E28" s="238">
        <f>data!E90</f>
        <v>1841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1013</v>
      </c>
      <c r="C29" s="238">
        <f>data!C91</f>
        <v>0</v>
      </c>
      <c r="D29" s="238">
        <f>data!D91</f>
        <v>0</v>
      </c>
      <c r="E29" s="238">
        <f>data!E91</f>
        <v>2078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1014</v>
      </c>
      <c r="C30" s="238">
        <f>data!C92</f>
        <v>0</v>
      </c>
      <c r="D30" s="238">
        <f>data!D92</f>
        <v>0</v>
      </c>
      <c r="E30" s="238">
        <f>data!E92</f>
        <v>600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1015</v>
      </c>
      <c r="C31" s="238">
        <f>data!C93</f>
        <v>0</v>
      </c>
      <c r="D31" s="238">
        <f>data!D93</f>
        <v>0</v>
      </c>
      <c r="E31" s="238">
        <f>data!E93</f>
        <v>11208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0</v>
      </c>
      <c r="D32" s="245">
        <f>data!D94</f>
        <v>0</v>
      </c>
      <c r="E32" s="245">
        <f>data!E94</f>
        <v>3.92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997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1016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NORTH VALLEY HOSPITAL OCPHD#4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999</v>
      </c>
      <c r="C38" s="244"/>
      <c r="D38" s="244" t="s">
        <v>125</v>
      </c>
      <c r="E38" s="244" t="s">
        <v>126</v>
      </c>
      <c r="F38" s="244" t="s">
        <v>1017</v>
      </c>
      <c r="G38" s="244" t="s">
        <v>128</v>
      </c>
      <c r="H38" s="244" t="s">
        <v>1018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1003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0</v>
      </c>
      <c r="D41" s="238">
        <f>data!K59</f>
        <v>13849</v>
      </c>
      <c r="E41" s="238">
        <f>data!L59</f>
        <v>1812</v>
      </c>
      <c r="F41" s="238">
        <f>data!M59</f>
        <v>0</v>
      </c>
      <c r="G41" s="238">
        <f>data!N59</f>
        <v>0</v>
      </c>
      <c r="H41" s="238">
        <f>data!O59</f>
        <v>0</v>
      </c>
      <c r="I41" s="238">
        <f>data!P59</f>
        <v>6483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32.08</v>
      </c>
      <c r="E42" s="245">
        <f>data!L60</f>
        <v>12.59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2.79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2326573</v>
      </c>
      <c r="E43" s="238">
        <f>data!L61</f>
        <v>1452088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611680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520777</v>
      </c>
      <c r="E44" s="238">
        <f>data!L62</f>
        <v>325033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136918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75246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159124</v>
      </c>
      <c r="E46" s="238">
        <f>data!L64</f>
        <v>29584</v>
      </c>
      <c r="F46" s="238">
        <f>data!M64</f>
        <v>0</v>
      </c>
      <c r="G46" s="238">
        <f>data!N64</f>
        <v>0</v>
      </c>
      <c r="H46" s="238">
        <f>data!O64</f>
        <v>0</v>
      </c>
      <c r="I46" s="238">
        <f>data!P64</f>
        <v>31392</v>
      </c>
    </row>
    <row r="47" spans="1:9" ht="20.100000000000001" customHeight="1" x14ac:dyDescent="0.2">
      <c r="A47" s="230">
        <v>10</v>
      </c>
      <c r="B47" s="238" t="s">
        <v>521</v>
      </c>
      <c r="C47" s="238">
        <f>data!J65</f>
        <v>0</v>
      </c>
      <c r="D47" s="238">
        <f>data!K65</f>
        <v>32255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522</v>
      </c>
      <c r="C48" s="238">
        <f>data!J66</f>
        <v>0</v>
      </c>
      <c r="D48" s="238">
        <f>data!K66</f>
        <v>1102621</v>
      </c>
      <c r="E48" s="238">
        <f>data!L66</f>
        <v>999174</v>
      </c>
      <c r="F48" s="238">
        <f>data!M66</f>
        <v>0</v>
      </c>
      <c r="G48" s="238">
        <f>data!N66</f>
        <v>0</v>
      </c>
      <c r="H48" s="238">
        <f>data!O66</f>
        <v>0</v>
      </c>
      <c r="I48" s="238">
        <f>data!P66</f>
        <v>13665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276251</v>
      </c>
      <c r="E49" s="238">
        <f>data!L67</f>
        <v>81920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47150</v>
      </c>
    </row>
    <row r="50" spans="1:11" ht="20.100000000000001" customHeight="1" x14ac:dyDescent="0.2">
      <c r="A50" s="230">
        <v>13</v>
      </c>
      <c r="B50" s="238" t="s">
        <v>1004</v>
      </c>
      <c r="C50" s="238">
        <f>data!J68</f>
        <v>0</v>
      </c>
      <c r="D50" s="238">
        <f>data!K68</f>
        <v>186</v>
      </c>
      <c r="E50" s="238">
        <f>data!L68</f>
        <v>10364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71</v>
      </c>
    </row>
    <row r="51" spans="1:11" ht="20.100000000000001" customHeight="1" x14ac:dyDescent="0.2">
      <c r="A51" s="230">
        <v>14</v>
      </c>
      <c r="B51" s="238" t="s">
        <v>1005</v>
      </c>
      <c r="C51" s="238">
        <f>data!J69</f>
        <v>0</v>
      </c>
      <c r="D51" s="238">
        <f>data!K69</f>
        <v>48945</v>
      </c>
      <c r="E51" s="238">
        <f>data!L69</f>
        <v>41069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15874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-12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1006</v>
      </c>
      <c r="C53" s="238">
        <f>data!J85</f>
        <v>0</v>
      </c>
      <c r="D53" s="238">
        <f>data!K85</f>
        <v>4541966</v>
      </c>
      <c r="E53" s="238">
        <f>data!L85</f>
        <v>2939232</v>
      </c>
      <c r="F53" s="238">
        <f>data!M85</f>
        <v>0</v>
      </c>
      <c r="G53" s="238">
        <f>data!N85</f>
        <v>0</v>
      </c>
      <c r="H53" s="238">
        <f>data!O85</f>
        <v>0</v>
      </c>
      <c r="I53" s="238">
        <f>data!P85</f>
        <v>856750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1007</v>
      </c>
      <c r="C55" s="246">
        <f>+data!M675</f>
        <v>0</v>
      </c>
      <c r="D55" s="246">
        <f>+data!M676</f>
        <v>2846421</v>
      </c>
      <c r="E55" s="246">
        <f>+data!M677</f>
        <v>1087565</v>
      </c>
      <c r="F55" s="246">
        <v>0</v>
      </c>
      <c r="G55" s="246">
        <v>0</v>
      </c>
      <c r="H55" s="246">
        <f>+data!M680</f>
        <v>0</v>
      </c>
      <c r="I55" s="246">
        <f>+data!M681</f>
        <v>256529</v>
      </c>
    </row>
    <row r="56" spans="1:11" ht="20.100000000000001" customHeight="1" x14ac:dyDescent="0.2">
      <c r="A56" s="230">
        <v>19</v>
      </c>
      <c r="B56" s="246" t="s">
        <v>1008</v>
      </c>
      <c r="C56" s="238">
        <f>data!J87</f>
        <v>0</v>
      </c>
      <c r="D56" s="238">
        <f>data!K87</f>
        <v>4901213</v>
      </c>
      <c r="E56" s="238">
        <f>data!L87</f>
        <v>2326897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7628</v>
      </c>
    </row>
    <row r="57" spans="1:11" ht="20.100000000000001" customHeight="1" x14ac:dyDescent="0.2">
      <c r="A57" s="230">
        <v>20</v>
      </c>
      <c r="B57" s="246" t="s">
        <v>1009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613950</v>
      </c>
    </row>
    <row r="58" spans="1:11" ht="20.100000000000001" customHeight="1" x14ac:dyDescent="0.2">
      <c r="A58" s="230">
        <v>21</v>
      </c>
      <c r="B58" s="246" t="s">
        <v>1010</v>
      </c>
      <c r="C58" s="238">
        <f>data!J89</f>
        <v>0</v>
      </c>
      <c r="D58" s="238">
        <f>data!K89</f>
        <v>4901213</v>
      </c>
      <c r="E58" s="238">
        <f>data!L89</f>
        <v>2326897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621578</v>
      </c>
    </row>
    <row r="59" spans="1:11" ht="20.100000000000001" customHeight="1" x14ac:dyDescent="0.2">
      <c r="A59" s="230" t="s">
        <v>1011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1012</v>
      </c>
      <c r="C60" s="238">
        <f>data!J90</f>
        <v>0</v>
      </c>
      <c r="D60" s="238">
        <f>data!K90</f>
        <v>16915</v>
      </c>
      <c r="E60" s="238">
        <f>data!L90</f>
        <v>5016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2887</v>
      </c>
      <c r="K60" s="249"/>
    </row>
    <row r="61" spans="1:11" ht="20.100000000000001" customHeight="1" x14ac:dyDescent="0.2">
      <c r="A61" s="230">
        <v>23</v>
      </c>
      <c r="B61" s="238" t="s">
        <v>1013</v>
      </c>
      <c r="C61" s="238">
        <f>data!J91</f>
        <v>0</v>
      </c>
      <c r="D61" s="238">
        <f>data!K91</f>
        <v>40588</v>
      </c>
      <c r="E61" s="238">
        <f>data!L91</f>
        <v>4854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1014</v>
      </c>
      <c r="C62" s="238">
        <f>data!J92</f>
        <v>0</v>
      </c>
      <c r="D62" s="238">
        <f>data!K92</f>
        <v>0</v>
      </c>
      <c r="E62" s="238">
        <f>data!L92</f>
        <v>1636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288</v>
      </c>
    </row>
    <row r="63" spans="1:11" ht="20.100000000000001" customHeight="1" x14ac:dyDescent="0.2">
      <c r="A63" s="230">
        <v>25</v>
      </c>
      <c r="B63" s="238" t="s">
        <v>1015</v>
      </c>
      <c r="C63" s="238">
        <f>data!J93</f>
        <v>0</v>
      </c>
      <c r="D63" s="238">
        <f>data!K93</f>
        <v>160075</v>
      </c>
      <c r="E63" s="238">
        <f>data!L93</f>
        <v>30540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2114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27.53</v>
      </c>
      <c r="E64" s="245">
        <f>data!L94</f>
        <v>10.68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1.1399999999999999</v>
      </c>
    </row>
    <row r="65" spans="1:9" ht="20.100000000000001" customHeight="1" x14ac:dyDescent="0.2">
      <c r="A65" s="231" t="s">
        <v>997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1019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NORTH VALLEY HOSPITAL OCPHD#4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999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1020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1003</v>
      </c>
      <c r="C72" s="240" t="s">
        <v>1021</v>
      </c>
      <c r="D72" s="239" t="s">
        <v>1022</v>
      </c>
      <c r="E72" s="250"/>
      <c r="F72" s="250"/>
      <c r="G72" s="239" t="s">
        <v>1023</v>
      </c>
      <c r="H72" s="239" t="s">
        <v>1023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329</v>
      </c>
      <c r="D73" s="246">
        <f>data!R59</f>
        <v>545</v>
      </c>
      <c r="E73" s="250"/>
      <c r="F73" s="250"/>
      <c r="G73" s="238">
        <f>data!U59</f>
        <v>42279</v>
      </c>
      <c r="H73" s="238">
        <f>data!V59</f>
        <v>2886</v>
      </c>
      <c r="I73" s="238">
        <f>data!W59</f>
        <v>421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0.03</v>
      </c>
      <c r="D74" s="245">
        <f>data!R60</f>
        <v>0.12</v>
      </c>
      <c r="E74" s="245">
        <f>data!S60</f>
        <v>0.91</v>
      </c>
      <c r="F74" s="245">
        <f>data!T60</f>
        <v>0</v>
      </c>
      <c r="G74" s="245">
        <f>data!U60</f>
        <v>6.95</v>
      </c>
      <c r="H74" s="245">
        <f>data!V60</f>
        <v>0</v>
      </c>
      <c r="I74" s="245">
        <f>data!W60</f>
        <v>0.25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4463</v>
      </c>
      <c r="D75" s="238">
        <f>data!R61</f>
        <v>52583</v>
      </c>
      <c r="E75" s="238">
        <f>data!S61</f>
        <v>47732</v>
      </c>
      <c r="F75" s="238">
        <f>data!T61</f>
        <v>0</v>
      </c>
      <c r="G75" s="238">
        <f>data!U61</f>
        <v>512322</v>
      </c>
      <c r="H75" s="238">
        <f>data!V61</f>
        <v>0</v>
      </c>
      <c r="I75" s="238">
        <f>data!W61</f>
        <v>33146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999</v>
      </c>
      <c r="D76" s="238">
        <f>data!R62</f>
        <v>11770</v>
      </c>
      <c r="E76" s="238">
        <f>data!S62</f>
        <v>10684</v>
      </c>
      <c r="F76" s="238">
        <f>data!T62</f>
        <v>0</v>
      </c>
      <c r="G76" s="238">
        <f>data!U62</f>
        <v>114677</v>
      </c>
      <c r="H76" s="238">
        <f>data!V62</f>
        <v>0</v>
      </c>
      <c r="I76" s="238">
        <f>data!W62</f>
        <v>7419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597</v>
      </c>
      <c r="H77" s="238">
        <f>data!V63</f>
        <v>0</v>
      </c>
      <c r="I77" s="238">
        <f>data!W63</f>
        <v>30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0</v>
      </c>
      <c r="D78" s="238">
        <f>data!R64</f>
        <v>826</v>
      </c>
      <c r="E78" s="238">
        <f>data!S64</f>
        <v>0</v>
      </c>
      <c r="F78" s="238">
        <f>data!T64</f>
        <v>0</v>
      </c>
      <c r="G78" s="238">
        <f>data!U64</f>
        <v>605507</v>
      </c>
      <c r="H78" s="238">
        <f>data!V64</f>
        <v>0</v>
      </c>
      <c r="I78" s="238">
        <f>data!W64</f>
        <v>673</v>
      </c>
    </row>
    <row r="79" spans="1:9" ht="20.100000000000001" customHeight="1" x14ac:dyDescent="0.2">
      <c r="A79" s="230">
        <v>10</v>
      </c>
      <c r="B79" s="238" t="s">
        <v>521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522</v>
      </c>
      <c r="C80" s="238">
        <f>data!Q66</f>
        <v>63</v>
      </c>
      <c r="D80" s="238">
        <f>data!R66</f>
        <v>762</v>
      </c>
      <c r="E80" s="238">
        <f>data!S66</f>
        <v>0</v>
      </c>
      <c r="F80" s="238">
        <f>data!T66</f>
        <v>0</v>
      </c>
      <c r="G80" s="238">
        <f>data!U66</f>
        <v>263187</v>
      </c>
      <c r="H80" s="238">
        <f>data!V66</f>
        <v>0</v>
      </c>
      <c r="I80" s="238">
        <f>data!W66</f>
        <v>54571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11677</v>
      </c>
      <c r="D81" s="238">
        <f>data!R67</f>
        <v>9668</v>
      </c>
      <c r="E81" s="238">
        <f>data!S67</f>
        <v>12804</v>
      </c>
      <c r="F81" s="238">
        <f>data!T67</f>
        <v>0</v>
      </c>
      <c r="G81" s="238">
        <f>data!U67</f>
        <v>35015</v>
      </c>
      <c r="H81" s="238">
        <f>data!V67</f>
        <v>0</v>
      </c>
      <c r="I81" s="238">
        <f>data!W67</f>
        <v>2531</v>
      </c>
    </row>
    <row r="82" spans="1:9" ht="20.100000000000001" customHeight="1" x14ac:dyDescent="0.2">
      <c r="A82" s="230">
        <v>13</v>
      </c>
      <c r="B82" s="238" t="s">
        <v>1004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8212</v>
      </c>
    </row>
    <row r="83" spans="1:9" ht="20.100000000000001" customHeight="1" x14ac:dyDescent="0.2">
      <c r="A83" s="230">
        <v>14</v>
      </c>
      <c r="B83" s="238" t="s">
        <v>1005</v>
      </c>
      <c r="C83" s="238">
        <f>data!Q69</f>
        <v>0</v>
      </c>
      <c r="D83" s="238">
        <f>data!R69</f>
        <v>6074</v>
      </c>
      <c r="E83" s="238">
        <f>data!S69</f>
        <v>0</v>
      </c>
      <c r="F83" s="238">
        <f>data!T69</f>
        <v>0</v>
      </c>
      <c r="G83" s="238">
        <f>data!U69</f>
        <v>71545</v>
      </c>
      <c r="H83" s="238">
        <f>data!V69</f>
        <v>0</v>
      </c>
      <c r="I83" s="238">
        <f>data!W69</f>
        <v>6194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1006</v>
      </c>
      <c r="C85" s="238">
        <f>data!Q85</f>
        <v>17202</v>
      </c>
      <c r="D85" s="238">
        <f>data!R85</f>
        <v>81683</v>
      </c>
      <c r="E85" s="238">
        <f>data!S85</f>
        <v>71220</v>
      </c>
      <c r="F85" s="238">
        <f>data!T85</f>
        <v>0</v>
      </c>
      <c r="G85" s="238">
        <f>data!U85</f>
        <v>1602850</v>
      </c>
      <c r="H85" s="238">
        <f>data!V85</f>
        <v>0</v>
      </c>
      <c r="I85" s="238">
        <f>data!W85</f>
        <v>112776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1007</v>
      </c>
      <c r="C87" s="246">
        <f>+data!M682</f>
        <v>28371</v>
      </c>
      <c r="D87" s="246">
        <f>+data!M683</f>
        <v>25721</v>
      </c>
      <c r="E87" s="246">
        <f>+data!M684</f>
        <v>126764</v>
      </c>
      <c r="F87" s="246">
        <f>+data!M685</f>
        <v>0</v>
      </c>
      <c r="G87" s="246">
        <f>+data!M686</f>
        <v>585268</v>
      </c>
      <c r="H87" s="246">
        <f>+data!M687</f>
        <v>18825</v>
      </c>
      <c r="I87" s="246">
        <f>+data!M688</f>
        <v>48001</v>
      </c>
    </row>
    <row r="88" spans="1:9" ht="20.100000000000001" customHeight="1" x14ac:dyDescent="0.2">
      <c r="A88" s="230">
        <v>19</v>
      </c>
      <c r="B88" s="246" t="s">
        <v>1008</v>
      </c>
      <c r="C88" s="238">
        <f>data!Q87</f>
        <v>0</v>
      </c>
      <c r="D88" s="238">
        <f>data!R87</f>
        <v>0</v>
      </c>
      <c r="E88" s="238">
        <f>data!S87</f>
        <v>400322</v>
      </c>
      <c r="F88" s="238">
        <f>data!T87</f>
        <v>0</v>
      </c>
      <c r="G88" s="238">
        <f>data!U87</f>
        <v>451716</v>
      </c>
      <c r="H88" s="238">
        <f>data!V87</f>
        <v>6582</v>
      </c>
      <c r="I88" s="238">
        <f>data!W87</f>
        <v>7834</v>
      </c>
    </row>
    <row r="89" spans="1:9" ht="20.100000000000001" customHeight="1" x14ac:dyDescent="0.2">
      <c r="A89" s="230">
        <v>20</v>
      </c>
      <c r="B89" s="246" t="s">
        <v>1009</v>
      </c>
      <c r="C89" s="238">
        <f>data!Q88</f>
        <v>11325</v>
      </c>
      <c r="D89" s="238">
        <f>data!R88</f>
        <v>48046</v>
      </c>
      <c r="E89" s="238">
        <f>data!S88</f>
        <v>735310</v>
      </c>
      <c r="F89" s="238">
        <f>data!T88</f>
        <v>0</v>
      </c>
      <c r="G89" s="238">
        <f>data!U88</f>
        <v>3367659</v>
      </c>
      <c r="H89" s="238">
        <f>data!V88</f>
        <v>239137</v>
      </c>
      <c r="I89" s="238">
        <f>data!W88</f>
        <v>415155</v>
      </c>
    </row>
    <row r="90" spans="1:9" ht="20.100000000000001" customHeight="1" x14ac:dyDescent="0.2">
      <c r="A90" s="230">
        <v>21</v>
      </c>
      <c r="B90" s="246" t="s">
        <v>1010</v>
      </c>
      <c r="C90" s="238">
        <f>data!Q89</f>
        <v>11325</v>
      </c>
      <c r="D90" s="238">
        <f>data!R89</f>
        <v>48046</v>
      </c>
      <c r="E90" s="238">
        <f>data!S89</f>
        <v>1135632</v>
      </c>
      <c r="F90" s="238">
        <f>data!T89</f>
        <v>0</v>
      </c>
      <c r="G90" s="238">
        <f>data!U89</f>
        <v>3819375</v>
      </c>
      <c r="H90" s="238">
        <f>data!V89</f>
        <v>245719</v>
      </c>
      <c r="I90" s="238">
        <f>data!W89</f>
        <v>422989</v>
      </c>
    </row>
    <row r="91" spans="1:9" ht="20.100000000000001" customHeight="1" x14ac:dyDescent="0.2">
      <c r="A91" s="230" t="s">
        <v>1011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1012</v>
      </c>
      <c r="C92" s="238">
        <f>data!Q90</f>
        <v>715</v>
      </c>
      <c r="D92" s="238">
        <f>data!R90</f>
        <v>592</v>
      </c>
      <c r="E92" s="238">
        <f>data!S90</f>
        <v>784</v>
      </c>
      <c r="F92" s="238">
        <f>data!T90</f>
        <v>0</v>
      </c>
      <c r="G92" s="238">
        <f>data!U90</f>
        <v>2144</v>
      </c>
      <c r="H92" s="238">
        <f>data!V90</f>
        <v>0</v>
      </c>
      <c r="I92" s="238">
        <f>data!W90</f>
        <v>155</v>
      </c>
    </row>
    <row r="93" spans="1:9" ht="20.100000000000001" customHeight="1" x14ac:dyDescent="0.2">
      <c r="A93" s="230">
        <v>23</v>
      </c>
      <c r="B93" s="238" t="s">
        <v>1013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1014</v>
      </c>
      <c r="C94" s="238">
        <f>data!Q92</f>
        <v>51</v>
      </c>
      <c r="D94" s="238">
        <f>data!R92</f>
        <v>0</v>
      </c>
      <c r="E94" s="238">
        <f>data!S92</f>
        <v>69</v>
      </c>
      <c r="F94" s="238">
        <f>data!T92</f>
        <v>0</v>
      </c>
      <c r="G94" s="238">
        <f>data!U92</f>
        <v>148</v>
      </c>
      <c r="H94" s="238">
        <f>data!V92</f>
        <v>0</v>
      </c>
      <c r="I94" s="238">
        <f>data!W92</f>
        <v>12</v>
      </c>
    </row>
    <row r="95" spans="1:9" ht="20.100000000000001" customHeight="1" x14ac:dyDescent="0.2">
      <c r="A95" s="230">
        <v>25</v>
      </c>
      <c r="B95" s="238" t="s">
        <v>1015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396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0.03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997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1024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NORTH VALLEY HOSPITAL OCPHD#4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999</v>
      </c>
      <c r="C102" s="244" t="s">
        <v>1025</v>
      </c>
      <c r="D102" s="244" t="s">
        <v>1026</v>
      </c>
      <c r="E102" s="244" t="s">
        <v>1026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1003</v>
      </c>
      <c r="C104" s="239" t="s">
        <v>250</v>
      </c>
      <c r="D104" s="240" t="s">
        <v>1027</v>
      </c>
      <c r="E104" s="240" t="s">
        <v>1027</v>
      </c>
      <c r="F104" s="240" t="s">
        <v>1027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2745</v>
      </c>
      <c r="D105" s="238">
        <f>data!Y59</f>
        <v>6645</v>
      </c>
      <c r="E105" s="238">
        <f>data!Z59</f>
        <v>0</v>
      </c>
      <c r="F105" s="238">
        <f>data!AA59</f>
        <v>0</v>
      </c>
      <c r="G105" s="250"/>
      <c r="H105" s="238">
        <f>data!AC59</f>
        <v>1656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1.62</v>
      </c>
      <c r="D106" s="245">
        <f>data!Y60</f>
        <v>3.91</v>
      </c>
      <c r="E106" s="245">
        <f>data!Z60</f>
        <v>0</v>
      </c>
      <c r="F106" s="245">
        <f>data!AA60</f>
        <v>0</v>
      </c>
      <c r="G106" s="245">
        <f>data!AB60</f>
        <v>0.84</v>
      </c>
      <c r="H106" s="245">
        <f>data!AC60</f>
        <v>0.93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216117</v>
      </c>
      <c r="D107" s="238">
        <f>data!Y61</f>
        <v>523168</v>
      </c>
      <c r="E107" s="238">
        <f>data!Z61</f>
        <v>0</v>
      </c>
      <c r="F107" s="238">
        <f>data!AA61</f>
        <v>0</v>
      </c>
      <c r="G107" s="238">
        <f>data!AB61</f>
        <v>67391</v>
      </c>
      <c r="H107" s="238">
        <f>data!AC61</f>
        <v>128074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48375</v>
      </c>
      <c r="D108" s="238">
        <f>data!Y62</f>
        <v>117105</v>
      </c>
      <c r="E108" s="238">
        <f>data!Z62</f>
        <v>0</v>
      </c>
      <c r="F108" s="238">
        <f>data!AA62</f>
        <v>0</v>
      </c>
      <c r="G108" s="238">
        <f>data!AB62</f>
        <v>15085</v>
      </c>
      <c r="H108" s="238">
        <f>data!AC62</f>
        <v>28668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196</v>
      </c>
      <c r="D109" s="238">
        <f>data!Y63</f>
        <v>474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4387</v>
      </c>
      <c r="D110" s="238">
        <f>data!Y64</f>
        <v>10619</v>
      </c>
      <c r="E110" s="238">
        <f>data!Z64</f>
        <v>0</v>
      </c>
      <c r="F110" s="238">
        <f>data!AA64</f>
        <v>0</v>
      </c>
      <c r="G110" s="238">
        <f>data!AB64</f>
        <v>1359273</v>
      </c>
      <c r="H110" s="238">
        <f>data!AC64</f>
        <v>1840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521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522</v>
      </c>
      <c r="C112" s="238">
        <f>data!X66</f>
        <v>355813</v>
      </c>
      <c r="D112" s="238">
        <f>data!Y66</f>
        <v>861340</v>
      </c>
      <c r="E112" s="238">
        <f>data!Z66</f>
        <v>0</v>
      </c>
      <c r="F112" s="238">
        <f>data!AA66</f>
        <v>0</v>
      </c>
      <c r="G112" s="238">
        <f>data!AB66</f>
        <v>154218</v>
      </c>
      <c r="H112" s="238">
        <f>data!AC66</f>
        <v>56096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16544</v>
      </c>
      <c r="D113" s="238">
        <f>data!Y67</f>
        <v>40029</v>
      </c>
      <c r="E113" s="238">
        <f>data!Z67</f>
        <v>0</v>
      </c>
      <c r="F113" s="238">
        <f>data!AA67</f>
        <v>0</v>
      </c>
      <c r="G113" s="238">
        <f>data!AB67</f>
        <v>15384</v>
      </c>
      <c r="H113" s="238">
        <f>data!AC67</f>
        <v>2809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1004</v>
      </c>
      <c r="C114" s="238">
        <f>data!X68</f>
        <v>53542</v>
      </c>
      <c r="D114" s="238">
        <f>data!Y68</f>
        <v>129612</v>
      </c>
      <c r="E114" s="238">
        <f>data!Z68</f>
        <v>0</v>
      </c>
      <c r="F114" s="238">
        <f>data!AA68</f>
        <v>0</v>
      </c>
      <c r="G114" s="238">
        <f>data!AB68</f>
        <v>83871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1005</v>
      </c>
      <c r="C115" s="238">
        <f>data!X69</f>
        <v>40388</v>
      </c>
      <c r="D115" s="238">
        <f>data!Y69</f>
        <v>97769</v>
      </c>
      <c r="E115" s="238">
        <f>data!Z69</f>
        <v>0</v>
      </c>
      <c r="F115" s="238">
        <f>data!AA69</f>
        <v>0</v>
      </c>
      <c r="G115" s="238">
        <f>data!AB69</f>
        <v>15068</v>
      </c>
      <c r="H115" s="238">
        <f>data!AC69</f>
        <v>5654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1006</v>
      </c>
      <c r="C117" s="238">
        <f>data!X85</f>
        <v>735362</v>
      </c>
      <c r="D117" s="238">
        <f>data!Y85</f>
        <v>1780116</v>
      </c>
      <c r="E117" s="238">
        <f>data!Z85</f>
        <v>0</v>
      </c>
      <c r="F117" s="238">
        <f>data!AA85</f>
        <v>0</v>
      </c>
      <c r="G117" s="238">
        <f>data!AB85</f>
        <v>1710290</v>
      </c>
      <c r="H117" s="238">
        <f>data!AC85</f>
        <v>223141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1007</v>
      </c>
      <c r="C119" s="246">
        <f>+data!M689</f>
        <v>312815</v>
      </c>
      <c r="D119" s="246">
        <f>+data!M690</f>
        <v>757667</v>
      </c>
      <c r="E119" s="246">
        <f>+data!M691</f>
        <v>0</v>
      </c>
      <c r="F119" s="246">
        <f>+data!M692</f>
        <v>0</v>
      </c>
      <c r="G119" s="246">
        <f>+data!M693</f>
        <v>673204</v>
      </c>
      <c r="H119" s="246">
        <f>+data!M694</f>
        <v>84880</v>
      </c>
      <c r="I119" s="246">
        <f>+data!M695</f>
        <v>0</v>
      </c>
    </row>
    <row r="120" spans="1:9" ht="20.100000000000001" customHeight="1" x14ac:dyDescent="0.2">
      <c r="A120" s="230">
        <v>19</v>
      </c>
      <c r="B120" s="246" t="s">
        <v>1008</v>
      </c>
      <c r="C120" s="238">
        <f>data!X87</f>
        <v>51078</v>
      </c>
      <c r="D120" s="238">
        <f>data!Y87</f>
        <v>123651</v>
      </c>
      <c r="E120" s="238">
        <f>data!Z87</f>
        <v>0</v>
      </c>
      <c r="F120" s="238">
        <f>data!AA87</f>
        <v>0</v>
      </c>
      <c r="G120" s="238">
        <f>data!AB87</f>
        <v>543143</v>
      </c>
      <c r="H120" s="238">
        <f>data!AC87</f>
        <v>108435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1009</v>
      </c>
      <c r="C121" s="238">
        <f>data!X88</f>
        <v>2706892</v>
      </c>
      <c r="D121" s="238">
        <f>data!Y88</f>
        <v>6552750</v>
      </c>
      <c r="E121" s="238">
        <f>data!Z88</f>
        <v>0</v>
      </c>
      <c r="F121" s="238">
        <f>data!AA88</f>
        <v>0</v>
      </c>
      <c r="G121" s="238">
        <f>data!AB88</f>
        <v>4331496</v>
      </c>
      <c r="H121" s="238">
        <f>data!AC88</f>
        <v>666990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1010</v>
      </c>
      <c r="C122" s="238">
        <f>data!X89</f>
        <v>2757970</v>
      </c>
      <c r="D122" s="238">
        <f>data!Y89</f>
        <v>6676401</v>
      </c>
      <c r="E122" s="238">
        <f>data!Z89</f>
        <v>0</v>
      </c>
      <c r="F122" s="238">
        <f>data!AA89</f>
        <v>0</v>
      </c>
      <c r="G122" s="238">
        <f>data!AB89</f>
        <v>4874639</v>
      </c>
      <c r="H122" s="238">
        <f>data!AC89</f>
        <v>775425</v>
      </c>
      <c r="I122" s="238">
        <f>data!AD89</f>
        <v>0</v>
      </c>
    </row>
    <row r="123" spans="1:9" ht="20.100000000000001" customHeight="1" x14ac:dyDescent="0.2">
      <c r="A123" s="230" t="s">
        <v>1011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1012</v>
      </c>
      <c r="C124" s="238">
        <f>data!X90</f>
        <v>1013</v>
      </c>
      <c r="D124" s="238">
        <f>data!Y90</f>
        <v>2451</v>
      </c>
      <c r="E124" s="238">
        <f>data!Z90</f>
        <v>0</v>
      </c>
      <c r="F124" s="238">
        <f>data!AA90</f>
        <v>0</v>
      </c>
      <c r="G124" s="238">
        <f>data!AB90</f>
        <v>942</v>
      </c>
      <c r="H124" s="238">
        <f>data!AC90</f>
        <v>172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1013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1014</v>
      </c>
      <c r="C126" s="238">
        <f>data!X92</f>
        <v>77</v>
      </c>
      <c r="D126" s="238">
        <f>data!Y92</f>
        <v>190</v>
      </c>
      <c r="E126" s="238">
        <f>data!Z92</f>
        <v>0</v>
      </c>
      <c r="F126" s="238">
        <f>data!AA92</f>
        <v>0</v>
      </c>
      <c r="G126" s="238">
        <f>data!AB92</f>
        <v>0</v>
      </c>
      <c r="H126" s="238">
        <f>data!AC92</f>
        <v>0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1015</v>
      </c>
      <c r="C127" s="238">
        <f>data!X93</f>
        <v>2582</v>
      </c>
      <c r="D127" s="238">
        <f>data!Y93</f>
        <v>6251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997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1028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NORTH VALLEY HOSPITAL OCPHD#4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999</v>
      </c>
      <c r="C134" s="244" t="s">
        <v>121</v>
      </c>
      <c r="D134" s="244" t="s">
        <v>122</v>
      </c>
      <c r="E134" s="244" t="s">
        <v>144</v>
      </c>
      <c r="F134" s="244"/>
      <c r="G134" s="244" t="s">
        <v>1029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1003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1030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20189</v>
      </c>
      <c r="D137" s="238">
        <f>data!AF60</f>
        <v>0</v>
      </c>
      <c r="E137" s="238">
        <f>data!AG59</f>
        <v>5522</v>
      </c>
      <c r="F137" s="238">
        <f>data!AH59</f>
        <v>0</v>
      </c>
      <c r="G137" s="238">
        <f>data!AI59</f>
        <v>0</v>
      </c>
      <c r="H137" s="238">
        <f>data!AJ59</f>
        <v>3911</v>
      </c>
      <c r="I137" s="238">
        <f>data!AK59</f>
        <v>6282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11.71</v>
      </c>
      <c r="D138" s="245">
        <v>0</v>
      </c>
      <c r="E138" s="245">
        <f>data!AG60</f>
        <v>12.23</v>
      </c>
      <c r="F138" s="245">
        <f>data!AH60</f>
        <v>0</v>
      </c>
      <c r="G138" s="245">
        <f>data!AI60</f>
        <v>0</v>
      </c>
      <c r="H138" s="245">
        <f>data!AJ60</f>
        <v>11.48</v>
      </c>
      <c r="I138" s="245">
        <f>data!AK60</f>
        <v>1.73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1027829</v>
      </c>
      <c r="D139" s="238">
        <f>data!AF61</f>
        <v>0</v>
      </c>
      <c r="E139" s="238">
        <f>data!AG61</f>
        <v>1254846</v>
      </c>
      <c r="F139" s="238">
        <f>data!AH61</f>
        <v>0</v>
      </c>
      <c r="G139" s="238">
        <f>data!AI61</f>
        <v>0</v>
      </c>
      <c r="H139" s="238">
        <f>data!AJ61</f>
        <v>1138968</v>
      </c>
      <c r="I139" s="238">
        <f>data!AK61</f>
        <v>211338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230068</v>
      </c>
      <c r="D140" s="238">
        <f>data!AF62</f>
        <v>0</v>
      </c>
      <c r="E140" s="238">
        <f>data!AG62</f>
        <v>280883</v>
      </c>
      <c r="F140" s="238">
        <f>data!AH62</f>
        <v>0</v>
      </c>
      <c r="G140" s="238">
        <f>data!AI62</f>
        <v>0</v>
      </c>
      <c r="H140" s="238">
        <f>data!AJ62</f>
        <v>254945</v>
      </c>
      <c r="I140" s="238">
        <f>data!AK62</f>
        <v>47306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39275</v>
      </c>
      <c r="F141" s="238">
        <f>data!AH63</f>
        <v>0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47419</v>
      </c>
      <c r="D142" s="238">
        <f>data!AF64</f>
        <v>0</v>
      </c>
      <c r="E142" s="238">
        <f>data!AG64</f>
        <v>54629</v>
      </c>
      <c r="F142" s="238">
        <f>data!AH64</f>
        <v>0</v>
      </c>
      <c r="G142" s="238">
        <f>data!AI64</f>
        <v>0</v>
      </c>
      <c r="H142" s="238">
        <f>data!AJ64</f>
        <v>45335</v>
      </c>
      <c r="I142" s="238">
        <f>data!AK64</f>
        <v>2710</v>
      </c>
    </row>
    <row r="143" spans="1:14" ht="20.100000000000001" customHeight="1" x14ac:dyDescent="0.2">
      <c r="A143" s="230">
        <v>10</v>
      </c>
      <c r="B143" s="238" t="s">
        <v>521</v>
      </c>
      <c r="C143" s="238">
        <f>data!AE65</f>
        <v>2039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522</v>
      </c>
      <c r="C144" s="238">
        <f>data!AE66</f>
        <v>22742</v>
      </c>
      <c r="D144" s="238">
        <f>data!AF66</f>
        <v>0</v>
      </c>
      <c r="E144" s="238">
        <f>data!AG66</f>
        <v>2691984</v>
      </c>
      <c r="F144" s="238">
        <f>data!AH66</f>
        <v>0</v>
      </c>
      <c r="G144" s="238">
        <f>data!AI66</f>
        <v>0</v>
      </c>
      <c r="H144" s="238">
        <f>data!AJ66</f>
        <v>53351</v>
      </c>
      <c r="I144" s="238">
        <f>data!AK66</f>
        <v>3107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138313</v>
      </c>
      <c r="D145" s="238">
        <f>data!AF67</f>
        <v>0</v>
      </c>
      <c r="E145" s="238">
        <f>data!AG67</f>
        <v>155086</v>
      </c>
      <c r="F145" s="238">
        <f>data!AH67</f>
        <v>0</v>
      </c>
      <c r="G145" s="238">
        <f>data!AI67</f>
        <v>0</v>
      </c>
      <c r="H145" s="238">
        <f>data!AJ67</f>
        <v>110745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1004</v>
      </c>
      <c r="C146" s="238">
        <f>data!AE68</f>
        <v>16291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1005</v>
      </c>
      <c r="C147" s="238">
        <f>data!AE69</f>
        <v>23175</v>
      </c>
      <c r="D147" s="238">
        <f>data!AF69</f>
        <v>0</v>
      </c>
      <c r="E147" s="238">
        <f>data!AG69</f>
        <v>20777</v>
      </c>
      <c r="F147" s="238">
        <f>data!AH69</f>
        <v>0</v>
      </c>
      <c r="G147" s="238">
        <f>data!AI69</f>
        <v>0</v>
      </c>
      <c r="H147" s="238">
        <f>data!AJ69</f>
        <v>14340</v>
      </c>
      <c r="I147" s="238">
        <f>data!AK69</f>
        <v>1085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1006</v>
      </c>
      <c r="C149" s="238">
        <f>data!AE85</f>
        <v>1507876</v>
      </c>
      <c r="D149" s="238">
        <f>data!AF85</f>
        <v>0</v>
      </c>
      <c r="E149" s="238">
        <f>data!AG85</f>
        <v>4497480</v>
      </c>
      <c r="F149" s="238">
        <f>data!AH85</f>
        <v>0</v>
      </c>
      <c r="G149" s="238">
        <f>data!AI85</f>
        <v>0</v>
      </c>
      <c r="H149" s="238">
        <f>data!AJ85</f>
        <v>1617684</v>
      </c>
      <c r="I149" s="238">
        <f>data!AK85</f>
        <v>265546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1007</v>
      </c>
      <c r="C151" s="246">
        <f>+data!M696</f>
        <v>650235</v>
      </c>
      <c r="D151" s="246">
        <v>0</v>
      </c>
      <c r="E151" s="246">
        <f>+data!M698</f>
        <v>2013681</v>
      </c>
      <c r="F151" s="246">
        <f>+data!M699</f>
        <v>0</v>
      </c>
      <c r="G151" s="246">
        <f>+data!M700</f>
        <v>0</v>
      </c>
      <c r="H151" s="246">
        <f>+data!M701</f>
        <v>461398</v>
      </c>
      <c r="I151" s="246">
        <f>+data!M702</f>
        <v>115102</v>
      </c>
    </row>
    <row r="152" spans="1:9" ht="20.100000000000001" customHeight="1" x14ac:dyDescent="0.2">
      <c r="A152" s="230">
        <v>19</v>
      </c>
      <c r="B152" s="246" t="s">
        <v>1008</v>
      </c>
      <c r="C152" s="238">
        <f>data!AE87</f>
        <v>363926</v>
      </c>
      <c r="D152" s="238">
        <f>data!AF87</f>
        <v>0</v>
      </c>
      <c r="E152" s="238">
        <f>data!AG87</f>
        <v>92914</v>
      </c>
      <c r="F152" s="238">
        <f>data!AH87</f>
        <v>0</v>
      </c>
      <c r="G152" s="238">
        <f>data!AI87</f>
        <v>0</v>
      </c>
      <c r="H152" s="238">
        <f>data!AJ87</f>
        <v>0</v>
      </c>
      <c r="I152" s="238">
        <f>data!AK87</f>
        <v>357955</v>
      </c>
    </row>
    <row r="153" spans="1:9" ht="20.100000000000001" customHeight="1" x14ac:dyDescent="0.2">
      <c r="A153" s="230">
        <v>20</v>
      </c>
      <c r="B153" s="246" t="s">
        <v>1009</v>
      </c>
      <c r="C153" s="238">
        <f>data!AE88</f>
        <v>2840052</v>
      </c>
      <c r="D153" s="238">
        <f>data!AF88</f>
        <v>0</v>
      </c>
      <c r="E153" s="238">
        <f>data!AG88</f>
        <v>14435689</v>
      </c>
      <c r="F153" s="238">
        <f>data!AH88</f>
        <v>0</v>
      </c>
      <c r="G153" s="238">
        <f>data!AI88</f>
        <v>0</v>
      </c>
      <c r="H153" s="238">
        <f>data!AJ88</f>
        <v>831832</v>
      </c>
      <c r="I153" s="238">
        <f>data!AK88</f>
        <v>623266</v>
      </c>
    </row>
    <row r="154" spans="1:9" ht="20.100000000000001" customHeight="1" x14ac:dyDescent="0.2">
      <c r="A154" s="230">
        <v>21</v>
      </c>
      <c r="B154" s="246" t="s">
        <v>1010</v>
      </c>
      <c r="C154" s="238">
        <f>data!AE89</f>
        <v>3203978</v>
      </c>
      <c r="D154" s="238">
        <f>data!AF89</f>
        <v>0</v>
      </c>
      <c r="E154" s="238">
        <f>data!AG89</f>
        <v>14528603</v>
      </c>
      <c r="F154" s="238">
        <f>data!AH89</f>
        <v>0</v>
      </c>
      <c r="G154" s="238">
        <f>data!AI89</f>
        <v>0</v>
      </c>
      <c r="H154" s="238">
        <f>data!AJ89</f>
        <v>831832</v>
      </c>
      <c r="I154" s="238">
        <f>data!AK89</f>
        <v>981221</v>
      </c>
    </row>
    <row r="155" spans="1:9" ht="20.100000000000001" customHeight="1" x14ac:dyDescent="0.2">
      <c r="A155" s="230" t="s">
        <v>1011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1012</v>
      </c>
      <c r="C156" s="238">
        <f>data!AE90</f>
        <v>8469</v>
      </c>
      <c r="D156" s="238">
        <f>data!AF90</f>
        <v>0</v>
      </c>
      <c r="E156" s="238">
        <f>data!AG90</f>
        <v>9496</v>
      </c>
      <c r="F156" s="238">
        <f>data!AH90</f>
        <v>0</v>
      </c>
      <c r="G156" s="238">
        <f>data!AI90</f>
        <v>0</v>
      </c>
      <c r="H156" s="238">
        <f>data!AJ90</f>
        <v>6781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1013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1014</v>
      </c>
      <c r="C158" s="238">
        <f>data!AE92</f>
        <v>76</v>
      </c>
      <c r="D158" s="238">
        <f>data!AF92</f>
        <v>0</v>
      </c>
      <c r="E158" s="238">
        <f>data!AG92</f>
        <v>973</v>
      </c>
      <c r="F158" s="238">
        <f>data!AH92</f>
        <v>0</v>
      </c>
      <c r="G158" s="238">
        <f>data!AI92</f>
        <v>0</v>
      </c>
      <c r="H158" s="238">
        <f>data!AJ92</f>
        <v>298</v>
      </c>
      <c r="I158" s="238">
        <f>data!AK92</f>
        <v>75</v>
      </c>
    </row>
    <row r="159" spans="1:9" ht="20.100000000000001" customHeight="1" x14ac:dyDescent="0.2">
      <c r="A159" s="230">
        <v>25</v>
      </c>
      <c r="B159" s="238" t="s">
        <v>1015</v>
      </c>
      <c r="C159" s="238">
        <f>data!AE93</f>
        <v>1399</v>
      </c>
      <c r="D159" s="238">
        <f>data!AF93</f>
        <v>0</v>
      </c>
      <c r="E159" s="238">
        <f>data!AG93</f>
        <v>17221</v>
      </c>
      <c r="F159" s="238">
        <f>data!AH93</f>
        <v>0</v>
      </c>
      <c r="G159" s="238">
        <f>data!AI93</f>
        <v>0</v>
      </c>
      <c r="H159" s="238">
        <f>data!AJ93</f>
        <v>337</v>
      </c>
      <c r="I159" s="238">
        <f>data!AK93</f>
        <v>1400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10.32</v>
      </c>
      <c r="F160" s="245">
        <f>data!AH94</f>
        <v>0</v>
      </c>
      <c r="G160" s="245">
        <f>data!AI94</f>
        <v>0</v>
      </c>
      <c r="H160" s="245">
        <f>data!AJ94</f>
        <v>0</v>
      </c>
      <c r="I160" s="245">
        <f>data!AK94</f>
        <v>0</v>
      </c>
    </row>
    <row r="161" spans="1:9" ht="20.100000000000001" customHeight="1" x14ac:dyDescent="0.2">
      <c r="A161" s="231" t="s">
        <v>997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1031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NORTH VALLEY HOSPITAL OCPHD#4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999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1032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1033</v>
      </c>
      <c r="F167" s="244" t="s">
        <v>208</v>
      </c>
      <c r="G167" s="244" t="s">
        <v>147</v>
      </c>
      <c r="H167" s="243" t="s">
        <v>1034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1003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1702</v>
      </c>
      <c r="D169" s="238">
        <f>data!AM59</f>
        <v>0</v>
      </c>
      <c r="E169" s="238">
        <f>data!AN59</f>
        <v>0</v>
      </c>
      <c r="F169" s="238">
        <f>data!AO59</f>
        <v>9204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1.38</v>
      </c>
      <c r="D170" s="245">
        <f>data!AM60</f>
        <v>0</v>
      </c>
      <c r="E170" s="245">
        <f>data!AN60</f>
        <v>0</v>
      </c>
      <c r="F170" s="245">
        <f>data!AO60</f>
        <v>2.56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168302</v>
      </c>
      <c r="D171" s="238">
        <f>data!AM61</f>
        <v>0</v>
      </c>
      <c r="E171" s="238">
        <f>data!AN61</f>
        <v>0</v>
      </c>
      <c r="F171" s="238">
        <f>data!AO61</f>
        <v>294906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37673</v>
      </c>
      <c r="D172" s="238">
        <f>data!AM62</f>
        <v>0</v>
      </c>
      <c r="E172" s="238">
        <f>data!AN62</f>
        <v>0</v>
      </c>
      <c r="F172" s="238">
        <f>data!AO62</f>
        <v>66011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1090</v>
      </c>
      <c r="D174" s="238">
        <f>data!AM64</f>
        <v>0</v>
      </c>
      <c r="E174" s="238">
        <f>data!AN64</f>
        <v>0</v>
      </c>
      <c r="F174" s="238">
        <f>data!AO64</f>
        <v>6009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521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522</v>
      </c>
      <c r="C176" s="238">
        <f>data!AL66</f>
        <v>2493</v>
      </c>
      <c r="D176" s="238">
        <f>data!AM66</f>
        <v>0</v>
      </c>
      <c r="E176" s="238">
        <f>data!AN66</f>
        <v>0</v>
      </c>
      <c r="F176" s="238">
        <f>data!AO66</f>
        <v>202922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16642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1004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2105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1005</v>
      </c>
      <c r="C179" s="238">
        <f>data!AL69</f>
        <v>1663</v>
      </c>
      <c r="D179" s="238">
        <f>data!AM69</f>
        <v>0</v>
      </c>
      <c r="E179" s="238">
        <f>data!AN69</f>
        <v>0</v>
      </c>
      <c r="F179" s="238">
        <f>data!AO69</f>
        <v>8341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1006</v>
      </c>
      <c r="C181" s="238">
        <f>data!AL85</f>
        <v>211221</v>
      </c>
      <c r="D181" s="238">
        <f>data!AM85</f>
        <v>0</v>
      </c>
      <c r="E181" s="238">
        <f>data!AN85</f>
        <v>0</v>
      </c>
      <c r="F181" s="238">
        <f>data!AO85</f>
        <v>596936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1007</v>
      </c>
      <c r="C183" s="246">
        <f>+data!M703</f>
        <v>63313</v>
      </c>
      <c r="D183" s="246">
        <f>+data!M704</f>
        <v>0</v>
      </c>
      <c r="E183" s="246">
        <f>+data!M705</f>
        <v>0</v>
      </c>
      <c r="F183" s="246">
        <f>+data!M706</f>
        <v>259204</v>
      </c>
      <c r="G183" s="246">
        <f>+data!M707</f>
        <v>0</v>
      </c>
      <c r="H183" s="246">
        <f>+data!M708</f>
        <v>0</v>
      </c>
      <c r="I183" s="246">
        <f>+data!M709</f>
        <v>0</v>
      </c>
    </row>
    <row r="184" spans="1:9" ht="20.100000000000001" customHeight="1" x14ac:dyDescent="0.2">
      <c r="A184" s="230">
        <v>19</v>
      </c>
      <c r="B184" s="246" t="s">
        <v>1008</v>
      </c>
      <c r="C184" s="238">
        <f>data!AL87</f>
        <v>34630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1009</v>
      </c>
      <c r="C185" s="238">
        <f>data!AL88</f>
        <v>346861</v>
      </c>
      <c r="D185" s="238">
        <f>data!AM88</f>
        <v>0</v>
      </c>
      <c r="E185" s="238">
        <f>data!AN88</f>
        <v>0</v>
      </c>
      <c r="F185" s="238">
        <f>data!AO88</f>
        <v>833205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1010</v>
      </c>
      <c r="C186" s="238">
        <f>data!AL89</f>
        <v>381491</v>
      </c>
      <c r="D186" s="238">
        <f>data!AM89</f>
        <v>0</v>
      </c>
      <c r="E186" s="238">
        <f>data!AN89</f>
        <v>0</v>
      </c>
      <c r="F186" s="238">
        <f>data!AO89</f>
        <v>833205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1011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1012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1019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1013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1384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1014</v>
      </c>
      <c r="C190" s="238">
        <f>data!AL92</f>
        <v>75</v>
      </c>
      <c r="D190" s="238">
        <f>data!AM92</f>
        <v>0</v>
      </c>
      <c r="E190" s="238">
        <f>data!AN92</f>
        <v>0</v>
      </c>
      <c r="F190" s="238">
        <f>data!AO92</f>
        <v>332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1015</v>
      </c>
      <c r="C191" s="238">
        <f>data!AL93</f>
        <v>1400</v>
      </c>
      <c r="D191" s="238">
        <f>data!AM93</f>
        <v>0</v>
      </c>
      <c r="E191" s="238">
        <f>data!AN93</f>
        <v>0</v>
      </c>
      <c r="F191" s="238">
        <f>data!AO93</f>
        <v>6203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2.17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997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1035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NORTH VALLEY HOSPITAL OCPHD#4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999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1036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1037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1003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49809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0.34</v>
      </c>
      <c r="G202" s="245">
        <f>data!AW60</f>
        <v>0</v>
      </c>
      <c r="H202" s="245">
        <f>data!AX60</f>
        <v>0</v>
      </c>
      <c r="I202" s="245">
        <f>data!AY60</f>
        <v>12.58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38702</v>
      </c>
      <c r="G203" s="238">
        <f>data!AW61</f>
        <v>0</v>
      </c>
      <c r="H203" s="238">
        <f>data!AX61</f>
        <v>0</v>
      </c>
      <c r="I203" s="238">
        <f>data!AY61</f>
        <v>722919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8663</v>
      </c>
      <c r="G204" s="238">
        <f>data!AW62</f>
        <v>0</v>
      </c>
      <c r="H204" s="238">
        <f>data!AX62</f>
        <v>0</v>
      </c>
      <c r="I204" s="238">
        <f>data!AY62</f>
        <v>161817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9005</v>
      </c>
      <c r="G206" s="238">
        <f>data!AW64</f>
        <v>0</v>
      </c>
      <c r="H206" s="238">
        <f>data!AX64</f>
        <v>0</v>
      </c>
      <c r="I206" s="238">
        <f>data!AY64</f>
        <v>403412</v>
      </c>
    </row>
    <row r="207" spans="1:9" ht="20.100000000000001" customHeight="1" x14ac:dyDescent="0.2">
      <c r="A207" s="230">
        <v>10</v>
      </c>
      <c r="B207" s="238" t="s">
        <v>521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9600</v>
      </c>
    </row>
    <row r="208" spans="1:9" ht="20.100000000000001" customHeight="1" x14ac:dyDescent="0.2">
      <c r="A208" s="230">
        <v>11</v>
      </c>
      <c r="B208" s="238" t="s">
        <v>522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133717</v>
      </c>
      <c r="G208" s="238">
        <f>data!AW66</f>
        <v>0</v>
      </c>
      <c r="H208" s="238">
        <f>data!AX66</f>
        <v>0</v>
      </c>
      <c r="I208" s="238">
        <f>data!AY66</f>
        <v>14973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14601</v>
      </c>
      <c r="G209" s="238">
        <f>data!AW67</f>
        <v>0</v>
      </c>
      <c r="H209" s="238">
        <f>data!AX67</f>
        <v>0</v>
      </c>
      <c r="I209" s="238">
        <f>data!AY67</f>
        <v>61064</v>
      </c>
    </row>
    <row r="210" spans="1:9" ht="20.100000000000001" customHeight="1" x14ac:dyDescent="0.2">
      <c r="A210" s="230">
        <v>13</v>
      </c>
      <c r="B210" s="238" t="s">
        <v>1004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4624</v>
      </c>
    </row>
    <row r="211" spans="1:9" ht="20.100000000000001" customHeight="1" x14ac:dyDescent="0.2">
      <c r="A211" s="230">
        <v>14</v>
      </c>
      <c r="B211" s="238" t="s">
        <v>1005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1096</v>
      </c>
      <c r="G211" s="238">
        <f>data!AW69</f>
        <v>0</v>
      </c>
      <c r="H211" s="238">
        <f>data!AX69</f>
        <v>0</v>
      </c>
      <c r="I211" s="238">
        <f>data!AY69</f>
        <v>3264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-265142</v>
      </c>
    </row>
    <row r="213" spans="1:9" ht="20.100000000000001" customHeight="1" x14ac:dyDescent="0.2">
      <c r="A213" s="230">
        <v>16</v>
      </c>
      <c r="B213" s="246" t="s">
        <v>1006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205784</v>
      </c>
      <c r="G213" s="238">
        <f>data!AW85</f>
        <v>0</v>
      </c>
      <c r="H213" s="238">
        <f>data!AX85</f>
        <v>0</v>
      </c>
      <c r="I213" s="238">
        <f>data!AY85</f>
        <v>1116531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1007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121713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1008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1009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1054857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1010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1054857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1011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1012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894</v>
      </c>
      <c r="G220" s="238">
        <f>data!AW90</f>
        <v>0</v>
      </c>
      <c r="H220" s="238">
        <f>data!AX90</f>
        <v>0</v>
      </c>
      <c r="I220" s="238">
        <f>data!AY90</f>
        <v>3739</v>
      </c>
    </row>
    <row r="221" spans="1:9" ht="20.100000000000001" customHeight="1" x14ac:dyDescent="0.2">
      <c r="A221" s="230">
        <v>23</v>
      </c>
      <c r="B221" s="238" t="s">
        <v>1013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1014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1015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997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1038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NORTH VALLEY HOSPITAL OCPHD#4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999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1039</v>
      </c>
      <c r="F231" s="244" t="s">
        <v>1040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1003</v>
      </c>
      <c r="C232" s="240" t="s">
        <v>1041</v>
      </c>
      <c r="D232" s="240" t="s">
        <v>1042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95103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2.4900000000000002</v>
      </c>
      <c r="D234" s="245">
        <f>data!BA60</f>
        <v>6.15</v>
      </c>
      <c r="E234" s="245">
        <f>data!BB60</f>
        <v>0.82</v>
      </c>
      <c r="F234" s="245">
        <f>data!BC60</f>
        <v>0</v>
      </c>
      <c r="G234" s="245">
        <f>data!BD60</f>
        <v>0.85</v>
      </c>
      <c r="H234" s="245">
        <f>data!BE60</f>
        <v>4.99</v>
      </c>
      <c r="I234" s="245">
        <f>data!BF60</f>
        <v>6.58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116164</v>
      </c>
      <c r="D235" s="238">
        <f>data!BA61</f>
        <v>356416</v>
      </c>
      <c r="E235" s="238">
        <f>data!BB61</f>
        <v>85559</v>
      </c>
      <c r="F235" s="238">
        <f>data!BC61</f>
        <v>0</v>
      </c>
      <c r="G235" s="238">
        <f>data!BD61</f>
        <v>51277</v>
      </c>
      <c r="H235" s="238">
        <f>data!BE61</f>
        <v>380060</v>
      </c>
      <c r="I235" s="238">
        <f>data!BF61</f>
        <v>403219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26002</v>
      </c>
      <c r="D236" s="238">
        <f>data!BA62</f>
        <v>79780</v>
      </c>
      <c r="E236" s="238">
        <f>data!BB62</f>
        <v>19151</v>
      </c>
      <c r="F236" s="238">
        <f>data!BC62</f>
        <v>0</v>
      </c>
      <c r="G236" s="238">
        <f>data!BD62</f>
        <v>11478</v>
      </c>
      <c r="H236" s="238">
        <f>data!BE62</f>
        <v>85072</v>
      </c>
      <c r="I236" s="238">
        <f>data!BF62</f>
        <v>90256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83932</v>
      </c>
      <c r="D238" s="238">
        <f>data!BA64</f>
        <v>19519</v>
      </c>
      <c r="E238" s="238">
        <f>data!BB64</f>
        <v>0</v>
      </c>
      <c r="F238" s="238">
        <f>data!BC64</f>
        <v>0</v>
      </c>
      <c r="G238" s="238">
        <f>data!BD64</f>
        <v>237535</v>
      </c>
      <c r="H238" s="238">
        <f>data!BE64</f>
        <v>18848</v>
      </c>
      <c r="I238" s="238">
        <f>data!BF64</f>
        <v>74488</v>
      </c>
    </row>
    <row r="239" spans="1:9" ht="20.100000000000001" customHeight="1" x14ac:dyDescent="0.2">
      <c r="A239" s="230">
        <v>10</v>
      </c>
      <c r="B239" s="238" t="s">
        <v>521</v>
      </c>
      <c r="C239" s="238">
        <f>data!AZ65</f>
        <v>0</v>
      </c>
      <c r="D239" s="238">
        <f>data!BA65</f>
        <v>31560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293236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522</v>
      </c>
      <c r="C240" s="238">
        <f>data!AZ66</f>
        <v>3295</v>
      </c>
      <c r="D240" s="238">
        <f>data!BA66</f>
        <v>5021</v>
      </c>
      <c r="E240" s="238">
        <f>data!BB66</f>
        <v>1174</v>
      </c>
      <c r="F240" s="238">
        <f>data!BC66</f>
        <v>0</v>
      </c>
      <c r="G240" s="238">
        <f>data!BD66</f>
        <v>1389</v>
      </c>
      <c r="H240" s="238">
        <f>data!BE66</f>
        <v>30319</v>
      </c>
      <c r="I240" s="238">
        <f>data!BF66</f>
        <v>25055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33856</v>
      </c>
      <c r="E241" s="238">
        <f>data!BB67</f>
        <v>0</v>
      </c>
      <c r="F241" s="238">
        <f>data!BC67</f>
        <v>0</v>
      </c>
      <c r="G241" s="238">
        <f>data!BD67</f>
        <v>0</v>
      </c>
      <c r="H241" s="238">
        <f>data!BE67</f>
        <v>153387</v>
      </c>
      <c r="I241" s="238">
        <f>data!BF67</f>
        <v>24432</v>
      </c>
    </row>
    <row r="242" spans="1:9" ht="20.100000000000001" customHeight="1" x14ac:dyDescent="0.2">
      <c r="A242" s="230">
        <v>13</v>
      </c>
      <c r="B242" s="238" t="s">
        <v>1004</v>
      </c>
      <c r="C242" s="238">
        <f>data!AZ68</f>
        <v>6744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1610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1005</v>
      </c>
      <c r="C243" s="238">
        <f>data!AZ69</f>
        <v>1385</v>
      </c>
      <c r="D243" s="238">
        <f>data!BA69</f>
        <v>492</v>
      </c>
      <c r="E243" s="238">
        <f>data!BB69</f>
        <v>0</v>
      </c>
      <c r="F243" s="238">
        <f>data!BC69</f>
        <v>0</v>
      </c>
      <c r="G243" s="238">
        <f>data!BD69</f>
        <v>3376</v>
      </c>
      <c r="H243" s="238">
        <f>data!BE69</f>
        <v>211254</v>
      </c>
      <c r="I243" s="238">
        <f>data!BF69</f>
        <v>824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-154247</v>
      </c>
      <c r="D244" s="238">
        <f>-data!BA84</f>
        <v>-399291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1006</v>
      </c>
      <c r="C245" s="238">
        <f>data!AZ85</f>
        <v>83275</v>
      </c>
      <c r="D245" s="238">
        <f>data!BA85</f>
        <v>127353</v>
      </c>
      <c r="E245" s="238">
        <f>data!BB85</f>
        <v>105884</v>
      </c>
      <c r="F245" s="238">
        <f>data!BC85</f>
        <v>0</v>
      </c>
      <c r="G245" s="238">
        <f>data!BD85</f>
        <v>305055</v>
      </c>
      <c r="H245" s="238">
        <f>data!BE85</f>
        <v>1173786</v>
      </c>
      <c r="I245" s="238">
        <f>data!BF85</f>
        <v>618274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1007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1008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1009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1010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1011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1012</v>
      </c>
      <c r="C252" s="254">
        <f>data!AZ90</f>
        <v>0</v>
      </c>
      <c r="D252" s="254">
        <f>data!BA90</f>
        <v>2073</v>
      </c>
      <c r="E252" s="254">
        <f>data!BB90</f>
        <v>0</v>
      </c>
      <c r="F252" s="254">
        <f>data!BC90</f>
        <v>0</v>
      </c>
      <c r="G252" s="254">
        <f>data!BD90</f>
        <v>0</v>
      </c>
      <c r="H252" s="254">
        <f>data!BE90</f>
        <v>9392</v>
      </c>
      <c r="I252" s="254">
        <f>data!BF90</f>
        <v>1496</v>
      </c>
    </row>
    <row r="253" spans="1:9" ht="20.100000000000001" customHeight="1" x14ac:dyDescent="0.2">
      <c r="A253" s="230">
        <v>23</v>
      </c>
      <c r="B253" s="238" t="s">
        <v>1013</v>
      </c>
      <c r="C253" s="254">
        <f>data!AZ91</f>
        <v>905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1014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1015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997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1043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NORTH VALLEY HOSPITAL OCPHD#4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999</v>
      </c>
      <c r="C262" s="244" t="s">
        <v>1044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1045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1046</v>
      </c>
    </row>
    <row r="264" spans="1:9" ht="20.100000000000001" customHeight="1" x14ac:dyDescent="0.2">
      <c r="A264" s="230">
        <v>3</v>
      </c>
      <c r="B264" s="238" t="s">
        <v>1003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1.79</v>
      </c>
      <c r="E266" s="245">
        <f>data!BI60</f>
        <v>0</v>
      </c>
      <c r="F266" s="245">
        <f>data!BJ60</f>
        <v>5.32</v>
      </c>
      <c r="G266" s="245">
        <f>data!BK60</f>
        <v>8.33</v>
      </c>
      <c r="H266" s="245">
        <f>data!BL60</f>
        <v>8.89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214638</v>
      </c>
      <c r="E267" s="238">
        <f>data!BI61</f>
        <v>0</v>
      </c>
      <c r="F267" s="238">
        <f>data!BJ61</f>
        <v>513250</v>
      </c>
      <c r="G267" s="238">
        <f>data!BK61</f>
        <v>540411</v>
      </c>
      <c r="H267" s="238">
        <f>data!BL61</f>
        <v>473885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48044</v>
      </c>
      <c r="E268" s="238">
        <f>data!BI62</f>
        <v>0</v>
      </c>
      <c r="F268" s="238">
        <f>data!BJ62</f>
        <v>114885</v>
      </c>
      <c r="G268" s="238">
        <f>data!BK62</f>
        <v>120965</v>
      </c>
      <c r="H268" s="238">
        <f>data!BL62</f>
        <v>106074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143412</v>
      </c>
      <c r="E269" s="238">
        <f>data!BI63</f>
        <v>0</v>
      </c>
      <c r="F269" s="238">
        <f>data!BJ63</f>
        <v>117201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2243</v>
      </c>
      <c r="D270" s="238">
        <f>data!BH64</f>
        <v>21154</v>
      </c>
      <c r="E270" s="238">
        <f>data!BI64</f>
        <v>0</v>
      </c>
      <c r="F270" s="238">
        <f>data!BJ64</f>
        <v>2884</v>
      </c>
      <c r="G270" s="238">
        <f>data!BK64</f>
        <v>13621</v>
      </c>
      <c r="H270" s="238">
        <f>data!BL64</f>
        <v>5321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521</v>
      </c>
      <c r="C271" s="238">
        <f>data!BG65</f>
        <v>33210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522</v>
      </c>
      <c r="C272" s="238">
        <f>data!BG66</f>
        <v>7947</v>
      </c>
      <c r="D272" s="238">
        <f>data!BH66</f>
        <v>504546</v>
      </c>
      <c r="E272" s="238">
        <f>data!BI66</f>
        <v>0</v>
      </c>
      <c r="F272" s="238">
        <f>data!BJ66</f>
        <v>8047</v>
      </c>
      <c r="G272" s="238">
        <f>data!BK66</f>
        <v>126420</v>
      </c>
      <c r="H272" s="238">
        <f>data!BL66</f>
        <v>6470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11400</v>
      </c>
      <c r="D273" s="238">
        <f>data!BH67</f>
        <v>24596</v>
      </c>
      <c r="E273" s="238">
        <f>data!BI67</f>
        <v>0</v>
      </c>
      <c r="F273" s="238">
        <f>data!BJ67</f>
        <v>55969</v>
      </c>
      <c r="G273" s="238">
        <f>data!BK67</f>
        <v>0</v>
      </c>
      <c r="H273" s="238">
        <f>data!BL67</f>
        <v>37204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1004</v>
      </c>
      <c r="C274" s="238">
        <f>data!BG68</f>
        <v>1106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1005</v>
      </c>
      <c r="C275" s="238">
        <f>data!BG69</f>
        <v>5157</v>
      </c>
      <c r="D275" s="238">
        <f>data!BH69</f>
        <v>51493</v>
      </c>
      <c r="E275" s="238">
        <f>data!BI69</f>
        <v>0</v>
      </c>
      <c r="F275" s="238">
        <f>data!BJ69</f>
        <v>105839</v>
      </c>
      <c r="G275" s="238">
        <f>data!BK69</f>
        <v>3989</v>
      </c>
      <c r="H275" s="238">
        <f>data!BL69</f>
        <v>0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1006</v>
      </c>
      <c r="C277" s="238">
        <f>data!BG85</f>
        <v>61063</v>
      </c>
      <c r="D277" s="238">
        <f>data!BH85</f>
        <v>1007883</v>
      </c>
      <c r="E277" s="238">
        <f>data!BI85</f>
        <v>0</v>
      </c>
      <c r="F277" s="238">
        <f>data!BJ85</f>
        <v>918075</v>
      </c>
      <c r="G277" s="238">
        <f>data!BK85</f>
        <v>805406</v>
      </c>
      <c r="H277" s="238">
        <f>data!BL85</f>
        <v>628954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1007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1008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1009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1010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1011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1012</v>
      </c>
      <c r="C284" s="254">
        <f>data!BG90</f>
        <v>698</v>
      </c>
      <c r="D284" s="254">
        <f>data!BH90</f>
        <v>1506</v>
      </c>
      <c r="E284" s="254">
        <f>data!BI90</f>
        <v>0</v>
      </c>
      <c r="F284" s="254">
        <f>data!BJ90</f>
        <v>3427</v>
      </c>
      <c r="G284" s="254">
        <f>data!BK90</f>
        <v>0</v>
      </c>
      <c r="H284" s="254">
        <f>data!BL90</f>
        <v>2278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1013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1014</v>
      </c>
      <c r="C286" s="253" t="str">
        <f>IF(data!BG92&gt;0,data!BG92,"")</f>
        <v>x</v>
      </c>
      <c r="D286" s="254">
        <f>data!BH92</f>
        <v>70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266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1015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997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1047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NORTH VALLEY HOSPITAL OCPHD#4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999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1048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1003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1.82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2.54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548834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285214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122850</v>
      </c>
      <c r="D300" s="238">
        <f>data!BO62</f>
        <v>0</v>
      </c>
      <c r="E300" s="238">
        <f>data!BP62</f>
        <v>0</v>
      </c>
      <c r="F300" s="238">
        <f>data!BQ62</f>
        <v>0</v>
      </c>
      <c r="G300" s="238">
        <f>data!BR62</f>
        <v>63842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38496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2227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-1833</v>
      </c>
      <c r="D302" s="238">
        <f>data!BO64</f>
        <v>0</v>
      </c>
      <c r="E302" s="238">
        <f>data!BP64</f>
        <v>0</v>
      </c>
      <c r="F302" s="238">
        <f>data!BQ64</f>
        <v>0</v>
      </c>
      <c r="G302" s="238">
        <f>data!BR64</f>
        <v>27670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521</v>
      </c>
      <c r="C303" s="238">
        <f>data!BN65</f>
        <v>4262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522</v>
      </c>
      <c r="C304" s="238">
        <f>data!BN66</f>
        <v>236725</v>
      </c>
      <c r="D304" s="238">
        <f>data!BO66</f>
        <v>0</v>
      </c>
      <c r="E304" s="238">
        <f>data!BP66</f>
        <v>0</v>
      </c>
      <c r="F304" s="238">
        <f>data!BQ66</f>
        <v>0</v>
      </c>
      <c r="G304" s="238">
        <f>data!BR66</f>
        <v>16116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49991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51265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1004</v>
      </c>
      <c r="C306" s="238">
        <f>data!BN68</f>
        <v>164525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1005</v>
      </c>
      <c r="C307" s="238">
        <f>data!BN69</f>
        <v>122833</v>
      </c>
      <c r="D307" s="238">
        <f>data!BO69</f>
        <v>0</v>
      </c>
      <c r="E307" s="238">
        <f>data!BP69</f>
        <v>0</v>
      </c>
      <c r="F307" s="238">
        <f>data!BQ69</f>
        <v>0</v>
      </c>
      <c r="G307" s="238">
        <f>data!BR69</f>
        <v>63786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-19799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1006</v>
      </c>
      <c r="C309" s="238">
        <f>data!BN85</f>
        <v>1266884</v>
      </c>
      <c r="D309" s="238">
        <f>data!BO85</f>
        <v>0</v>
      </c>
      <c r="E309" s="238">
        <f>data!BP85</f>
        <v>0</v>
      </c>
      <c r="F309" s="238">
        <f>data!BQ85</f>
        <v>0</v>
      </c>
      <c r="G309" s="238">
        <f>data!BR85</f>
        <v>510120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1007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1008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1009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1010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1011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1012</v>
      </c>
      <c r="C316" s="254">
        <f>data!BN90</f>
        <v>3061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3139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1013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1014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1015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997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1049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NORTH VALLEY HOSPITAL OCPHD#4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999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1048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1003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10.37</v>
      </c>
      <c r="E330" s="245">
        <f>data!BW60</f>
        <v>0</v>
      </c>
      <c r="F330" s="245">
        <f>data!BX60</f>
        <v>0</v>
      </c>
      <c r="G330" s="245">
        <f>data!BY60</f>
        <v>2.0699999999999998</v>
      </c>
      <c r="H330" s="245">
        <f>data!BZ60</f>
        <v>0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593210</v>
      </c>
      <c r="E331" s="257">
        <f>data!BW61</f>
        <v>0</v>
      </c>
      <c r="F331" s="257">
        <f>data!BX61</f>
        <v>0</v>
      </c>
      <c r="G331" s="257">
        <f>data!BY61</f>
        <v>352777</v>
      </c>
      <c r="H331" s="257">
        <f>data!BZ61</f>
        <v>0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132783</v>
      </c>
      <c r="E332" s="257">
        <f>data!BW62</f>
        <v>0</v>
      </c>
      <c r="F332" s="257">
        <f>data!BX62</f>
        <v>0</v>
      </c>
      <c r="G332" s="257">
        <f>data!BY62</f>
        <v>78965</v>
      </c>
      <c r="H332" s="257">
        <f>data!BZ62</f>
        <v>0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77091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1329</v>
      </c>
      <c r="E334" s="257">
        <f>data!BW64</f>
        <v>0</v>
      </c>
      <c r="F334" s="257">
        <f>data!BX64</f>
        <v>0</v>
      </c>
      <c r="G334" s="257">
        <f>data!BY64</f>
        <v>2975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521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522</v>
      </c>
      <c r="C336" s="257">
        <f>data!BU66</f>
        <v>0</v>
      </c>
      <c r="D336" s="257">
        <f>data!BV66</f>
        <v>41893</v>
      </c>
      <c r="E336" s="257">
        <f>data!BW66</f>
        <v>0</v>
      </c>
      <c r="F336" s="257">
        <f>data!BX66</f>
        <v>0</v>
      </c>
      <c r="G336" s="257">
        <f>data!BY66</f>
        <v>14422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21199</v>
      </c>
      <c r="E337" s="257">
        <f>data!BW67</f>
        <v>0</v>
      </c>
      <c r="F337" s="257">
        <f>data!BX67</f>
        <v>0</v>
      </c>
      <c r="G337" s="257">
        <f>data!BY67</f>
        <v>11596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1004</v>
      </c>
      <c r="C338" s="257">
        <f>data!BU68</f>
        <v>0</v>
      </c>
      <c r="D338" s="257">
        <f>data!BV68</f>
        <v>14624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1005</v>
      </c>
      <c r="C339" s="257">
        <f>data!BU69</f>
        <v>0</v>
      </c>
      <c r="D339" s="257">
        <f>data!BV69</f>
        <v>11741</v>
      </c>
      <c r="E339" s="257">
        <f>data!BW69</f>
        <v>0</v>
      </c>
      <c r="F339" s="257">
        <f>data!BX69</f>
        <v>0</v>
      </c>
      <c r="G339" s="257">
        <f>data!BY69</f>
        <v>53894</v>
      </c>
      <c r="H339" s="257">
        <f>data!BZ69</f>
        <v>0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-17166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1006</v>
      </c>
      <c r="C341" s="238">
        <f>data!BU85</f>
        <v>0</v>
      </c>
      <c r="D341" s="238">
        <f>data!BV85</f>
        <v>876704</v>
      </c>
      <c r="E341" s="238">
        <f>data!BW85</f>
        <v>0</v>
      </c>
      <c r="F341" s="238">
        <f>data!BX85</f>
        <v>0</v>
      </c>
      <c r="G341" s="238">
        <f>data!BY85</f>
        <v>514629</v>
      </c>
      <c r="H341" s="238">
        <f>data!BZ85</f>
        <v>0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1007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1008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1009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1010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1011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1012</v>
      </c>
      <c r="C348" s="254">
        <f>data!BU90</f>
        <v>0</v>
      </c>
      <c r="D348" s="254">
        <f>data!BV90</f>
        <v>1298</v>
      </c>
      <c r="E348" s="254">
        <f>data!BW90</f>
        <v>0</v>
      </c>
      <c r="F348" s="254">
        <f>data!BX90</f>
        <v>0</v>
      </c>
      <c r="G348" s="254">
        <f>data!BY90</f>
        <v>710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1013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1014</v>
      </c>
      <c r="C350" s="254">
        <f>data!BU92</f>
        <v>0</v>
      </c>
      <c r="D350" s="254">
        <f>data!BV92</f>
        <v>46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1015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997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1050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NORTH VALLEY HOSPITAL OCPHD#4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999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1051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1003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0</v>
      </c>
      <c r="E362" s="260"/>
      <c r="F362" s="248"/>
      <c r="G362" s="248"/>
      <c r="H362" s="248"/>
      <c r="I362" s="261">
        <f>data!CE60</f>
        <v>184.66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0</v>
      </c>
      <c r="E363" s="262"/>
      <c r="F363" s="262"/>
      <c r="G363" s="262"/>
      <c r="H363" s="262"/>
      <c r="I363" s="257">
        <f>data!CE61</f>
        <v>16280974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0</v>
      </c>
      <c r="E364" s="262"/>
      <c r="F364" s="262"/>
      <c r="G364" s="262"/>
      <c r="H364" s="262"/>
      <c r="I364" s="257">
        <f>data!CE62</f>
        <v>3644310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494245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0</v>
      </c>
      <c r="E366" s="262"/>
      <c r="F366" s="262"/>
      <c r="G366" s="262"/>
      <c r="H366" s="262"/>
      <c r="I366" s="257">
        <f>data!CE64</f>
        <v>3293377</v>
      </c>
    </row>
    <row r="367" spans="1:9" ht="20.100000000000001" customHeight="1" x14ac:dyDescent="0.2">
      <c r="A367" s="230">
        <v>10</v>
      </c>
      <c r="B367" s="238" t="s">
        <v>521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406162</v>
      </c>
    </row>
    <row r="368" spans="1:9" ht="20.100000000000001" customHeight="1" x14ac:dyDescent="0.2">
      <c r="A368" s="230">
        <v>11</v>
      </c>
      <c r="B368" s="238" t="s">
        <v>522</v>
      </c>
      <c r="C368" s="257">
        <f>data!CB66</f>
        <v>0</v>
      </c>
      <c r="D368" s="257">
        <f>data!CC66</f>
        <v>0</v>
      </c>
      <c r="E368" s="262"/>
      <c r="F368" s="262"/>
      <c r="G368" s="262"/>
      <c r="H368" s="262"/>
      <c r="I368" s="257">
        <f>data!CE66</f>
        <v>8382333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1553195</v>
      </c>
    </row>
    <row r="370" spans="1:9" ht="20.100000000000001" customHeight="1" x14ac:dyDescent="0.2">
      <c r="A370" s="230">
        <v>13</v>
      </c>
      <c r="B370" s="238" t="s">
        <v>1004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501291</v>
      </c>
    </row>
    <row r="371" spans="1:9" ht="20.100000000000001" customHeight="1" x14ac:dyDescent="0.2">
      <c r="A371" s="230">
        <v>14</v>
      </c>
      <c r="B371" s="238" t="s">
        <v>1005</v>
      </c>
      <c r="C371" s="257">
        <f>data!CB69</f>
        <v>0</v>
      </c>
      <c r="D371" s="257">
        <f>data!CC69</f>
        <v>0</v>
      </c>
      <c r="E371" s="257">
        <f>data!CD69</f>
        <v>1074602</v>
      </c>
      <c r="F371" s="262"/>
      <c r="G371" s="262"/>
      <c r="H371" s="262"/>
      <c r="I371" s="257">
        <f>data!CE69</f>
        <v>2148058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-167409</v>
      </c>
      <c r="F372" s="248"/>
      <c r="G372" s="248"/>
      <c r="H372" s="248"/>
      <c r="I372" s="238">
        <f>-data!CE84</f>
        <v>-1023066</v>
      </c>
    </row>
    <row r="373" spans="1:9" ht="20.100000000000001" customHeight="1" x14ac:dyDescent="0.2">
      <c r="A373" s="230">
        <v>16</v>
      </c>
      <c r="B373" s="246" t="s">
        <v>1006</v>
      </c>
      <c r="C373" s="257">
        <f>data!CB85</f>
        <v>0</v>
      </c>
      <c r="D373" s="257">
        <f>data!CC85</f>
        <v>0</v>
      </c>
      <c r="E373" s="257">
        <f>data!CD85</f>
        <v>907193</v>
      </c>
      <c r="F373" s="262"/>
      <c r="G373" s="262"/>
      <c r="H373" s="262"/>
      <c r="I373" s="238">
        <f>data!CE85</f>
        <v>35680879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1324830</v>
      </c>
    </row>
    <row r="375" spans="1:9" ht="20.100000000000001" customHeight="1" x14ac:dyDescent="0.2">
      <c r="A375" s="230">
        <v>18</v>
      </c>
      <c r="B375" s="238" t="s">
        <v>1007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1008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11719687</v>
      </c>
    </row>
    <row r="377" spans="1:9" ht="20.100000000000001" customHeight="1" x14ac:dyDescent="0.2">
      <c r="A377" s="230">
        <v>20</v>
      </c>
      <c r="B377" s="246" t="s">
        <v>1009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40654472</v>
      </c>
    </row>
    <row r="378" spans="1:9" ht="20.100000000000001" customHeight="1" x14ac:dyDescent="0.2">
      <c r="A378" s="230">
        <v>21</v>
      </c>
      <c r="B378" s="246" t="s">
        <v>1010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52374159</v>
      </c>
    </row>
    <row r="379" spans="1:9" ht="20.100000000000001" customHeight="1" x14ac:dyDescent="0.2">
      <c r="A379" s="230" t="s">
        <v>1011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1012</v>
      </c>
      <c r="C380" s="254">
        <f>data!CB90</f>
        <v>0</v>
      </c>
      <c r="D380" s="254">
        <f>data!CC90</f>
        <v>0</v>
      </c>
      <c r="E380" s="248"/>
      <c r="F380" s="248"/>
      <c r="G380" s="248"/>
      <c r="H380" s="248"/>
      <c r="I380" s="238">
        <f>data!CE90</f>
        <v>95103</v>
      </c>
    </row>
    <row r="381" spans="1:9" ht="20.100000000000001" customHeight="1" x14ac:dyDescent="0.2">
      <c r="A381" s="230">
        <v>23</v>
      </c>
      <c r="B381" s="238" t="s">
        <v>1013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49809</v>
      </c>
    </row>
    <row r="382" spans="1:9" ht="20.100000000000001" customHeight="1" x14ac:dyDescent="0.2">
      <c r="A382" s="230">
        <v>24</v>
      </c>
      <c r="B382" s="238" t="s">
        <v>1014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5282</v>
      </c>
    </row>
    <row r="383" spans="1:9" ht="20.100000000000001" customHeight="1" x14ac:dyDescent="0.2">
      <c r="A383" s="230">
        <v>25</v>
      </c>
      <c r="B383" s="238" t="s">
        <v>1015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241126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55.790000000000006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  <customProperties>
    <customPr name="OrphanNamesChecke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89" transitionEvaluation="1" transitionEntry="1" codeName="Sheet1">
    <tabColor rgb="FF92D050"/>
    <pageSetUpPr autoPageBreaks="0" fitToPage="1"/>
  </sheetPr>
  <dimension ref="A1:CF716"/>
  <sheetViews>
    <sheetView topLeftCell="A89" zoomScaleNormal="100" workbookViewId="0">
      <selection activeCell="D350" sqref="D35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10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1" t="s">
        <v>1052</v>
      </c>
    </row>
    <row r="6" spans="1:5" x14ac:dyDescent="0.25">
      <c r="A6" s="11" t="s">
        <v>1053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2" t="s">
        <v>23</v>
      </c>
      <c r="F30" s="313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4" x14ac:dyDescent="0.25">
      <c r="A33" s="14" t="s">
        <v>25</v>
      </c>
      <c r="B33" s="58"/>
      <c r="C33" s="58"/>
      <c r="D33" s="58"/>
    </row>
    <row r="34" spans="1:84" ht="16.5" x14ac:dyDescent="0.25">
      <c r="A34" s="14" t="s">
        <v>26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14" t="s">
        <v>27</v>
      </c>
      <c r="B36" s="315"/>
      <c r="C36" s="316"/>
      <c r="D36" s="315"/>
      <c r="E36" s="315"/>
      <c r="F36" s="315"/>
      <c r="G36" s="317"/>
    </row>
    <row r="37" spans="1:84" x14ac:dyDescent="0.25">
      <c r="A37" s="318" t="s">
        <v>1054</v>
      </c>
      <c r="B37" s="319"/>
      <c r="C37" s="320"/>
      <c r="D37" s="321"/>
      <c r="E37" s="321"/>
      <c r="F37" s="321"/>
      <c r="G37" s="322"/>
    </row>
    <row r="38" spans="1:84" x14ac:dyDescent="0.25">
      <c r="A38" s="323" t="s">
        <v>29</v>
      </c>
      <c r="B38" s="319"/>
      <c r="C38" s="320"/>
      <c r="D38" s="321"/>
      <c r="E38" s="321"/>
      <c r="F38" s="321"/>
      <c r="G38" s="322"/>
    </row>
    <row r="39" spans="1:84" x14ac:dyDescent="0.25">
      <c r="A39" s="324" t="s">
        <v>1055</v>
      </c>
      <c r="B39" s="321"/>
      <c r="C39" s="320"/>
      <c r="D39" s="321"/>
      <c r="E39" s="321"/>
      <c r="F39" s="321"/>
      <c r="G39" s="322"/>
    </row>
    <row r="40" spans="1:84" x14ac:dyDescent="0.25">
      <c r="A40" s="325" t="s">
        <v>31</v>
      </c>
      <c r="B40" s="326"/>
      <c r="C40" s="327"/>
      <c r="D40" s="326"/>
      <c r="E40" s="326"/>
      <c r="F40" s="326"/>
      <c r="G40" s="328"/>
    </row>
    <row r="41" spans="1:84" x14ac:dyDescent="0.25">
      <c r="C41" s="13"/>
    </row>
    <row r="42" spans="1:84" x14ac:dyDescent="0.25">
      <c r="A42" s="11" t="s">
        <v>32</v>
      </c>
      <c r="C42" s="13"/>
      <c r="F42" s="313" t="s">
        <v>33</v>
      </c>
    </row>
    <row r="43" spans="1:84" x14ac:dyDescent="0.25">
      <c r="A43" s="313" t="s">
        <v>34</v>
      </c>
      <c r="C43" s="13"/>
    </row>
    <row r="44" spans="1:84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4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4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4" x14ac:dyDescent="0.25">
      <c r="A47" s="16" t="s">
        <v>230</v>
      </c>
      <c r="B47" s="272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v>0</v>
      </c>
      <c r="CF47" s="329">
        <v>0</v>
      </c>
    </row>
    <row r="48" spans="1:84" x14ac:dyDescent="0.25">
      <c r="A48" s="25" t="s">
        <v>231</v>
      </c>
      <c r="B48" s="272">
        <v>3460290</v>
      </c>
      <c r="C48" s="25">
        <v>0</v>
      </c>
      <c r="D48" s="25">
        <v>0</v>
      </c>
      <c r="E48" s="25">
        <v>145117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460552</v>
      </c>
      <c r="L48" s="25">
        <v>234041</v>
      </c>
      <c r="M48" s="25">
        <v>0</v>
      </c>
      <c r="N48" s="25">
        <v>0</v>
      </c>
      <c r="O48" s="25">
        <v>0</v>
      </c>
      <c r="P48" s="25">
        <v>129830</v>
      </c>
      <c r="Q48" s="25">
        <v>2078</v>
      </c>
      <c r="R48" s="25">
        <v>16702</v>
      </c>
      <c r="S48" s="25">
        <v>9580</v>
      </c>
      <c r="T48" s="25">
        <v>0</v>
      </c>
      <c r="U48" s="25">
        <v>112310</v>
      </c>
      <c r="V48" s="25">
        <v>0</v>
      </c>
      <c r="W48" s="25">
        <v>7826</v>
      </c>
      <c r="X48" s="25">
        <v>40565</v>
      </c>
      <c r="Y48" s="25">
        <v>98235</v>
      </c>
      <c r="Z48" s="25">
        <v>0</v>
      </c>
      <c r="AA48" s="25">
        <v>0</v>
      </c>
      <c r="AB48" s="25">
        <v>11790</v>
      </c>
      <c r="AC48" s="25">
        <v>23581</v>
      </c>
      <c r="AD48" s="25">
        <v>0</v>
      </c>
      <c r="AE48" s="25">
        <v>198919</v>
      </c>
      <c r="AF48" s="25">
        <v>0</v>
      </c>
      <c r="AG48" s="25">
        <v>218779</v>
      </c>
      <c r="AH48" s="25">
        <v>0</v>
      </c>
      <c r="AI48" s="25">
        <v>0</v>
      </c>
      <c r="AJ48" s="25">
        <v>239347</v>
      </c>
      <c r="AK48" s="25">
        <v>52804</v>
      </c>
      <c r="AL48" s="25">
        <v>39554</v>
      </c>
      <c r="AM48" s="25">
        <v>0</v>
      </c>
      <c r="AN48" s="25">
        <v>0</v>
      </c>
      <c r="AO48" s="25">
        <v>31983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1443</v>
      </c>
      <c r="AW48" s="25">
        <v>0</v>
      </c>
      <c r="AX48" s="25">
        <v>0</v>
      </c>
      <c r="AY48" s="25">
        <v>126740</v>
      </c>
      <c r="AZ48" s="25">
        <v>21145</v>
      </c>
      <c r="BA48" s="25">
        <v>67788</v>
      </c>
      <c r="BB48" s="25">
        <v>16163</v>
      </c>
      <c r="BC48" s="25">
        <v>0</v>
      </c>
      <c r="BD48" s="25">
        <v>10399</v>
      </c>
      <c r="BE48" s="25">
        <v>66768</v>
      </c>
      <c r="BF48" s="25">
        <v>80163</v>
      </c>
      <c r="BG48" s="25">
        <v>0</v>
      </c>
      <c r="BH48" s="25">
        <v>45604</v>
      </c>
      <c r="BI48" s="25">
        <v>0</v>
      </c>
      <c r="BJ48" s="25">
        <v>117627</v>
      </c>
      <c r="BK48" s="25">
        <v>94002</v>
      </c>
      <c r="BL48" s="25">
        <v>91431</v>
      </c>
      <c r="BM48" s="25">
        <v>0</v>
      </c>
      <c r="BN48" s="25">
        <v>407850</v>
      </c>
      <c r="BO48" s="25">
        <v>0</v>
      </c>
      <c r="BP48" s="25">
        <v>0</v>
      </c>
      <c r="BQ48" s="25">
        <v>0</v>
      </c>
      <c r="BR48" s="25">
        <v>43526</v>
      </c>
      <c r="BS48" s="25">
        <v>0</v>
      </c>
      <c r="BT48" s="25">
        <v>0</v>
      </c>
      <c r="BU48" s="25">
        <v>0</v>
      </c>
      <c r="BV48" s="25">
        <v>122450</v>
      </c>
      <c r="BW48" s="25">
        <v>0</v>
      </c>
      <c r="BX48" s="25">
        <v>0</v>
      </c>
      <c r="BY48" s="25">
        <v>73600</v>
      </c>
      <c r="BZ48" s="25">
        <v>0</v>
      </c>
      <c r="CA48" s="25">
        <v>0</v>
      </c>
      <c r="CB48" s="25">
        <v>0</v>
      </c>
      <c r="CC48" s="25">
        <v>0</v>
      </c>
      <c r="CD48" s="25" t="s">
        <v>1056</v>
      </c>
      <c r="CE48" s="25" t="s">
        <v>1056</v>
      </c>
      <c r="CF48" s="329">
        <v>0</v>
      </c>
    </row>
    <row r="49" spans="1:84" x14ac:dyDescent="0.25">
      <c r="A49" s="16" t="s">
        <v>232</v>
      </c>
      <c r="B49" s="25">
        <v>3460290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9">
        <v>0</v>
      </c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9">
        <v>0</v>
      </c>
    </row>
    <row r="51" spans="1:84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0</v>
      </c>
      <c r="CF51" s="329">
        <v>0</v>
      </c>
    </row>
    <row r="52" spans="1:84" x14ac:dyDescent="0.25">
      <c r="A52" s="31" t="s">
        <v>234</v>
      </c>
      <c r="B52" s="272">
        <v>1307512</v>
      </c>
      <c r="C52" s="25">
        <v>0</v>
      </c>
      <c r="D52" s="25">
        <v>0</v>
      </c>
      <c r="E52" s="25">
        <v>34754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239944</v>
      </c>
      <c r="L52" s="25">
        <v>56046</v>
      </c>
      <c r="M52" s="25">
        <v>0</v>
      </c>
      <c r="N52" s="25">
        <v>0</v>
      </c>
      <c r="O52" s="25">
        <v>0</v>
      </c>
      <c r="P52" s="25">
        <v>38541</v>
      </c>
      <c r="Q52" s="25">
        <v>10157</v>
      </c>
      <c r="R52" s="25">
        <v>8837</v>
      </c>
      <c r="S52" s="25">
        <v>11121</v>
      </c>
      <c r="T52" s="25">
        <v>0</v>
      </c>
      <c r="U52" s="25">
        <v>30427</v>
      </c>
      <c r="V52" s="25">
        <v>0</v>
      </c>
      <c r="W52" s="25">
        <v>2738</v>
      </c>
      <c r="X52" s="25">
        <v>14199</v>
      </c>
      <c r="Y52" s="25">
        <v>34399</v>
      </c>
      <c r="Z52" s="25">
        <v>0</v>
      </c>
      <c r="AA52" s="25">
        <v>0</v>
      </c>
      <c r="AB52" s="25">
        <v>13363</v>
      </c>
      <c r="AC52" s="25">
        <v>2454</v>
      </c>
      <c r="AD52" s="25">
        <v>0</v>
      </c>
      <c r="AE52" s="25">
        <v>120135</v>
      </c>
      <c r="AF52" s="25">
        <v>0</v>
      </c>
      <c r="AG52" s="25">
        <v>137370</v>
      </c>
      <c r="AH52" s="25">
        <v>0</v>
      </c>
      <c r="AI52" s="25">
        <v>0</v>
      </c>
      <c r="AJ52" s="25">
        <v>90261</v>
      </c>
      <c r="AK52" s="25">
        <v>0</v>
      </c>
      <c r="AL52" s="25">
        <v>0</v>
      </c>
      <c r="AM52" s="25">
        <v>0</v>
      </c>
      <c r="AN52" s="25">
        <v>0</v>
      </c>
      <c r="AO52" s="25">
        <v>7660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12682</v>
      </c>
      <c r="AW52" s="25">
        <v>0</v>
      </c>
      <c r="AX52" s="25">
        <v>0</v>
      </c>
      <c r="AY52" s="25">
        <v>53039</v>
      </c>
      <c r="AZ52" s="25">
        <v>0</v>
      </c>
      <c r="BA52" s="25">
        <v>29406</v>
      </c>
      <c r="BB52" s="25">
        <v>0</v>
      </c>
      <c r="BC52" s="25">
        <v>0</v>
      </c>
      <c r="BD52" s="25">
        <v>0</v>
      </c>
      <c r="BE52" s="25">
        <v>133427</v>
      </c>
      <c r="BF52" s="25">
        <v>21221</v>
      </c>
      <c r="BG52" s="25">
        <v>10497</v>
      </c>
      <c r="BH52" s="25">
        <v>20640</v>
      </c>
      <c r="BI52" s="25">
        <v>0</v>
      </c>
      <c r="BJ52" s="25">
        <v>34555</v>
      </c>
      <c r="BK52" s="25">
        <v>0</v>
      </c>
      <c r="BL52" s="25">
        <v>32314</v>
      </c>
      <c r="BM52" s="25">
        <v>0</v>
      </c>
      <c r="BN52" s="25">
        <v>43421</v>
      </c>
      <c r="BO52" s="25">
        <v>0</v>
      </c>
      <c r="BP52" s="25">
        <v>0</v>
      </c>
      <c r="BQ52" s="25">
        <v>0</v>
      </c>
      <c r="BR52" s="25">
        <v>37563</v>
      </c>
      <c r="BS52" s="25">
        <v>0</v>
      </c>
      <c r="BT52" s="25">
        <v>0</v>
      </c>
      <c r="BU52" s="25">
        <v>0</v>
      </c>
      <c r="BV52" s="25">
        <v>18412</v>
      </c>
      <c r="BW52" s="25">
        <v>0</v>
      </c>
      <c r="BX52" s="25">
        <v>0</v>
      </c>
      <c r="BY52" s="25">
        <v>8000</v>
      </c>
      <c r="BZ52" s="25">
        <v>0</v>
      </c>
      <c r="CA52" s="25">
        <v>0</v>
      </c>
      <c r="CB52" s="25">
        <v>0</v>
      </c>
      <c r="CC52" s="25">
        <v>0</v>
      </c>
      <c r="CD52" s="25" t="s">
        <v>1056</v>
      </c>
      <c r="CE52" s="25" t="s">
        <v>1056</v>
      </c>
      <c r="CF52" s="329">
        <v>0</v>
      </c>
    </row>
    <row r="53" spans="1:84" x14ac:dyDescent="0.25">
      <c r="A53" s="16" t="s">
        <v>232</v>
      </c>
      <c r="B53" s="25">
        <v>1307512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9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9">
        <v>0</v>
      </c>
    </row>
    <row r="55" spans="1:84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  <c r="CF55" s="329">
        <v>0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  <c r="CF56" s="329">
        <v>0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  <c r="CF57" s="329">
        <v>0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  <c r="CF58" s="329">
        <v>0</v>
      </c>
    </row>
    <row r="59" spans="1:84" x14ac:dyDescent="0.25">
      <c r="A59" s="31" t="s">
        <v>260</v>
      </c>
      <c r="B59" s="25"/>
      <c r="C59" s="273">
        <v>0</v>
      </c>
      <c r="D59" s="273">
        <v>0</v>
      </c>
      <c r="E59" s="273">
        <v>971</v>
      </c>
      <c r="F59" s="273">
        <v>0</v>
      </c>
      <c r="G59" s="273">
        <v>0</v>
      </c>
      <c r="H59" s="273">
        <v>0</v>
      </c>
      <c r="I59" s="273">
        <v>0</v>
      </c>
      <c r="J59" s="273">
        <v>0</v>
      </c>
      <c r="K59" s="273">
        <v>12951</v>
      </c>
      <c r="L59" s="273">
        <v>1566</v>
      </c>
      <c r="M59" s="273">
        <v>0</v>
      </c>
      <c r="N59" s="273">
        <v>0</v>
      </c>
      <c r="O59" s="273">
        <v>0</v>
      </c>
      <c r="P59" s="330">
        <v>6031</v>
      </c>
      <c r="Q59" s="331">
        <v>1721.34</v>
      </c>
      <c r="R59" s="331">
        <v>1169</v>
      </c>
      <c r="S59" s="332">
        <v>0</v>
      </c>
      <c r="T59" s="332">
        <v>0</v>
      </c>
      <c r="U59" s="333">
        <v>42988</v>
      </c>
      <c r="V59" s="331">
        <v>2814</v>
      </c>
      <c r="W59" s="331">
        <v>506</v>
      </c>
      <c r="X59" s="331">
        <v>2623</v>
      </c>
      <c r="Y59" s="331">
        <v>6352</v>
      </c>
      <c r="Z59" s="331">
        <v>0</v>
      </c>
      <c r="AA59" s="331">
        <v>0</v>
      </c>
      <c r="AB59" s="332">
        <v>0</v>
      </c>
      <c r="AC59" s="331">
        <v>1325</v>
      </c>
      <c r="AD59" s="331">
        <v>0</v>
      </c>
      <c r="AE59" s="331">
        <v>19702</v>
      </c>
      <c r="AF59" s="331">
        <v>0</v>
      </c>
      <c r="AG59" s="331">
        <v>5149</v>
      </c>
      <c r="AH59" s="331">
        <v>0</v>
      </c>
      <c r="AI59" s="331">
        <v>0</v>
      </c>
      <c r="AJ59" s="331">
        <v>2974</v>
      </c>
      <c r="AK59" s="331">
        <v>6378</v>
      </c>
      <c r="AL59" s="331">
        <v>2129</v>
      </c>
      <c r="AM59" s="331">
        <v>0</v>
      </c>
      <c r="AN59" s="331">
        <v>0</v>
      </c>
      <c r="AO59" s="331">
        <v>5148</v>
      </c>
      <c r="AP59" s="331">
        <v>0</v>
      </c>
      <c r="AQ59" s="331">
        <v>0</v>
      </c>
      <c r="AR59" s="331">
        <v>0</v>
      </c>
      <c r="AS59" s="331">
        <v>0</v>
      </c>
      <c r="AT59" s="331">
        <v>0</v>
      </c>
      <c r="AU59" s="331">
        <v>0</v>
      </c>
      <c r="AV59" s="332">
        <v>0</v>
      </c>
      <c r="AW59" s="332">
        <v>0</v>
      </c>
      <c r="AX59" s="332">
        <v>0</v>
      </c>
      <c r="AY59" s="331">
        <v>46661</v>
      </c>
      <c r="AZ59" s="331">
        <v>0</v>
      </c>
      <c r="BA59" s="332">
        <v>0</v>
      </c>
      <c r="BB59" s="332">
        <v>0</v>
      </c>
      <c r="BC59" s="332">
        <v>0</v>
      </c>
      <c r="BD59" s="332">
        <v>0</v>
      </c>
      <c r="BE59" s="331">
        <v>92174</v>
      </c>
      <c r="BF59" s="332">
        <v>0</v>
      </c>
      <c r="BG59" s="332">
        <v>0</v>
      </c>
      <c r="BH59" s="332">
        <v>0</v>
      </c>
      <c r="BI59" s="332">
        <v>0</v>
      </c>
      <c r="BJ59" s="332">
        <v>0</v>
      </c>
      <c r="BK59" s="332">
        <v>0</v>
      </c>
      <c r="BL59" s="332">
        <v>0</v>
      </c>
      <c r="BM59" s="332">
        <v>0</v>
      </c>
      <c r="BN59" s="332">
        <v>0</v>
      </c>
      <c r="BO59" s="332">
        <v>0</v>
      </c>
      <c r="BP59" s="332">
        <v>0</v>
      </c>
      <c r="BQ59" s="332">
        <v>0</v>
      </c>
      <c r="BR59" s="332">
        <v>0</v>
      </c>
      <c r="BS59" s="332">
        <v>0</v>
      </c>
      <c r="BT59" s="332">
        <v>0</v>
      </c>
      <c r="BU59" s="332">
        <v>0</v>
      </c>
      <c r="BV59" s="332">
        <v>0</v>
      </c>
      <c r="BW59" s="332">
        <v>0</v>
      </c>
      <c r="BX59" s="332">
        <v>0</v>
      </c>
      <c r="BY59" s="332">
        <v>0</v>
      </c>
      <c r="BZ59" s="332">
        <v>0</v>
      </c>
      <c r="CA59" s="332">
        <v>0</v>
      </c>
      <c r="CB59" s="332">
        <v>0</v>
      </c>
      <c r="CC59" s="332">
        <v>0</v>
      </c>
      <c r="CD59" s="224">
        <v>0</v>
      </c>
      <c r="CE59" s="25">
        <v>0</v>
      </c>
      <c r="CF59" s="329">
        <v>0</v>
      </c>
    </row>
    <row r="60" spans="1:84" s="201" customFormat="1" ht="15.75" customHeight="1" x14ac:dyDescent="0.25">
      <c r="A60" s="207" t="s">
        <v>261</v>
      </c>
      <c r="B60" s="208"/>
      <c r="C60" s="277">
        <v>0</v>
      </c>
      <c r="D60" s="277">
        <v>0</v>
      </c>
      <c r="E60" s="277">
        <v>8.08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27.48</v>
      </c>
      <c r="L60" s="277">
        <v>13.02</v>
      </c>
      <c r="M60" s="277">
        <v>0</v>
      </c>
      <c r="N60" s="277">
        <v>0</v>
      </c>
      <c r="O60" s="277">
        <v>0</v>
      </c>
      <c r="P60" s="330">
        <v>3.32</v>
      </c>
      <c r="Q60" s="330">
        <v>0.08</v>
      </c>
      <c r="R60" s="330">
        <v>0.19</v>
      </c>
      <c r="S60" s="278">
        <v>1.1299999999999999</v>
      </c>
      <c r="T60" s="278">
        <v>0</v>
      </c>
      <c r="U60" s="334">
        <v>6.81</v>
      </c>
      <c r="V60" s="330">
        <v>0</v>
      </c>
      <c r="W60" s="330">
        <v>0.3</v>
      </c>
      <c r="X60" s="330">
        <v>1.56</v>
      </c>
      <c r="Y60" s="330">
        <v>3.77</v>
      </c>
      <c r="Z60" s="330">
        <v>0</v>
      </c>
      <c r="AA60" s="330">
        <v>0</v>
      </c>
      <c r="AB60" s="278">
        <v>0.73</v>
      </c>
      <c r="AC60" s="330">
        <v>0.87</v>
      </c>
      <c r="AD60" s="330">
        <v>0</v>
      </c>
      <c r="AE60" s="330">
        <v>12.58</v>
      </c>
      <c r="AF60" s="330">
        <v>0</v>
      </c>
      <c r="AG60" s="330">
        <v>12.77</v>
      </c>
      <c r="AH60" s="330">
        <v>0</v>
      </c>
      <c r="AI60" s="330">
        <v>0</v>
      </c>
      <c r="AJ60" s="330">
        <v>11.42</v>
      </c>
      <c r="AK60" s="330">
        <v>1.42</v>
      </c>
      <c r="AL60" s="330">
        <v>0.99</v>
      </c>
      <c r="AM60" s="330">
        <v>0</v>
      </c>
      <c r="AN60" s="330">
        <v>0</v>
      </c>
      <c r="AO60" s="330">
        <v>1.78</v>
      </c>
      <c r="AP60" s="330">
        <v>0</v>
      </c>
      <c r="AQ60" s="330">
        <v>0</v>
      </c>
      <c r="AR60" s="330">
        <v>0</v>
      </c>
      <c r="AS60" s="330">
        <v>0</v>
      </c>
      <c r="AT60" s="330">
        <v>0</v>
      </c>
      <c r="AU60" s="330">
        <v>0</v>
      </c>
      <c r="AV60" s="278">
        <v>0.19</v>
      </c>
      <c r="AW60" s="278">
        <v>0</v>
      </c>
      <c r="AX60" s="278">
        <v>0</v>
      </c>
      <c r="AY60" s="330">
        <v>11.85</v>
      </c>
      <c r="AZ60" s="330">
        <v>2.37</v>
      </c>
      <c r="BA60" s="278">
        <v>6.14</v>
      </c>
      <c r="BB60" s="278">
        <v>0.86</v>
      </c>
      <c r="BC60" s="278">
        <v>0</v>
      </c>
      <c r="BD60" s="278">
        <v>0.9</v>
      </c>
      <c r="BE60" s="330">
        <v>5</v>
      </c>
      <c r="BF60" s="278">
        <v>7.01</v>
      </c>
      <c r="BG60" s="278">
        <v>0</v>
      </c>
      <c r="BH60" s="278">
        <v>1.99</v>
      </c>
      <c r="BI60" s="278">
        <v>0</v>
      </c>
      <c r="BJ60" s="278">
        <v>6.87</v>
      </c>
      <c r="BK60" s="278">
        <v>7.5</v>
      </c>
      <c r="BL60" s="278">
        <v>8.82</v>
      </c>
      <c r="BM60" s="278">
        <v>0</v>
      </c>
      <c r="BN60" s="278">
        <v>2.1800000000000002</v>
      </c>
      <c r="BO60" s="278">
        <v>0</v>
      </c>
      <c r="BP60" s="278">
        <v>0</v>
      </c>
      <c r="BQ60" s="278">
        <v>0</v>
      </c>
      <c r="BR60" s="278">
        <v>2.17</v>
      </c>
      <c r="BS60" s="278">
        <v>0</v>
      </c>
      <c r="BT60" s="278">
        <v>0</v>
      </c>
      <c r="BU60" s="278">
        <v>0</v>
      </c>
      <c r="BV60" s="278">
        <v>10.37</v>
      </c>
      <c r="BW60" s="278">
        <v>0</v>
      </c>
      <c r="BX60" s="278">
        <v>0</v>
      </c>
      <c r="BY60" s="278">
        <v>2.66</v>
      </c>
      <c r="BZ60" s="278">
        <v>0</v>
      </c>
      <c r="CA60" s="278">
        <v>0</v>
      </c>
      <c r="CB60" s="278">
        <v>0</v>
      </c>
      <c r="CC60" s="278">
        <v>0</v>
      </c>
      <c r="CD60" s="209" t="s">
        <v>247</v>
      </c>
      <c r="CE60" s="227">
        <v>185.18</v>
      </c>
      <c r="CF60" s="335">
        <v>0</v>
      </c>
    </row>
    <row r="61" spans="1:84" x14ac:dyDescent="0.25">
      <c r="A61" s="31" t="s">
        <v>262</v>
      </c>
      <c r="B61" s="16"/>
      <c r="C61" s="273">
        <v>0</v>
      </c>
      <c r="D61" s="273">
        <v>0</v>
      </c>
      <c r="E61" s="273">
        <v>651417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2067373</v>
      </c>
      <c r="L61" s="273">
        <v>1050586</v>
      </c>
      <c r="M61" s="273">
        <v>0</v>
      </c>
      <c r="N61" s="273">
        <v>0</v>
      </c>
      <c r="O61" s="273">
        <v>0</v>
      </c>
      <c r="P61" s="331">
        <v>582796</v>
      </c>
      <c r="Q61" s="331">
        <v>9326</v>
      </c>
      <c r="R61" s="331">
        <v>74972</v>
      </c>
      <c r="S61" s="280">
        <v>43005</v>
      </c>
      <c r="T61" s="280">
        <v>0</v>
      </c>
      <c r="U61" s="333">
        <v>504149</v>
      </c>
      <c r="V61" s="331">
        <v>0</v>
      </c>
      <c r="W61" s="331">
        <v>35128</v>
      </c>
      <c r="X61" s="331">
        <v>182094</v>
      </c>
      <c r="Y61" s="331">
        <v>440969</v>
      </c>
      <c r="Z61" s="331">
        <v>0</v>
      </c>
      <c r="AA61" s="331">
        <v>0</v>
      </c>
      <c r="AB61" s="281">
        <v>52922</v>
      </c>
      <c r="AC61" s="331">
        <v>105853</v>
      </c>
      <c r="AD61" s="331">
        <v>0</v>
      </c>
      <c r="AE61" s="331">
        <v>892930</v>
      </c>
      <c r="AF61" s="331">
        <v>0</v>
      </c>
      <c r="AG61" s="331">
        <v>982078</v>
      </c>
      <c r="AH61" s="331">
        <v>0</v>
      </c>
      <c r="AI61" s="331">
        <v>0</v>
      </c>
      <c r="AJ61" s="331">
        <v>1074406</v>
      </c>
      <c r="AK61" s="331">
        <v>237033</v>
      </c>
      <c r="AL61" s="331">
        <v>177554</v>
      </c>
      <c r="AM61" s="331">
        <v>0</v>
      </c>
      <c r="AN61" s="331">
        <v>0</v>
      </c>
      <c r="AO61" s="331">
        <v>143567</v>
      </c>
      <c r="AP61" s="331">
        <v>0</v>
      </c>
      <c r="AQ61" s="331">
        <v>0</v>
      </c>
      <c r="AR61" s="331">
        <v>0</v>
      </c>
      <c r="AS61" s="331">
        <v>0</v>
      </c>
      <c r="AT61" s="331">
        <v>0</v>
      </c>
      <c r="AU61" s="331">
        <v>0</v>
      </c>
      <c r="AV61" s="280">
        <v>6477</v>
      </c>
      <c r="AW61" s="280">
        <v>0</v>
      </c>
      <c r="AX61" s="280">
        <v>0</v>
      </c>
      <c r="AY61" s="331">
        <v>568926</v>
      </c>
      <c r="AZ61" s="331">
        <v>94917</v>
      </c>
      <c r="BA61" s="280">
        <v>304296</v>
      </c>
      <c r="BB61" s="280">
        <v>72552</v>
      </c>
      <c r="BC61" s="280">
        <v>0</v>
      </c>
      <c r="BD61" s="280">
        <v>46680</v>
      </c>
      <c r="BE61" s="331">
        <v>299715</v>
      </c>
      <c r="BF61" s="280">
        <v>359843</v>
      </c>
      <c r="BG61" s="280">
        <v>0</v>
      </c>
      <c r="BH61" s="280">
        <v>204713</v>
      </c>
      <c r="BI61" s="280">
        <v>0</v>
      </c>
      <c r="BJ61" s="280">
        <v>528018</v>
      </c>
      <c r="BK61" s="280">
        <v>421964</v>
      </c>
      <c r="BL61" s="280">
        <v>410426</v>
      </c>
      <c r="BM61" s="280">
        <v>0</v>
      </c>
      <c r="BN61" s="280">
        <v>1830799</v>
      </c>
      <c r="BO61" s="280">
        <v>0</v>
      </c>
      <c r="BP61" s="280">
        <v>0</v>
      </c>
      <c r="BQ61" s="280">
        <v>0</v>
      </c>
      <c r="BR61" s="280">
        <v>195383</v>
      </c>
      <c r="BS61" s="280">
        <v>0</v>
      </c>
      <c r="BT61" s="280">
        <v>0</v>
      </c>
      <c r="BU61" s="280">
        <v>0</v>
      </c>
      <c r="BV61" s="280">
        <v>549665</v>
      </c>
      <c r="BW61" s="280">
        <v>0</v>
      </c>
      <c r="BX61" s="280">
        <v>0</v>
      </c>
      <c r="BY61" s="280">
        <v>330385</v>
      </c>
      <c r="BZ61" s="280">
        <v>0</v>
      </c>
      <c r="CA61" s="280">
        <v>0</v>
      </c>
      <c r="CB61" s="280">
        <v>0</v>
      </c>
      <c r="CC61" s="280">
        <v>0</v>
      </c>
      <c r="CD61" s="24" t="s">
        <v>247</v>
      </c>
      <c r="CE61" s="25">
        <v>15532917</v>
      </c>
      <c r="CF61" s="329">
        <v>0</v>
      </c>
    </row>
    <row r="62" spans="1:84" x14ac:dyDescent="0.25">
      <c r="A62" s="31" t="s">
        <v>10</v>
      </c>
      <c r="B62" s="16"/>
      <c r="C62" s="25">
        <v>0</v>
      </c>
      <c r="D62" s="25">
        <v>0</v>
      </c>
      <c r="E62" s="25">
        <v>145117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460552</v>
      </c>
      <c r="L62" s="25">
        <v>234041</v>
      </c>
      <c r="M62" s="25">
        <v>0</v>
      </c>
      <c r="N62" s="25">
        <v>0</v>
      </c>
      <c r="O62" s="25">
        <v>0</v>
      </c>
      <c r="P62" s="25">
        <v>129830</v>
      </c>
      <c r="Q62" s="25">
        <v>2078</v>
      </c>
      <c r="R62" s="25">
        <v>16702</v>
      </c>
      <c r="S62" s="25">
        <v>9580</v>
      </c>
      <c r="T62" s="25">
        <v>0</v>
      </c>
      <c r="U62" s="25">
        <v>112310</v>
      </c>
      <c r="V62" s="25">
        <v>0</v>
      </c>
      <c r="W62" s="25">
        <v>7826</v>
      </c>
      <c r="X62" s="25">
        <v>40565</v>
      </c>
      <c r="Y62" s="25">
        <v>98235</v>
      </c>
      <c r="Z62" s="25">
        <v>0</v>
      </c>
      <c r="AA62" s="25">
        <v>0</v>
      </c>
      <c r="AB62" s="25">
        <v>11790</v>
      </c>
      <c r="AC62" s="25">
        <v>23581</v>
      </c>
      <c r="AD62" s="25">
        <v>0</v>
      </c>
      <c r="AE62" s="25">
        <v>198919</v>
      </c>
      <c r="AF62" s="25">
        <v>0</v>
      </c>
      <c r="AG62" s="25">
        <v>218779</v>
      </c>
      <c r="AH62" s="25">
        <v>0</v>
      </c>
      <c r="AI62" s="25">
        <v>0</v>
      </c>
      <c r="AJ62" s="25">
        <v>239347</v>
      </c>
      <c r="AK62" s="25">
        <v>52804</v>
      </c>
      <c r="AL62" s="25">
        <v>39554</v>
      </c>
      <c r="AM62" s="25">
        <v>0</v>
      </c>
      <c r="AN62" s="25">
        <v>0</v>
      </c>
      <c r="AO62" s="25">
        <v>31983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1443</v>
      </c>
      <c r="AW62" s="25">
        <v>0</v>
      </c>
      <c r="AX62" s="25">
        <v>0</v>
      </c>
      <c r="AY62" s="25">
        <v>126740</v>
      </c>
      <c r="AZ62" s="25">
        <v>21145</v>
      </c>
      <c r="BA62" s="25">
        <v>67788</v>
      </c>
      <c r="BB62" s="25">
        <v>16163</v>
      </c>
      <c r="BC62" s="25">
        <v>0</v>
      </c>
      <c r="BD62" s="25">
        <v>10399</v>
      </c>
      <c r="BE62" s="25">
        <v>66768</v>
      </c>
      <c r="BF62" s="25">
        <v>80163</v>
      </c>
      <c r="BG62" s="25">
        <v>0</v>
      </c>
      <c r="BH62" s="25">
        <v>45604</v>
      </c>
      <c r="BI62" s="25">
        <v>0</v>
      </c>
      <c r="BJ62" s="25">
        <v>117627</v>
      </c>
      <c r="BK62" s="25">
        <v>94002</v>
      </c>
      <c r="BL62" s="25">
        <v>91431</v>
      </c>
      <c r="BM62" s="25">
        <v>0</v>
      </c>
      <c r="BN62" s="25">
        <v>407850</v>
      </c>
      <c r="BO62" s="25">
        <v>0</v>
      </c>
      <c r="BP62" s="25">
        <v>0</v>
      </c>
      <c r="BQ62" s="25">
        <v>0</v>
      </c>
      <c r="BR62" s="25">
        <v>43526</v>
      </c>
      <c r="BS62" s="25">
        <v>0</v>
      </c>
      <c r="BT62" s="25">
        <v>0</v>
      </c>
      <c r="BU62" s="25">
        <v>0</v>
      </c>
      <c r="BV62" s="25">
        <v>122450</v>
      </c>
      <c r="BW62" s="25">
        <v>0</v>
      </c>
      <c r="BX62" s="25">
        <v>0</v>
      </c>
      <c r="BY62" s="25">
        <v>73600</v>
      </c>
      <c r="BZ62" s="25">
        <v>0</v>
      </c>
      <c r="CA62" s="25">
        <v>0</v>
      </c>
      <c r="CB62" s="25">
        <v>0</v>
      </c>
      <c r="CC62" s="25">
        <v>0</v>
      </c>
      <c r="CD62" s="24" t="s">
        <v>247</v>
      </c>
      <c r="CE62" s="25">
        <v>3460292</v>
      </c>
      <c r="CF62" s="329">
        <v>0</v>
      </c>
    </row>
    <row r="63" spans="1:84" x14ac:dyDescent="0.25">
      <c r="A63" s="31" t="s">
        <v>263</v>
      </c>
      <c r="B63" s="16"/>
      <c r="C63" s="273">
        <v>0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29715</v>
      </c>
      <c r="L63" s="273">
        <v>0</v>
      </c>
      <c r="M63" s="273">
        <v>0</v>
      </c>
      <c r="N63" s="273">
        <v>0</v>
      </c>
      <c r="O63" s="273">
        <v>0</v>
      </c>
      <c r="P63" s="331">
        <v>0</v>
      </c>
      <c r="Q63" s="331">
        <v>0</v>
      </c>
      <c r="R63" s="331">
        <v>0</v>
      </c>
      <c r="S63" s="280">
        <v>0</v>
      </c>
      <c r="T63" s="280">
        <v>0</v>
      </c>
      <c r="U63" s="333">
        <v>3280</v>
      </c>
      <c r="V63" s="331">
        <v>0</v>
      </c>
      <c r="W63" s="331">
        <v>0</v>
      </c>
      <c r="X63" s="331">
        <v>0</v>
      </c>
      <c r="Y63" s="331">
        <v>0</v>
      </c>
      <c r="Z63" s="331">
        <v>0</v>
      </c>
      <c r="AA63" s="331">
        <v>0</v>
      </c>
      <c r="AB63" s="281">
        <v>0</v>
      </c>
      <c r="AC63" s="331">
        <v>0</v>
      </c>
      <c r="AD63" s="331">
        <v>0</v>
      </c>
      <c r="AE63" s="331">
        <v>0</v>
      </c>
      <c r="AF63" s="331">
        <v>0</v>
      </c>
      <c r="AG63" s="331">
        <v>0</v>
      </c>
      <c r="AH63" s="331">
        <v>0</v>
      </c>
      <c r="AI63" s="331">
        <v>0</v>
      </c>
      <c r="AJ63" s="331">
        <v>0</v>
      </c>
      <c r="AK63" s="331">
        <v>0</v>
      </c>
      <c r="AL63" s="331">
        <v>0</v>
      </c>
      <c r="AM63" s="331">
        <v>0</v>
      </c>
      <c r="AN63" s="331">
        <v>0</v>
      </c>
      <c r="AO63" s="331">
        <v>0</v>
      </c>
      <c r="AP63" s="331">
        <v>0</v>
      </c>
      <c r="AQ63" s="331">
        <v>0</v>
      </c>
      <c r="AR63" s="331">
        <v>0</v>
      </c>
      <c r="AS63" s="331">
        <v>0</v>
      </c>
      <c r="AT63" s="331">
        <v>0</v>
      </c>
      <c r="AU63" s="331">
        <v>0</v>
      </c>
      <c r="AV63" s="280">
        <v>0</v>
      </c>
      <c r="AW63" s="280">
        <v>0</v>
      </c>
      <c r="AX63" s="280">
        <v>0</v>
      </c>
      <c r="AY63" s="331">
        <v>0</v>
      </c>
      <c r="AZ63" s="331">
        <v>0</v>
      </c>
      <c r="BA63" s="280">
        <v>0</v>
      </c>
      <c r="BB63" s="280">
        <v>0</v>
      </c>
      <c r="BC63" s="280">
        <v>0</v>
      </c>
      <c r="BD63" s="280">
        <v>0</v>
      </c>
      <c r="BE63" s="331">
        <v>0</v>
      </c>
      <c r="BF63" s="280">
        <v>0</v>
      </c>
      <c r="BG63" s="280">
        <v>0</v>
      </c>
      <c r="BH63" s="280">
        <v>124868</v>
      </c>
      <c r="BI63" s="280">
        <v>0</v>
      </c>
      <c r="BJ63" s="280">
        <v>65500</v>
      </c>
      <c r="BK63" s="280">
        <v>10880</v>
      </c>
      <c r="BL63" s="280">
        <v>0</v>
      </c>
      <c r="BM63" s="280">
        <v>0</v>
      </c>
      <c r="BN63" s="280">
        <v>171009</v>
      </c>
      <c r="BO63" s="280">
        <v>0</v>
      </c>
      <c r="BP63" s="280">
        <v>0</v>
      </c>
      <c r="BQ63" s="280">
        <v>0</v>
      </c>
      <c r="BR63" s="280">
        <v>109022</v>
      </c>
      <c r="BS63" s="280">
        <v>0</v>
      </c>
      <c r="BT63" s="280">
        <v>0</v>
      </c>
      <c r="BU63" s="280">
        <v>0</v>
      </c>
      <c r="BV63" s="280">
        <v>49000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v>563274</v>
      </c>
      <c r="CF63" s="329">
        <v>0</v>
      </c>
    </row>
    <row r="64" spans="1:84" x14ac:dyDescent="0.25">
      <c r="A64" s="31" t="s">
        <v>264</v>
      </c>
      <c r="B64" s="16"/>
      <c r="C64" s="273">
        <v>0</v>
      </c>
      <c r="D64" s="273">
        <v>0</v>
      </c>
      <c r="E64" s="273">
        <v>20430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128675</v>
      </c>
      <c r="L64" s="273">
        <v>32949</v>
      </c>
      <c r="M64" s="273">
        <v>0</v>
      </c>
      <c r="N64" s="273">
        <v>0</v>
      </c>
      <c r="O64" s="273">
        <v>0</v>
      </c>
      <c r="P64" s="331">
        <v>16349</v>
      </c>
      <c r="Q64" s="331">
        <v>0</v>
      </c>
      <c r="R64" s="331">
        <v>455</v>
      </c>
      <c r="S64" s="280">
        <v>0</v>
      </c>
      <c r="T64" s="280">
        <v>0</v>
      </c>
      <c r="U64" s="333">
        <v>582434</v>
      </c>
      <c r="V64" s="331">
        <v>0</v>
      </c>
      <c r="W64" s="331">
        <v>377</v>
      </c>
      <c r="X64" s="331">
        <v>1956</v>
      </c>
      <c r="Y64" s="331">
        <v>4736</v>
      </c>
      <c r="Z64" s="331">
        <v>0</v>
      </c>
      <c r="AA64" s="331">
        <v>0</v>
      </c>
      <c r="AB64" s="281">
        <v>1893551</v>
      </c>
      <c r="AC64" s="331">
        <v>4700</v>
      </c>
      <c r="AD64" s="331">
        <v>0</v>
      </c>
      <c r="AE64" s="331">
        <v>50574</v>
      </c>
      <c r="AF64" s="331">
        <v>0</v>
      </c>
      <c r="AG64" s="331">
        <v>69116</v>
      </c>
      <c r="AH64" s="331">
        <v>0</v>
      </c>
      <c r="AI64" s="331">
        <v>0</v>
      </c>
      <c r="AJ64" s="331">
        <v>29492</v>
      </c>
      <c r="AK64" s="331">
        <v>2961</v>
      </c>
      <c r="AL64" s="331">
        <v>5320</v>
      </c>
      <c r="AM64" s="331">
        <v>0</v>
      </c>
      <c r="AN64" s="331">
        <v>0</v>
      </c>
      <c r="AO64" s="331">
        <v>4502</v>
      </c>
      <c r="AP64" s="331">
        <v>0</v>
      </c>
      <c r="AQ64" s="331">
        <v>0</v>
      </c>
      <c r="AR64" s="331">
        <v>0</v>
      </c>
      <c r="AS64" s="331">
        <v>0</v>
      </c>
      <c r="AT64" s="331">
        <v>0</v>
      </c>
      <c r="AU64" s="331">
        <v>0</v>
      </c>
      <c r="AV64" s="280">
        <v>88</v>
      </c>
      <c r="AW64" s="280">
        <v>0</v>
      </c>
      <c r="AX64" s="280">
        <v>0</v>
      </c>
      <c r="AY64" s="331">
        <v>333159</v>
      </c>
      <c r="AZ64" s="331">
        <v>72354</v>
      </c>
      <c r="BA64" s="280">
        <v>22376</v>
      </c>
      <c r="BB64" s="280">
        <v>0</v>
      </c>
      <c r="BC64" s="280">
        <v>0</v>
      </c>
      <c r="BD64" s="280">
        <v>271204</v>
      </c>
      <c r="BE64" s="331">
        <v>6195</v>
      </c>
      <c r="BF64" s="280">
        <v>73894</v>
      </c>
      <c r="BG64" s="280">
        <v>1892</v>
      </c>
      <c r="BH64" s="280">
        <v>13455</v>
      </c>
      <c r="BI64" s="280">
        <v>0</v>
      </c>
      <c r="BJ64" s="280">
        <v>9813</v>
      </c>
      <c r="BK64" s="280">
        <v>3784</v>
      </c>
      <c r="BL64" s="280">
        <v>9389</v>
      </c>
      <c r="BM64" s="280">
        <v>0</v>
      </c>
      <c r="BN64" s="280">
        <v>69354</v>
      </c>
      <c r="BO64" s="280">
        <v>0</v>
      </c>
      <c r="BP64" s="280">
        <v>0</v>
      </c>
      <c r="BQ64" s="280">
        <v>0</v>
      </c>
      <c r="BR64" s="280">
        <v>5947</v>
      </c>
      <c r="BS64" s="280">
        <v>0</v>
      </c>
      <c r="BT64" s="280">
        <v>0</v>
      </c>
      <c r="BU64" s="280">
        <v>0</v>
      </c>
      <c r="BV64" s="280">
        <v>3448</v>
      </c>
      <c r="BW64" s="280">
        <v>0</v>
      </c>
      <c r="BX64" s="280">
        <v>0</v>
      </c>
      <c r="BY64" s="280">
        <v>4734</v>
      </c>
      <c r="BZ64" s="280">
        <v>0</v>
      </c>
      <c r="CA64" s="280">
        <v>0</v>
      </c>
      <c r="CB64" s="280">
        <v>0</v>
      </c>
      <c r="CC64" s="280">
        <v>0</v>
      </c>
      <c r="CD64" s="24" t="s">
        <v>247</v>
      </c>
      <c r="CE64" s="25">
        <v>3749663</v>
      </c>
      <c r="CF64" s="329">
        <v>0</v>
      </c>
    </row>
    <row r="65" spans="1:84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30763</v>
      </c>
      <c r="L65" s="273">
        <v>0</v>
      </c>
      <c r="M65" s="273">
        <v>0</v>
      </c>
      <c r="N65" s="273">
        <v>0</v>
      </c>
      <c r="O65" s="273">
        <v>0</v>
      </c>
      <c r="P65" s="331">
        <v>0</v>
      </c>
      <c r="Q65" s="331">
        <v>0</v>
      </c>
      <c r="R65" s="331">
        <v>0</v>
      </c>
      <c r="S65" s="280">
        <v>0</v>
      </c>
      <c r="T65" s="280">
        <v>0</v>
      </c>
      <c r="U65" s="333">
        <v>0</v>
      </c>
      <c r="V65" s="331">
        <v>0</v>
      </c>
      <c r="W65" s="331">
        <v>0</v>
      </c>
      <c r="X65" s="331">
        <v>0</v>
      </c>
      <c r="Y65" s="331">
        <v>0</v>
      </c>
      <c r="Z65" s="331">
        <v>0</v>
      </c>
      <c r="AA65" s="331">
        <v>0</v>
      </c>
      <c r="AB65" s="281">
        <v>5405</v>
      </c>
      <c r="AC65" s="331">
        <v>0</v>
      </c>
      <c r="AD65" s="331">
        <v>0</v>
      </c>
      <c r="AE65" s="331">
        <v>4571</v>
      </c>
      <c r="AF65" s="331">
        <v>0</v>
      </c>
      <c r="AG65" s="331">
        <v>0</v>
      </c>
      <c r="AH65" s="331">
        <v>0</v>
      </c>
      <c r="AI65" s="331">
        <v>0</v>
      </c>
      <c r="AJ65" s="331">
        <v>0</v>
      </c>
      <c r="AK65" s="331">
        <v>0</v>
      </c>
      <c r="AL65" s="331">
        <v>0</v>
      </c>
      <c r="AM65" s="331">
        <v>0</v>
      </c>
      <c r="AN65" s="331">
        <v>0</v>
      </c>
      <c r="AO65" s="331">
        <v>0</v>
      </c>
      <c r="AP65" s="331">
        <v>0</v>
      </c>
      <c r="AQ65" s="331">
        <v>0</v>
      </c>
      <c r="AR65" s="331">
        <v>0</v>
      </c>
      <c r="AS65" s="331">
        <v>0</v>
      </c>
      <c r="AT65" s="331">
        <v>0</v>
      </c>
      <c r="AU65" s="331">
        <v>0</v>
      </c>
      <c r="AV65" s="280">
        <v>0</v>
      </c>
      <c r="AW65" s="280">
        <v>0</v>
      </c>
      <c r="AX65" s="280">
        <v>0</v>
      </c>
      <c r="AY65" s="331">
        <v>9600</v>
      </c>
      <c r="AZ65" s="331">
        <v>0</v>
      </c>
      <c r="BA65" s="280">
        <v>31560</v>
      </c>
      <c r="BB65" s="280">
        <v>0</v>
      </c>
      <c r="BC65" s="280">
        <v>0</v>
      </c>
      <c r="BD65" s="280">
        <v>0</v>
      </c>
      <c r="BE65" s="331">
        <v>331186</v>
      </c>
      <c r="BF65" s="280">
        <v>0</v>
      </c>
      <c r="BG65" s="280">
        <v>35282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10257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458624</v>
      </c>
      <c r="CF65" s="329">
        <v>0</v>
      </c>
    </row>
    <row r="66" spans="1:84" x14ac:dyDescent="0.25">
      <c r="A66" s="31" t="s">
        <v>266</v>
      </c>
      <c r="B66" s="16"/>
      <c r="C66" s="273">
        <v>0</v>
      </c>
      <c r="D66" s="273">
        <v>0</v>
      </c>
      <c r="E66" s="273">
        <v>410426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613230</v>
      </c>
      <c r="L66" s="273">
        <v>661916</v>
      </c>
      <c r="M66" s="273">
        <v>0</v>
      </c>
      <c r="N66" s="273">
        <v>0</v>
      </c>
      <c r="O66" s="273">
        <v>0</v>
      </c>
      <c r="P66" s="331">
        <v>20447</v>
      </c>
      <c r="Q66" s="331">
        <v>130</v>
      </c>
      <c r="R66" s="331">
        <v>1087</v>
      </c>
      <c r="S66" s="280">
        <v>0</v>
      </c>
      <c r="T66" s="280">
        <v>0</v>
      </c>
      <c r="U66" s="333">
        <v>191621</v>
      </c>
      <c r="V66" s="331">
        <v>0</v>
      </c>
      <c r="W66" s="331">
        <v>66022</v>
      </c>
      <c r="X66" s="331">
        <v>342245</v>
      </c>
      <c r="Y66" s="331">
        <v>828800</v>
      </c>
      <c r="Z66" s="331">
        <v>0</v>
      </c>
      <c r="AA66" s="331">
        <v>0</v>
      </c>
      <c r="AB66" s="281">
        <v>210907</v>
      </c>
      <c r="AC66" s="331">
        <v>52133</v>
      </c>
      <c r="AD66" s="331">
        <v>0</v>
      </c>
      <c r="AE66" s="331">
        <v>97932</v>
      </c>
      <c r="AF66" s="331">
        <v>0</v>
      </c>
      <c r="AG66" s="331">
        <v>3176850</v>
      </c>
      <c r="AH66" s="331">
        <v>0</v>
      </c>
      <c r="AI66" s="331">
        <v>0</v>
      </c>
      <c r="AJ66" s="331">
        <v>70094</v>
      </c>
      <c r="AK66" s="331">
        <v>3082</v>
      </c>
      <c r="AL66" s="331">
        <v>3122</v>
      </c>
      <c r="AM66" s="331">
        <v>0</v>
      </c>
      <c r="AN66" s="331">
        <v>0</v>
      </c>
      <c r="AO66" s="331">
        <v>90454</v>
      </c>
      <c r="AP66" s="331">
        <v>0</v>
      </c>
      <c r="AQ66" s="331">
        <v>0</v>
      </c>
      <c r="AR66" s="331">
        <v>0</v>
      </c>
      <c r="AS66" s="331">
        <v>0</v>
      </c>
      <c r="AT66" s="331">
        <v>0</v>
      </c>
      <c r="AU66" s="331">
        <v>0</v>
      </c>
      <c r="AV66" s="280">
        <v>99648</v>
      </c>
      <c r="AW66" s="280">
        <v>0</v>
      </c>
      <c r="AX66" s="280">
        <v>0</v>
      </c>
      <c r="AY66" s="331">
        <v>17122</v>
      </c>
      <c r="AZ66" s="331">
        <v>8816</v>
      </c>
      <c r="BA66" s="280">
        <v>4106</v>
      </c>
      <c r="BB66" s="280">
        <v>996</v>
      </c>
      <c r="BC66" s="280">
        <v>0</v>
      </c>
      <c r="BD66" s="280">
        <v>1126</v>
      </c>
      <c r="BE66" s="331">
        <v>39886</v>
      </c>
      <c r="BF66" s="280">
        <v>25090</v>
      </c>
      <c r="BG66" s="280">
        <v>10445</v>
      </c>
      <c r="BH66" s="280">
        <v>466303</v>
      </c>
      <c r="BI66" s="280">
        <v>0</v>
      </c>
      <c r="BJ66" s="280">
        <v>9039</v>
      </c>
      <c r="BK66" s="280">
        <v>98558</v>
      </c>
      <c r="BL66" s="280">
        <v>5275</v>
      </c>
      <c r="BM66" s="280">
        <v>0</v>
      </c>
      <c r="BN66" s="280">
        <v>181703</v>
      </c>
      <c r="BO66" s="280">
        <v>0</v>
      </c>
      <c r="BP66" s="280">
        <v>0</v>
      </c>
      <c r="BQ66" s="280">
        <v>0</v>
      </c>
      <c r="BR66" s="280">
        <v>12342</v>
      </c>
      <c r="BS66" s="280">
        <v>0</v>
      </c>
      <c r="BT66" s="280">
        <v>0</v>
      </c>
      <c r="BU66" s="280">
        <v>0</v>
      </c>
      <c r="BV66" s="280">
        <v>40683</v>
      </c>
      <c r="BW66" s="280">
        <v>0</v>
      </c>
      <c r="BX66" s="280">
        <v>0</v>
      </c>
      <c r="BY66" s="280">
        <v>12876</v>
      </c>
      <c r="BZ66" s="280">
        <v>0</v>
      </c>
      <c r="CA66" s="280">
        <v>0</v>
      </c>
      <c r="CB66" s="280">
        <v>0</v>
      </c>
      <c r="CC66" s="280">
        <v>0</v>
      </c>
      <c r="CD66" s="24" t="s">
        <v>247</v>
      </c>
      <c r="CE66" s="25">
        <v>7874512</v>
      </c>
      <c r="CF66" s="329">
        <v>0</v>
      </c>
    </row>
    <row r="67" spans="1:84" x14ac:dyDescent="0.25">
      <c r="A67" s="31" t="s">
        <v>15</v>
      </c>
      <c r="B67" s="16"/>
      <c r="C67" s="25">
        <v>0</v>
      </c>
      <c r="D67" s="25">
        <v>0</v>
      </c>
      <c r="E67" s="25">
        <v>34754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239944</v>
      </c>
      <c r="L67" s="25">
        <v>56046</v>
      </c>
      <c r="M67" s="25">
        <v>0</v>
      </c>
      <c r="N67" s="25">
        <v>0</v>
      </c>
      <c r="O67" s="25">
        <v>0</v>
      </c>
      <c r="P67" s="25">
        <v>38541</v>
      </c>
      <c r="Q67" s="25">
        <v>10157</v>
      </c>
      <c r="R67" s="25">
        <v>8837</v>
      </c>
      <c r="S67" s="25">
        <v>11121</v>
      </c>
      <c r="T67" s="25">
        <v>0</v>
      </c>
      <c r="U67" s="25">
        <v>30427</v>
      </c>
      <c r="V67" s="25">
        <v>0</v>
      </c>
      <c r="W67" s="25">
        <v>2738</v>
      </c>
      <c r="X67" s="25">
        <v>14199</v>
      </c>
      <c r="Y67" s="25">
        <v>34399</v>
      </c>
      <c r="Z67" s="25">
        <v>0</v>
      </c>
      <c r="AA67" s="25">
        <v>0</v>
      </c>
      <c r="AB67" s="25">
        <v>13363</v>
      </c>
      <c r="AC67" s="25">
        <v>2454</v>
      </c>
      <c r="AD67" s="25">
        <v>0</v>
      </c>
      <c r="AE67" s="25">
        <v>120135</v>
      </c>
      <c r="AF67" s="25">
        <v>0</v>
      </c>
      <c r="AG67" s="25">
        <v>137370</v>
      </c>
      <c r="AH67" s="25">
        <v>0</v>
      </c>
      <c r="AI67" s="25">
        <v>0</v>
      </c>
      <c r="AJ67" s="25">
        <v>90261</v>
      </c>
      <c r="AK67" s="25">
        <v>0</v>
      </c>
      <c r="AL67" s="25">
        <v>0</v>
      </c>
      <c r="AM67" s="25">
        <v>0</v>
      </c>
      <c r="AN67" s="25">
        <v>0</v>
      </c>
      <c r="AO67" s="25">
        <v>7660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12682</v>
      </c>
      <c r="AW67" s="25">
        <v>0</v>
      </c>
      <c r="AX67" s="25">
        <v>0</v>
      </c>
      <c r="AY67" s="25">
        <v>53039</v>
      </c>
      <c r="AZ67" s="25">
        <v>0</v>
      </c>
      <c r="BA67" s="25">
        <v>29406</v>
      </c>
      <c r="BB67" s="25">
        <v>0</v>
      </c>
      <c r="BC67" s="25">
        <v>0</v>
      </c>
      <c r="BD67" s="25">
        <v>0</v>
      </c>
      <c r="BE67" s="25">
        <v>133427</v>
      </c>
      <c r="BF67" s="25">
        <v>21221</v>
      </c>
      <c r="BG67" s="25">
        <v>10497</v>
      </c>
      <c r="BH67" s="25">
        <v>20640</v>
      </c>
      <c r="BI67" s="25">
        <v>0</v>
      </c>
      <c r="BJ67" s="25">
        <v>34555</v>
      </c>
      <c r="BK67" s="25">
        <v>0</v>
      </c>
      <c r="BL67" s="25">
        <v>32314</v>
      </c>
      <c r="BM67" s="25">
        <v>0</v>
      </c>
      <c r="BN67" s="25">
        <v>43421</v>
      </c>
      <c r="BO67" s="25">
        <v>0</v>
      </c>
      <c r="BP67" s="25">
        <v>0</v>
      </c>
      <c r="BQ67" s="25">
        <v>0</v>
      </c>
      <c r="BR67" s="25">
        <v>37563</v>
      </c>
      <c r="BS67" s="25">
        <v>0</v>
      </c>
      <c r="BT67" s="25">
        <v>0</v>
      </c>
      <c r="BU67" s="25">
        <v>0</v>
      </c>
      <c r="BV67" s="25">
        <v>18412</v>
      </c>
      <c r="BW67" s="25">
        <v>0</v>
      </c>
      <c r="BX67" s="25">
        <v>0</v>
      </c>
      <c r="BY67" s="25">
        <v>8000</v>
      </c>
      <c r="BZ67" s="25">
        <v>0</v>
      </c>
      <c r="CA67" s="25">
        <v>0</v>
      </c>
      <c r="CB67" s="25">
        <v>0</v>
      </c>
      <c r="CC67" s="25">
        <v>0</v>
      </c>
      <c r="CD67" s="24" t="s">
        <v>247</v>
      </c>
      <c r="CE67" s="25">
        <v>1307583</v>
      </c>
      <c r="CF67" s="329">
        <v>0</v>
      </c>
    </row>
    <row r="68" spans="1:84" x14ac:dyDescent="0.25">
      <c r="A68" s="31" t="s">
        <v>267</v>
      </c>
      <c r="B68" s="25"/>
      <c r="C68" s="273">
        <v>0</v>
      </c>
      <c r="D68" s="273">
        <v>0</v>
      </c>
      <c r="E68" s="273">
        <v>7247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11688</v>
      </c>
      <c r="M68" s="273">
        <v>0</v>
      </c>
      <c r="N68" s="273">
        <v>0</v>
      </c>
      <c r="O68" s="273">
        <v>0</v>
      </c>
      <c r="P68" s="331">
        <v>0</v>
      </c>
      <c r="Q68" s="331">
        <v>0</v>
      </c>
      <c r="R68" s="331">
        <v>0</v>
      </c>
      <c r="S68" s="280">
        <v>0</v>
      </c>
      <c r="T68" s="280">
        <v>0</v>
      </c>
      <c r="U68" s="333">
        <v>0</v>
      </c>
      <c r="V68" s="331">
        <v>0</v>
      </c>
      <c r="W68" s="331">
        <v>10526</v>
      </c>
      <c r="X68" s="331">
        <v>54564</v>
      </c>
      <c r="Y68" s="331">
        <v>132135</v>
      </c>
      <c r="Z68" s="331">
        <v>0</v>
      </c>
      <c r="AA68" s="331">
        <v>0</v>
      </c>
      <c r="AB68" s="281">
        <v>76721</v>
      </c>
      <c r="AC68" s="331">
        <v>0</v>
      </c>
      <c r="AD68" s="331">
        <v>0</v>
      </c>
      <c r="AE68" s="331">
        <v>15600</v>
      </c>
      <c r="AF68" s="331">
        <v>0</v>
      </c>
      <c r="AG68" s="331">
        <v>0</v>
      </c>
      <c r="AH68" s="331">
        <v>0</v>
      </c>
      <c r="AI68" s="331">
        <v>0</v>
      </c>
      <c r="AJ68" s="331">
        <v>0</v>
      </c>
      <c r="AK68" s="331">
        <v>0</v>
      </c>
      <c r="AL68" s="331">
        <v>0</v>
      </c>
      <c r="AM68" s="331">
        <v>0</v>
      </c>
      <c r="AN68" s="331">
        <v>0</v>
      </c>
      <c r="AO68" s="331">
        <v>1597</v>
      </c>
      <c r="AP68" s="331">
        <v>0</v>
      </c>
      <c r="AQ68" s="331">
        <v>0</v>
      </c>
      <c r="AR68" s="331">
        <v>0</v>
      </c>
      <c r="AS68" s="331">
        <v>0</v>
      </c>
      <c r="AT68" s="331">
        <v>0</v>
      </c>
      <c r="AU68" s="331">
        <v>0</v>
      </c>
      <c r="AV68" s="280">
        <v>0</v>
      </c>
      <c r="AW68" s="280">
        <v>0</v>
      </c>
      <c r="AX68" s="280">
        <v>0</v>
      </c>
      <c r="AY68" s="331">
        <v>515</v>
      </c>
      <c r="AZ68" s="331">
        <v>6744</v>
      </c>
      <c r="BA68" s="280">
        <v>0</v>
      </c>
      <c r="BB68" s="280">
        <v>0</v>
      </c>
      <c r="BC68" s="280">
        <v>0</v>
      </c>
      <c r="BD68" s="280">
        <v>0</v>
      </c>
      <c r="BE68" s="331">
        <v>391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129289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17473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v>464490</v>
      </c>
      <c r="CF68" s="329">
        <v>0</v>
      </c>
    </row>
    <row r="69" spans="1:84" x14ac:dyDescent="0.25">
      <c r="A69" s="31" t="s">
        <v>268</v>
      </c>
      <c r="B69" s="16"/>
      <c r="C69" s="25">
        <v>0</v>
      </c>
      <c r="D69" s="25">
        <v>0</v>
      </c>
      <c r="E69" s="25">
        <v>18134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34743</v>
      </c>
      <c r="L69" s="25">
        <v>29246</v>
      </c>
      <c r="M69" s="25">
        <v>0</v>
      </c>
      <c r="N69" s="25">
        <v>0</v>
      </c>
      <c r="O69" s="25">
        <v>0</v>
      </c>
      <c r="P69" s="25">
        <v>24818</v>
      </c>
      <c r="Q69" s="25">
        <v>0</v>
      </c>
      <c r="R69" s="25">
        <v>5937</v>
      </c>
      <c r="S69" s="25">
        <v>0</v>
      </c>
      <c r="T69" s="25">
        <v>0</v>
      </c>
      <c r="U69" s="25">
        <v>61324</v>
      </c>
      <c r="V69" s="25">
        <v>0</v>
      </c>
      <c r="W69" s="25">
        <v>7904</v>
      </c>
      <c r="X69" s="25">
        <v>40972</v>
      </c>
      <c r="Y69" s="25">
        <v>99220</v>
      </c>
      <c r="Z69" s="25">
        <v>0</v>
      </c>
      <c r="AA69" s="25">
        <v>0</v>
      </c>
      <c r="AB69" s="25">
        <v>37366</v>
      </c>
      <c r="AC69" s="25">
        <v>4960</v>
      </c>
      <c r="AD69" s="25">
        <v>0</v>
      </c>
      <c r="AE69" s="25">
        <v>15509</v>
      </c>
      <c r="AF69" s="25">
        <v>0</v>
      </c>
      <c r="AG69" s="25">
        <v>6663</v>
      </c>
      <c r="AH69" s="25">
        <v>0</v>
      </c>
      <c r="AI69" s="25">
        <v>0</v>
      </c>
      <c r="AJ69" s="25">
        <v>15162</v>
      </c>
      <c r="AK69" s="25">
        <v>3505</v>
      </c>
      <c r="AL69" s="25">
        <v>0</v>
      </c>
      <c r="AM69" s="25">
        <v>0</v>
      </c>
      <c r="AN69" s="25">
        <v>0</v>
      </c>
      <c r="AO69" s="25">
        <v>3997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4049</v>
      </c>
      <c r="AW69" s="25">
        <v>0</v>
      </c>
      <c r="AX69" s="25">
        <v>0</v>
      </c>
      <c r="AY69" s="25">
        <v>1603</v>
      </c>
      <c r="AZ69" s="25">
        <v>1245</v>
      </c>
      <c r="BA69" s="25">
        <v>791</v>
      </c>
      <c r="BB69" s="25">
        <v>0</v>
      </c>
      <c r="BC69" s="25">
        <v>0</v>
      </c>
      <c r="BD69" s="25">
        <v>3181</v>
      </c>
      <c r="BE69" s="25">
        <v>201106</v>
      </c>
      <c r="BF69" s="25">
        <v>1499</v>
      </c>
      <c r="BG69" s="25">
        <v>0</v>
      </c>
      <c r="BH69" s="25">
        <v>43557</v>
      </c>
      <c r="BI69" s="25">
        <v>0</v>
      </c>
      <c r="BJ69" s="25">
        <v>44760</v>
      </c>
      <c r="BK69" s="25">
        <v>575</v>
      </c>
      <c r="BL69" s="25">
        <v>347</v>
      </c>
      <c r="BM69" s="25">
        <v>0</v>
      </c>
      <c r="BN69" s="25">
        <v>94276</v>
      </c>
      <c r="BO69" s="25">
        <v>0</v>
      </c>
      <c r="BP69" s="25">
        <v>0</v>
      </c>
      <c r="BQ69" s="25">
        <v>0</v>
      </c>
      <c r="BR69" s="25">
        <v>99735</v>
      </c>
      <c r="BS69" s="25">
        <v>0</v>
      </c>
      <c r="BT69" s="25">
        <v>0</v>
      </c>
      <c r="BU69" s="25">
        <v>0</v>
      </c>
      <c r="BV69" s="25">
        <v>7978</v>
      </c>
      <c r="BW69" s="25">
        <v>0</v>
      </c>
      <c r="BX69" s="25">
        <v>0</v>
      </c>
      <c r="BY69" s="25">
        <v>25669</v>
      </c>
      <c r="BZ69" s="25">
        <v>0</v>
      </c>
      <c r="CA69" s="25">
        <v>0</v>
      </c>
      <c r="CB69" s="25">
        <v>0</v>
      </c>
      <c r="CC69" s="25">
        <v>0</v>
      </c>
      <c r="CD69" s="25">
        <v>744236</v>
      </c>
      <c r="CE69" s="25">
        <v>1684067</v>
      </c>
      <c r="CF69" s="329">
        <v>0</v>
      </c>
    </row>
    <row r="70" spans="1:84" x14ac:dyDescent="0.25">
      <c r="A70" s="26" t="s">
        <v>269</v>
      </c>
      <c r="B70" s="336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  <c r="CF70" s="329">
        <v>0</v>
      </c>
    </row>
    <row r="71" spans="1:84" x14ac:dyDescent="0.25">
      <c r="A71" s="26" t="s">
        <v>270</v>
      </c>
      <c r="B71" s="336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  <c r="CF71" s="329">
        <v>0</v>
      </c>
    </row>
    <row r="72" spans="1:84" x14ac:dyDescent="0.25">
      <c r="A72" s="26" t="s">
        <v>271</v>
      </c>
      <c r="B72" s="336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0</v>
      </c>
      <c r="CF72" s="329">
        <v>0</v>
      </c>
    </row>
    <row r="73" spans="1:84" x14ac:dyDescent="0.25">
      <c r="A73" s="26" t="s">
        <v>272</v>
      </c>
      <c r="B73" s="336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364767</v>
      </c>
      <c r="CE73" s="25">
        <v>364767</v>
      </c>
      <c r="CF73" s="329">
        <v>0</v>
      </c>
    </row>
    <row r="74" spans="1:84" x14ac:dyDescent="0.25">
      <c r="A74" s="26" t="s">
        <v>273</v>
      </c>
      <c r="B74" s="336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  <c r="CF74" s="329">
        <v>0</v>
      </c>
    </row>
    <row r="75" spans="1:84" x14ac:dyDescent="0.25">
      <c r="A75" s="26" t="s">
        <v>274</v>
      </c>
      <c r="B75" s="336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  <c r="CF75" s="329">
        <v>0</v>
      </c>
    </row>
    <row r="76" spans="1:84" x14ac:dyDescent="0.25">
      <c r="A76" s="26" t="s">
        <v>275</v>
      </c>
      <c r="B76" s="337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  <c r="CF76" s="329">
        <v>0</v>
      </c>
    </row>
    <row r="77" spans="1:84" x14ac:dyDescent="0.25">
      <c r="A77" s="26" t="s">
        <v>276</v>
      </c>
      <c r="B77" s="336"/>
      <c r="C77" s="282">
        <v>0</v>
      </c>
      <c r="D77" s="282">
        <v>0</v>
      </c>
      <c r="E77" s="282">
        <v>6871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1831</v>
      </c>
      <c r="L77" s="282">
        <v>11081</v>
      </c>
      <c r="M77" s="282">
        <v>0</v>
      </c>
      <c r="N77" s="282">
        <v>0</v>
      </c>
      <c r="O77" s="282">
        <v>0</v>
      </c>
      <c r="P77" s="282">
        <v>21385</v>
      </c>
      <c r="Q77" s="282">
        <v>0</v>
      </c>
      <c r="R77" s="282">
        <v>5937</v>
      </c>
      <c r="S77" s="282">
        <v>0</v>
      </c>
      <c r="T77" s="282">
        <v>0</v>
      </c>
      <c r="U77" s="282">
        <v>58304</v>
      </c>
      <c r="V77" s="282">
        <v>0</v>
      </c>
      <c r="W77" s="282">
        <v>7832</v>
      </c>
      <c r="X77" s="282">
        <v>40599</v>
      </c>
      <c r="Y77" s="282">
        <v>98316</v>
      </c>
      <c r="Z77" s="282">
        <v>0</v>
      </c>
      <c r="AA77" s="282">
        <v>0</v>
      </c>
      <c r="AB77" s="282">
        <v>16646</v>
      </c>
      <c r="AC77" s="282">
        <v>4720</v>
      </c>
      <c r="AD77" s="282">
        <v>0</v>
      </c>
      <c r="AE77" s="282">
        <v>719</v>
      </c>
      <c r="AF77" s="282">
        <v>0</v>
      </c>
      <c r="AG77" s="282">
        <v>2929</v>
      </c>
      <c r="AH77" s="282">
        <v>0</v>
      </c>
      <c r="AI77" s="282">
        <v>0</v>
      </c>
      <c r="AJ77" s="282">
        <v>52</v>
      </c>
      <c r="AK77" s="282">
        <v>381</v>
      </c>
      <c r="AL77" s="282">
        <v>0</v>
      </c>
      <c r="AM77" s="282">
        <v>0</v>
      </c>
      <c r="AN77" s="282">
        <v>0</v>
      </c>
      <c r="AO77" s="282">
        <v>1514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757</v>
      </c>
      <c r="AZ77" s="282">
        <v>0</v>
      </c>
      <c r="BA77" s="282">
        <v>656</v>
      </c>
      <c r="BB77" s="282">
        <v>0</v>
      </c>
      <c r="BC77" s="282">
        <v>0</v>
      </c>
      <c r="BD77" s="282">
        <v>0</v>
      </c>
      <c r="BE77" s="282">
        <v>195764</v>
      </c>
      <c r="BF77" s="282">
        <v>1499</v>
      </c>
      <c r="BG77" s="282">
        <v>0</v>
      </c>
      <c r="BH77" s="282">
        <v>2805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478</v>
      </c>
      <c r="BO77" s="282">
        <v>0</v>
      </c>
      <c r="BP77" s="282">
        <v>0</v>
      </c>
      <c r="BQ77" s="282">
        <v>0</v>
      </c>
      <c r="BR77" s="282">
        <v>880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481956</v>
      </c>
      <c r="CF77" s="329">
        <v>0</v>
      </c>
    </row>
    <row r="78" spans="1:84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  <c r="CF78" s="329">
        <v>0</v>
      </c>
    </row>
    <row r="79" spans="1:84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932</v>
      </c>
      <c r="BO79" s="282">
        <v>0</v>
      </c>
      <c r="BP79" s="282">
        <v>0</v>
      </c>
      <c r="BQ79" s="282">
        <v>0</v>
      </c>
      <c r="BR79" s="282">
        <v>96404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97336</v>
      </c>
      <c r="CF79" s="329">
        <v>0</v>
      </c>
    </row>
    <row r="80" spans="1:84" x14ac:dyDescent="0.25">
      <c r="A80" s="26" t="s">
        <v>279</v>
      </c>
      <c r="B80" s="16"/>
      <c r="C80" s="282">
        <v>0</v>
      </c>
      <c r="D80" s="282">
        <v>0</v>
      </c>
      <c r="E80" s="282">
        <v>9702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2025</v>
      </c>
      <c r="L80" s="282">
        <v>15647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1090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6000</v>
      </c>
      <c r="AC80" s="282">
        <v>240</v>
      </c>
      <c r="AD80" s="282">
        <v>0</v>
      </c>
      <c r="AE80" s="282">
        <v>4815</v>
      </c>
      <c r="AF80" s="282">
        <v>0</v>
      </c>
      <c r="AG80" s="282">
        <v>1643</v>
      </c>
      <c r="AH80" s="282">
        <v>0</v>
      </c>
      <c r="AI80" s="282">
        <v>0</v>
      </c>
      <c r="AJ80" s="282">
        <v>10147</v>
      </c>
      <c r="AK80" s="282">
        <v>1718</v>
      </c>
      <c r="AL80" s="282">
        <v>0</v>
      </c>
      <c r="AM80" s="282">
        <v>0</v>
      </c>
      <c r="AN80" s="282">
        <v>0</v>
      </c>
      <c r="AO80" s="282">
        <v>2139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3094</v>
      </c>
      <c r="AW80" s="282">
        <v>0</v>
      </c>
      <c r="AX80" s="282">
        <v>0</v>
      </c>
      <c r="AY80" s="282">
        <v>1458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4650</v>
      </c>
      <c r="BF80" s="282">
        <v>0</v>
      </c>
      <c r="BG80" s="282">
        <v>0</v>
      </c>
      <c r="BH80" s="282">
        <v>5369</v>
      </c>
      <c r="BI80" s="282">
        <v>0</v>
      </c>
      <c r="BJ80" s="282">
        <v>2026</v>
      </c>
      <c r="BK80" s="282">
        <v>200</v>
      </c>
      <c r="BL80" s="282">
        <v>0</v>
      </c>
      <c r="BM80" s="282">
        <v>0</v>
      </c>
      <c r="BN80" s="282">
        <v>897</v>
      </c>
      <c r="BO80" s="282">
        <v>0</v>
      </c>
      <c r="BP80" s="282">
        <v>0</v>
      </c>
      <c r="BQ80" s="282">
        <v>0</v>
      </c>
      <c r="BR80" s="282">
        <v>1490</v>
      </c>
      <c r="BS80" s="282">
        <v>0</v>
      </c>
      <c r="BT80" s="282">
        <v>0</v>
      </c>
      <c r="BU80" s="282">
        <v>0</v>
      </c>
      <c r="BV80" s="282">
        <v>4235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v>78585</v>
      </c>
      <c r="CF80" s="329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115753</v>
      </c>
      <c r="CE81" s="25">
        <v>115753</v>
      </c>
      <c r="CF81" s="329">
        <v>0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0</v>
      </c>
      <c r="CF82" s="329">
        <v>0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331">
        <v>1561</v>
      </c>
      <c r="F83" s="331">
        <v>0</v>
      </c>
      <c r="G83" s="273">
        <v>0</v>
      </c>
      <c r="H83" s="273">
        <v>0</v>
      </c>
      <c r="I83" s="331">
        <v>0</v>
      </c>
      <c r="J83" s="331">
        <v>0</v>
      </c>
      <c r="K83" s="331">
        <v>30887</v>
      </c>
      <c r="L83" s="331">
        <v>2518</v>
      </c>
      <c r="M83" s="273">
        <v>0</v>
      </c>
      <c r="N83" s="273">
        <v>0</v>
      </c>
      <c r="O83" s="273">
        <v>0</v>
      </c>
      <c r="P83" s="331">
        <v>3433</v>
      </c>
      <c r="Q83" s="331">
        <v>0</v>
      </c>
      <c r="R83" s="333">
        <v>0</v>
      </c>
      <c r="S83" s="331">
        <v>0</v>
      </c>
      <c r="T83" s="273">
        <v>0</v>
      </c>
      <c r="U83" s="331">
        <v>1930</v>
      </c>
      <c r="V83" s="331">
        <v>0</v>
      </c>
      <c r="W83" s="273">
        <v>72</v>
      </c>
      <c r="X83" s="331">
        <v>373</v>
      </c>
      <c r="Y83" s="331">
        <v>904</v>
      </c>
      <c r="Z83" s="331">
        <v>0</v>
      </c>
      <c r="AA83" s="331">
        <v>0</v>
      </c>
      <c r="AB83" s="331">
        <v>14720</v>
      </c>
      <c r="AC83" s="331">
        <v>0</v>
      </c>
      <c r="AD83" s="331">
        <v>0</v>
      </c>
      <c r="AE83" s="331">
        <v>9975</v>
      </c>
      <c r="AF83" s="331">
        <v>0</v>
      </c>
      <c r="AG83" s="331">
        <v>2091</v>
      </c>
      <c r="AH83" s="331">
        <v>0</v>
      </c>
      <c r="AI83" s="331">
        <v>0</v>
      </c>
      <c r="AJ83" s="331">
        <v>4963</v>
      </c>
      <c r="AK83" s="331">
        <v>1406</v>
      </c>
      <c r="AL83" s="331">
        <v>0</v>
      </c>
      <c r="AM83" s="331">
        <v>0</v>
      </c>
      <c r="AN83" s="331">
        <v>0</v>
      </c>
      <c r="AO83" s="273">
        <v>344</v>
      </c>
      <c r="AP83" s="331">
        <v>0</v>
      </c>
      <c r="AQ83" s="273">
        <v>0</v>
      </c>
      <c r="AR83" s="273">
        <v>0</v>
      </c>
      <c r="AS83" s="273">
        <v>0</v>
      </c>
      <c r="AT83" s="273">
        <v>0</v>
      </c>
      <c r="AU83" s="331">
        <v>0</v>
      </c>
      <c r="AV83" s="331">
        <v>955</v>
      </c>
      <c r="AW83" s="331">
        <v>0</v>
      </c>
      <c r="AX83" s="331">
        <v>0</v>
      </c>
      <c r="AY83" s="331">
        <v>-612</v>
      </c>
      <c r="AZ83" s="331">
        <v>1245</v>
      </c>
      <c r="BA83" s="331">
        <v>135</v>
      </c>
      <c r="BB83" s="331">
        <v>0</v>
      </c>
      <c r="BC83" s="331">
        <v>0</v>
      </c>
      <c r="BD83" s="331">
        <v>3181</v>
      </c>
      <c r="BE83" s="331">
        <v>692</v>
      </c>
      <c r="BF83" s="331">
        <v>0</v>
      </c>
      <c r="BG83" s="331">
        <v>0</v>
      </c>
      <c r="BH83" s="333">
        <v>35383</v>
      </c>
      <c r="BI83" s="331">
        <v>0</v>
      </c>
      <c r="BJ83" s="331">
        <v>42734</v>
      </c>
      <c r="BK83" s="331">
        <v>375</v>
      </c>
      <c r="BL83" s="331">
        <v>347</v>
      </c>
      <c r="BM83" s="331">
        <v>0</v>
      </c>
      <c r="BN83" s="331">
        <v>91969</v>
      </c>
      <c r="BO83" s="331">
        <v>0</v>
      </c>
      <c r="BP83" s="331">
        <v>0</v>
      </c>
      <c r="BQ83" s="331">
        <v>0</v>
      </c>
      <c r="BR83" s="331">
        <v>961</v>
      </c>
      <c r="BS83" s="331">
        <v>0</v>
      </c>
      <c r="BT83" s="331">
        <v>0</v>
      </c>
      <c r="BU83" s="331">
        <v>0</v>
      </c>
      <c r="BV83" s="331">
        <v>3743</v>
      </c>
      <c r="BW83" s="331">
        <v>0</v>
      </c>
      <c r="BX83" s="331">
        <v>0</v>
      </c>
      <c r="BY83" s="331">
        <v>25669</v>
      </c>
      <c r="BZ83" s="331">
        <v>0</v>
      </c>
      <c r="CA83" s="331">
        <v>0</v>
      </c>
      <c r="CB83" s="331">
        <v>0</v>
      </c>
      <c r="CC83" s="331">
        <v>0</v>
      </c>
      <c r="CD83" s="282">
        <v>263716</v>
      </c>
      <c r="CE83" s="25">
        <v>545670</v>
      </c>
      <c r="CF83" s="329">
        <v>0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17465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282403</v>
      </c>
      <c r="AZ84" s="273">
        <v>128090</v>
      </c>
      <c r="BA84" s="273">
        <v>370144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32804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18905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248425</v>
      </c>
      <c r="CE84" s="25">
        <v>1098236</v>
      </c>
      <c r="CF84" s="329">
        <v>0</v>
      </c>
    </row>
    <row r="85" spans="1:84" x14ac:dyDescent="0.25">
      <c r="A85" s="31" t="s">
        <v>284</v>
      </c>
      <c r="B85" s="25"/>
      <c r="C85" s="25">
        <v>0</v>
      </c>
      <c r="D85" s="25">
        <v>0</v>
      </c>
      <c r="E85" s="25">
        <v>1287525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3587530</v>
      </c>
      <c r="L85" s="25">
        <v>2076472</v>
      </c>
      <c r="M85" s="25">
        <v>0</v>
      </c>
      <c r="N85" s="25">
        <v>0</v>
      </c>
      <c r="O85" s="25">
        <v>0</v>
      </c>
      <c r="P85" s="25">
        <v>812781</v>
      </c>
      <c r="Q85" s="25">
        <v>21691</v>
      </c>
      <c r="R85" s="25">
        <v>107990</v>
      </c>
      <c r="S85" s="25">
        <v>63706</v>
      </c>
      <c r="T85" s="25">
        <v>0</v>
      </c>
      <c r="U85" s="25">
        <v>1485545</v>
      </c>
      <c r="V85" s="25">
        <v>0</v>
      </c>
      <c r="W85" s="25">
        <v>130521</v>
      </c>
      <c r="X85" s="25">
        <v>676595</v>
      </c>
      <c r="Y85" s="25">
        <v>1638494</v>
      </c>
      <c r="Z85" s="25">
        <v>0</v>
      </c>
      <c r="AA85" s="25">
        <v>0</v>
      </c>
      <c r="AB85" s="25">
        <v>2302025</v>
      </c>
      <c r="AC85" s="25">
        <v>193681</v>
      </c>
      <c r="AD85" s="25">
        <v>0</v>
      </c>
      <c r="AE85" s="25">
        <v>1396170</v>
      </c>
      <c r="AF85" s="25">
        <v>0</v>
      </c>
      <c r="AG85" s="25">
        <v>4590856</v>
      </c>
      <c r="AH85" s="25">
        <v>0</v>
      </c>
      <c r="AI85" s="25">
        <v>0</v>
      </c>
      <c r="AJ85" s="25">
        <v>1518762</v>
      </c>
      <c r="AK85" s="25">
        <v>299385</v>
      </c>
      <c r="AL85" s="25">
        <v>225550</v>
      </c>
      <c r="AM85" s="25">
        <v>0</v>
      </c>
      <c r="AN85" s="25">
        <v>0</v>
      </c>
      <c r="AO85" s="25">
        <v>283760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124387</v>
      </c>
      <c r="AW85" s="25">
        <v>0</v>
      </c>
      <c r="AX85" s="25">
        <v>0</v>
      </c>
      <c r="AY85" s="25">
        <v>828301</v>
      </c>
      <c r="AZ85" s="25">
        <v>77131</v>
      </c>
      <c r="BA85" s="25">
        <v>90179</v>
      </c>
      <c r="BB85" s="25">
        <v>89711</v>
      </c>
      <c r="BC85" s="25">
        <v>0</v>
      </c>
      <c r="BD85" s="25">
        <v>332590</v>
      </c>
      <c r="BE85" s="25">
        <v>1078674</v>
      </c>
      <c r="BF85" s="25">
        <v>561710</v>
      </c>
      <c r="BG85" s="25">
        <v>58116</v>
      </c>
      <c r="BH85" s="25">
        <v>919140</v>
      </c>
      <c r="BI85" s="25">
        <v>0</v>
      </c>
      <c r="BJ85" s="25">
        <v>809312</v>
      </c>
      <c r="BK85" s="25">
        <v>629763</v>
      </c>
      <c r="BL85" s="25">
        <v>549182</v>
      </c>
      <c r="BM85" s="25">
        <v>0</v>
      </c>
      <c r="BN85" s="25">
        <v>2905154</v>
      </c>
      <c r="BO85" s="25">
        <v>0</v>
      </c>
      <c r="BP85" s="25">
        <v>0</v>
      </c>
      <c r="BQ85" s="25">
        <v>0</v>
      </c>
      <c r="BR85" s="25">
        <v>503518</v>
      </c>
      <c r="BS85" s="25">
        <v>0</v>
      </c>
      <c r="BT85" s="25">
        <v>0</v>
      </c>
      <c r="BU85" s="25">
        <v>0</v>
      </c>
      <c r="BV85" s="25">
        <v>790204</v>
      </c>
      <c r="BW85" s="25">
        <v>0</v>
      </c>
      <c r="BX85" s="25">
        <v>0</v>
      </c>
      <c r="BY85" s="25">
        <v>455264</v>
      </c>
      <c r="BZ85" s="25">
        <v>0</v>
      </c>
      <c r="CA85" s="25">
        <v>0</v>
      </c>
      <c r="CB85" s="25">
        <v>0</v>
      </c>
      <c r="CC85" s="25">
        <v>0</v>
      </c>
      <c r="CD85" s="25">
        <v>495811</v>
      </c>
      <c r="CE85" s="25">
        <v>33997186</v>
      </c>
      <c r="CF85" s="329">
        <v>0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1317121</v>
      </c>
      <c r="CF86" s="329">
        <v>0</v>
      </c>
    </row>
    <row r="87" spans="1:84" x14ac:dyDescent="0.25">
      <c r="A87" s="31" t="s">
        <v>286</v>
      </c>
      <c r="B87" s="16"/>
      <c r="C87" s="273">
        <v>0</v>
      </c>
      <c r="D87" s="273">
        <v>0</v>
      </c>
      <c r="E87" s="273">
        <v>1977160</v>
      </c>
      <c r="F87" s="273">
        <v>0</v>
      </c>
      <c r="G87" s="273">
        <v>0</v>
      </c>
      <c r="H87" s="273">
        <v>0</v>
      </c>
      <c r="I87" s="273">
        <v>0</v>
      </c>
      <c r="J87" s="273">
        <v>0</v>
      </c>
      <c r="K87" s="273">
        <v>4477156</v>
      </c>
      <c r="L87" s="273">
        <v>2327274</v>
      </c>
      <c r="M87" s="273">
        <v>0</v>
      </c>
      <c r="N87" s="273">
        <v>0</v>
      </c>
      <c r="O87" s="273">
        <v>0</v>
      </c>
      <c r="P87" s="273">
        <v>15547</v>
      </c>
      <c r="Q87" s="273">
        <v>0</v>
      </c>
      <c r="R87" s="273">
        <v>0</v>
      </c>
      <c r="S87" s="273">
        <v>293748</v>
      </c>
      <c r="T87" s="273">
        <v>0</v>
      </c>
      <c r="U87" s="273">
        <v>474966</v>
      </c>
      <c r="V87" s="273">
        <v>9050</v>
      </c>
      <c r="W87" s="273">
        <v>15373</v>
      </c>
      <c r="X87" s="273">
        <v>79687</v>
      </c>
      <c r="Y87" s="273">
        <v>192978</v>
      </c>
      <c r="Z87" s="273">
        <v>0</v>
      </c>
      <c r="AA87" s="273">
        <v>0</v>
      </c>
      <c r="AB87" s="273">
        <v>701900</v>
      </c>
      <c r="AC87" s="273">
        <v>104540</v>
      </c>
      <c r="AD87" s="273">
        <v>0</v>
      </c>
      <c r="AE87" s="273">
        <v>350739</v>
      </c>
      <c r="AF87" s="273">
        <v>0</v>
      </c>
      <c r="AG87" s="273">
        <v>135386</v>
      </c>
      <c r="AH87" s="273">
        <v>0</v>
      </c>
      <c r="AI87" s="273">
        <v>0</v>
      </c>
      <c r="AJ87" s="273">
        <v>0</v>
      </c>
      <c r="AK87" s="273">
        <v>448742</v>
      </c>
      <c r="AL87" s="273">
        <v>74783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110210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11789239</v>
      </c>
      <c r="CF87" s="329">
        <v>0</v>
      </c>
    </row>
    <row r="88" spans="1:84" x14ac:dyDescent="0.25">
      <c r="A88" s="31" t="s">
        <v>287</v>
      </c>
      <c r="B88" s="16"/>
      <c r="C88" s="273">
        <v>0</v>
      </c>
      <c r="D88" s="273">
        <v>0</v>
      </c>
      <c r="E88" s="273">
        <v>0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1096354</v>
      </c>
      <c r="Q88" s="273">
        <v>32862</v>
      </c>
      <c r="R88" s="273">
        <v>103901</v>
      </c>
      <c r="S88" s="273">
        <v>638042</v>
      </c>
      <c r="T88" s="273">
        <v>0</v>
      </c>
      <c r="U88" s="273">
        <v>3362049</v>
      </c>
      <c r="V88" s="273">
        <v>260614</v>
      </c>
      <c r="W88" s="273">
        <v>509552</v>
      </c>
      <c r="X88" s="273">
        <v>2641412</v>
      </c>
      <c r="Y88" s="273">
        <v>6396587</v>
      </c>
      <c r="Z88" s="273">
        <v>0</v>
      </c>
      <c r="AA88" s="273">
        <v>0</v>
      </c>
      <c r="AB88" s="273">
        <v>5643695</v>
      </c>
      <c r="AC88" s="273">
        <v>640465</v>
      </c>
      <c r="AD88" s="273">
        <v>0</v>
      </c>
      <c r="AE88" s="273">
        <v>2897800</v>
      </c>
      <c r="AF88" s="273">
        <v>0</v>
      </c>
      <c r="AG88" s="273">
        <v>12300895</v>
      </c>
      <c r="AH88" s="273">
        <v>0</v>
      </c>
      <c r="AI88" s="273">
        <v>0</v>
      </c>
      <c r="AJ88" s="273">
        <v>881147</v>
      </c>
      <c r="AK88" s="273">
        <v>672214</v>
      </c>
      <c r="AL88" s="273">
        <v>360443</v>
      </c>
      <c r="AM88" s="273">
        <v>0</v>
      </c>
      <c r="AN88" s="273">
        <v>0</v>
      </c>
      <c r="AO88" s="273">
        <v>536599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1263627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40238258</v>
      </c>
      <c r="CF88" s="329">
        <v>0</v>
      </c>
    </row>
    <row r="89" spans="1:84" x14ac:dyDescent="0.25">
      <c r="A89" s="21" t="s">
        <v>288</v>
      </c>
      <c r="B89" s="16"/>
      <c r="C89" s="25">
        <v>0</v>
      </c>
      <c r="D89" s="25">
        <v>0</v>
      </c>
      <c r="E89" s="25">
        <v>1977160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4477156</v>
      </c>
      <c r="L89" s="25">
        <v>2327274</v>
      </c>
      <c r="M89" s="25">
        <v>0</v>
      </c>
      <c r="N89" s="25">
        <v>0</v>
      </c>
      <c r="O89" s="25">
        <v>0</v>
      </c>
      <c r="P89" s="25">
        <v>1111901</v>
      </c>
      <c r="Q89" s="25">
        <v>32862</v>
      </c>
      <c r="R89" s="25">
        <v>103901</v>
      </c>
      <c r="S89" s="25">
        <v>931790</v>
      </c>
      <c r="T89" s="25">
        <v>0</v>
      </c>
      <c r="U89" s="25">
        <v>3837015</v>
      </c>
      <c r="V89" s="25">
        <v>269664</v>
      </c>
      <c r="W89" s="25">
        <v>524925</v>
      </c>
      <c r="X89" s="25">
        <v>2721099</v>
      </c>
      <c r="Y89" s="25">
        <v>6589565</v>
      </c>
      <c r="Z89" s="25">
        <v>0</v>
      </c>
      <c r="AA89" s="25">
        <v>0</v>
      </c>
      <c r="AB89" s="25">
        <v>6345595</v>
      </c>
      <c r="AC89" s="25">
        <v>745005</v>
      </c>
      <c r="AD89" s="25">
        <v>0</v>
      </c>
      <c r="AE89" s="25">
        <v>3248539</v>
      </c>
      <c r="AF89" s="25">
        <v>0</v>
      </c>
      <c r="AG89" s="25">
        <v>12436281</v>
      </c>
      <c r="AH89" s="25">
        <v>0</v>
      </c>
      <c r="AI89" s="25">
        <v>0</v>
      </c>
      <c r="AJ89" s="25">
        <v>881147</v>
      </c>
      <c r="AK89" s="25">
        <v>1120956</v>
      </c>
      <c r="AL89" s="25">
        <v>435226</v>
      </c>
      <c r="AM89" s="25">
        <v>0</v>
      </c>
      <c r="AN89" s="25">
        <v>0</v>
      </c>
      <c r="AO89" s="25">
        <v>536599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1373837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52027497</v>
      </c>
      <c r="CF89" s="329">
        <v>0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2450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16915</v>
      </c>
      <c r="L90" s="273">
        <v>3951</v>
      </c>
      <c r="M90" s="273">
        <v>0</v>
      </c>
      <c r="N90" s="273">
        <v>0</v>
      </c>
      <c r="O90" s="273">
        <v>0</v>
      </c>
      <c r="P90" s="273">
        <v>2717</v>
      </c>
      <c r="Q90" s="273">
        <v>716</v>
      </c>
      <c r="R90" s="273">
        <v>623</v>
      </c>
      <c r="S90" s="273">
        <v>784</v>
      </c>
      <c r="T90" s="273">
        <v>0</v>
      </c>
      <c r="U90" s="273">
        <v>2145</v>
      </c>
      <c r="V90" s="273">
        <v>0</v>
      </c>
      <c r="W90" s="273">
        <v>193</v>
      </c>
      <c r="X90" s="273">
        <v>1001</v>
      </c>
      <c r="Y90" s="273">
        <v>2425</v>
      </c>
      <c r="Z90" s="273">
        <v>0</v>
      </c>
      <c r="AA90" s="273">
        <v>0</v>
      </c>
      <c r="AB90" s="273">
        <v>942</v>
      </c>
      <c r="AC90" s="273">
        <v>173</v>
      </c>
      <c r="AD90" s="273">
        <v>0</v>
      </c>
      <c r="AE90" s="273">
        <v>8469</v>
      </c>
      <c r="AF90" s="273">
        <v>0</v>
      </c>
      <c r="AG90" s="273">
        <v>9684</v>
      </c>
      <c r="AH90" s="273">
        <v>0</v>
      </c>
      <c r="AI90" s="273">
        <v>0</v>
      </c>
      <c r="AJ90" s="273">
        <v>6363</v>
      </c>
      <c r="AK90" s="273">
        <v>0</v>
      </c>
      <c r="AL90" s="273">
        <v>0</v>
      </c>
      <c r="AM90" s="273">
        <v>0</v>
      </c>
      <c r="AN90" s="273">
        <v>0</v>
      </c>
      <c r="AO90" s="273">
        <v>540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894</v>
      </c>
      <c r="AW90" s="273">
        <v>0</v>
      </c>
      <c r="AX90" s="273">
        <v>0</v>
      </c>
      <c r="AY90" s="273">
        <v>3739</v>
      </c>
      <c r="AZ90" s="273">
        <v>0</v>
      </c>
      <c r="BA90" s="273">
        <v>2073</v>
      </c>
      <c r="BB90" s="273">
        <v>0</v>
      </c>
      <c r="BC90" s="273">
        <v>0</v>
      </c>
      <c r="BD90" s="273">
        <v>0</v>
      </c>
      <c r="BE90" s="273">
        <v>9406</v>
      </c>
      <c r="BF90" s="273">
        <v>1496</v>
      </c>
      <c r="BG90" s="273">
        <v>740</v>
      </c>
      <c r="BH90" s="273">
        <v>1455</v>
      </c>
      <c r="BI90" s="273">
        <v>0</v>
      </c>
      <c r="BJ90" s="273">
        <v>2436</v>
      </c>
      <c r="BK90" s="273">
        <v>0</v>
      </c>
      <c r="BL90" s="273">
        <v>2278</v>
      </c>
      <c r="BM90" s="273">
        <v>0</v>
      </c>
      <c r="BN90" s="273">
        <v>3061</v>
      </c>
      <c r="BO90" s="273">
        <v>0</v>
      </c>
      <c r="BP90" s="273">
        <v>0</v>
      </c>
      <c r="BQ90" s="273">
        <v>0</v>
      </c>
      <c r="BR90" s="273">
        <v>2648</v>
      </c>
      <c r="BS90" s="273">
        <v>0</v>
      </c>
      <c r="BT90" s="273">
        <v>0</v>
      </c>
      <c r="BU90" s="273">
        <v>0</v>
      </c>
      <c r="BV90" s="273">
        <v>1298</v>
      </c>
      <c r="BW90" s="273">
        <v>0</v>
      </c>
      <c r="BX90" s="273">
        <v>0</v>
      </c>
      <c r="BY90" s="273">
        <v>564</v>
      </c>
      <c r="BZ90" s="273">
        <v>0</v>
      </c>
      <c r="CA90" s="273">
        <v>0</v>
      </c>
      <c r="CB90" s="273">
        <v>0</v>
      </c>
      <c r="CC90" s="273">
        <v>0</v>
      </c>
      <c r="CD90" s="224" t="s">
        <v>247</v>
      </c>
      <c r="CE90" s="25">
        <v>92179</v>
      </c>
      <c r="CF90" s="25">
        <v>-5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3382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36593</v>
      </c>
      <c r="L91" s="273">
        <v>4050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943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1693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46661</v>
      </c>
      <c r="CF91" s="25">
        <v>0</v>
      </c>
    </row>
    <row r="92" spans="1:84" x14ac:dyDescent="0.25">
      <c r="A92" s="21" t="s">
        <v>291</v>
      </c>
      <c r="B92" s="16"/>
      <c r="C92" s="273">
        <v>0</v>
      </c>
      <c r="D92" s="273">
        <v>0</v>
      </c>
      <c r="E92" s="273">
        <v>904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1458</v>
      </c>
      <c r="M92" s="273">
        <v>0</v>
      </c>
      <c r="N92" s="273">
        <v>0</v>
      </c>
      <c r="O92" s="273">
        <v>0</v>
      </c>
      <c r="P92" s="273">
        <v>299</v>
      </c>
      <c r="Q92" s="273">
        <v>56</v>
      </c>
      <c r="R92" s="273">
        <v>0</v>
      </c>
      <c r="S92" s="273">
        <v>69</v>
      </c>
      <c r="T92" s="273">
        <v>0</v>
      </c>
      <c r="U92" s="273">
        <v>147</v>
      </c>
      <c r="V92" s="273">
        <v>0</v>
      </c>
      <c r="W92" s="273">
        <v>15</v>
      </c>
      <c r="X92" s="273">
        <v>75</v>
      </c>
      <c r="Y92" s="273">
        <v>186</v>
      </c>
      <c r="Z92" s="273">
        <v>0</v>
      </c>
      <c r="AA92" s="273">
        <v>0</v>
      </c>
      <c r="AB92" s="273">
        <v>0</v>
      </c>
      <c r="AC92" s="273">
        <v>0</v>
      </c>
      <c r="AD92" s="273">
        <v>0</v>
      </c>
      <c r="AE92" s="273">
        <v>72</v>
      </c>
      <c r="AF92" s="273">
        <v>0</v>
      </c>
      <c r="AG92" s="273">
        <v>1252</v>
      </c>
      <c r="AH92" s="273">
        <v>0</v>
      </c>
      <c r="AI92" s="273">
        <v>0</v>
      </c>
      <c r="AJ92" s="273">
        <v>246</v>
      </c>
      <c r="AK92" s="273">
        <v>73</v>
      </c>
      <c r="AL92" s="273">
        <v>73</v>
      </c>
      <c r="AM92" s="273">
        <v>0</v>
      </c>
      <c r="AN92" s="273">
        <v>0</v>
      </c>
      <c r="AO92" s="273">
        <v>200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70</v>
      </c>
      <c r="BI92" s="273">
        <v>0</v>
      </c>
      <c r="BJ92" s="24" t="s">
        <v>247</v>
      </c>
      <c r="BK92" s="273">
        <v>0</v>
      </c>
      <c r="BL92" s="273">
        <v>266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45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5506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15804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145131</v>
      </c>
      <c r="L93" s="273">
        <v>25488</v>
      </c>
      <c r="M93" s="273">
        <v>0</v>
      </c>
      <c r="N93" s="273">
        <v>0</v>
      </c>
      <c r="O93" s="273">
        <v>0</v>
      </c>
      <c r="P93" s="273">
        <v>3731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596</v>
      </c>
      <c r="X93" s="273">
        <v>3091</v>
      </c>
      <c r="Y93" s="273">
        <v>7484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1393</v>
      </c>
      <c r="AF93" s="273">
        <v>0</v>
      </c>
      <c r="AG93" s="273">
        <v>15598</v>
      </c>
      <c r="AH93" s="273">
        <v>0</v>
      </c>
      <c r="AI93" s="273">
        <v>0</v>
      </c>
      <c r="AJ93" s="273">
        <v>324</v>
      </c>
      <c r="AK93" s="273">
        <v>1392</v>
      </c>
      <c r="AL93" s="273">
        <v>1392</v>
      </c>
      <c r="AM93" s="273">
        <v>0</v>
      </c>
      <c r="AN93" s="273">
        <v>0</v>
      </c>
      <c r="AO93" s="273">
        <v>3483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224907</v>
      </c>
      <c r="CF93" s="25">
        <v>0</v>
      </c>
    </row>
    <row r="94" spans="1:84" x14ac:dyDescent="0.25">
      <c r="A94" s="21" t="s">
        <v>293</v>
      </c>
      <c r="B94" s="16"/>
      <c r="C94" s="277">
        <v>0</v>
      </c>
      <c r="D94" s="277">
        <v>0</v>
      </c>
      <c r="E94" s="277">
        <v>7.68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23.55</v>
      </c>
      <c r="L94" s="277">
        <v>12.39</v>
      </c>
      <c r="M94" s="277">
        <v>0</v>
      </c>
      <c r="N94" s="277">
        <v>0</v>
      </c>
      <c r="O94" s="277">
        <v>0</v>
      </c>
      <c r="P94" s="330">
        <v>2.38</v>
      </c>
      <c r="Q94" s="330">
        <v>0.08</v>
      </c>
      <c r="R94" s="330">
        <v>0</v>
      </c>
      <c r="S94" s="278">
        <v>0</v>
      </c>
      <c r="T94" s="278">
        <v>0</v>
      </c>
      <c r="U94" s="334">
        <v>0</v>
      </c>
      <c r="V94" s="330">
        <v>0</v>
      </c>
      <c r="W94" s="330">
        <v>0</v>
      </c>
      <c r="X94" s="330">
        <v>0</v>
      </c>
      <c r="Y94" s="330">
        <v>0</v>
      </c>
      <c r="Z94" s="330">
        <v>0</v>
      </c>
      <c r="AA94" s="330">
        <v>0</v>
      </c>
      <c r="AB94" s="278">
        <v>0</v>
      </c>
      <c r="AC94" s="330">
        <v>0</v>
      </c>
      <c r="AD94" s="330">
        <v>0</v>
      </c>
      <c r="AE94" s="330">
        <v>0</v>
      </c>
      <c r="AF94" s="330">
        <v>0</v>
      </c>
      <c r="AG94" s="330">
        <v>12.45</v>
      </c>
      <c r="AH94" s="330">
        <v>0</v>
      </c>
      <c r="AI94" s="330">
        <v>0</v>
      </c>
      <c r="AJ94" s="330">
        <v>0</v>
      </c>
      <c r="AK94" s="330">
        <v>0</v>
      </c>
      <c r="AL94" s="330">
        <v>0</v>
      </c>
      <c r="AM94" s="330">
        <v>0</v>
      </c>
      <c r="AN94" s="330">
        <v>0</v>
      </c>
      <c r="AO94" s="330">
        <v>1.69</v>
      </c>
      <c r="AP94" s="330">
        <v>0</v>
      </c>
      <c r="AQ94" s="330">
        <v>0</v>
      </c>
      <c r="AR94" s="330">
        <v>0</v>
      </c>
      <c r="AS94" s="330">
        <v>0</v>
      </c>
      <c r="AT94" s="330">
        <v>0</v>
      </c>
      <c r="AU94" s="330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60.22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1057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98855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1058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339" t="s">
        <v>1059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340" t="s">
        <v>1060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340" t="s">
        <v>1061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40" t="s">
        <v>1062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265</v>
      </c>
      <c r="D127" s="295">
        <v>971</v>
      </c>
      <c r="E127" s="16"/>
    </row>
    <row r="128" spans="1:5" x14ac:dyDescent="0.25">
      <c r="A128" s="16" t="s">
        <v>334</v>
      </c>
      <c r="B128" s="35" t="s">
        <v>299</v>
      </c>
      <c r="C128" s="294">
        <v>63</v>
      </c>
      <c r="D128" s="295">
        <v>14517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18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>
        <v>42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60</v>
      </c>
    </row>
    <row r="144" spans="1:5" x14ac:dyDescent="0.25">
      <c r="A144" s="16" t="s">
        <v>348</v>
      </c>
      <c r="B144" s="35" t="s">
        <v>299</v>
      </c>
      <c r="C144" s="294">
        <v>67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>
        <v>305297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180</v>
      </c>
      <c r="C154" s="295">
        <v>3</v>
      </c>
      <c r="D154" s="295">
        <v>82</v>
      </c>
      <c r="E154" s="25">
        <v>265</v>
      </c>
    </row>
    <row r="155" spans="1:6" x14ac:dyDescent="0.25">
      <c r="A155" s="16" t="s">
        <v>241</v>
      </c>
      <c r="B155" s="295">
        <v>439</v>
      </c>
      <c r="C155" s="295">
        <v>7</v>
      </c>
      <c r="D155" s="295">
        <v>525</v>
      </c>
      <c r="E155" s="25">
        <v>971</v>
      </c>
    </row>
    <row r="156" spans="1:6" x14ac:dyDescent="0.25">
      <c r="A156" s="16" t="s">
        <v>355</v>
      </c>
      <c r="B156" s="295">
        <v>0</v>
      </c>
      <c r="C156" s="295">
        <v>0</v>
      </c>
      <c r="D156" s="295">
        <v>0</v>
      </c>
      <c r="E156" s="25">
        <v>0</v>
      </c>
    </row>
    <row r="157" spans="1:6" x14ac:dyDescent="0.25">
      <c r="A157" s="16" t="s">
        <v>286</v>
      </c>
      <c r="B157" s="295">
        <v>2253689</v>
      </c>
      <c r="C157" s="295">
        <v>35936</v>
      </c>
      <c r="D157" s="295">
        <v>2695186</v>
      </c>
      <c r="E157" s="25">
        <v>4984811</v>
      </c>
      <c r="F157" s="14"/>
    </row>
    <row r="158" spans="1:6" x14ac:dyDescent="0.25">
      <c r="A158" s="16" t="s">
        <v>287</v>
      </c>
      <c r="B158" s="295">
        <v>18194273</v>
      </c>
      <c r="C158" s="295">
        <v>290114</v>
      </c>
      <c r="D158" s="295">
        <v>21758527</v>
      </c>
      <c r="E158" s="25">
        <v>40242914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>
        <v>47</v>
      </c>
      <c r="C160" s="272">
        <v>5</v>
      </c>
      <c r="D160" s="272">
        <v>11</v>
      </c>
      <c r="E160" s="25">
        <v>63</v>
      </c>
    </row>
    <row r="161" spans="1:5" x14ac:dyDescent="0.25">
      <c r="A161" s="16" t="s">
        <v>241</v>
      </c>
      <c r="B161" s="272">
        <v>1497</v>
      </c>
      <c r="C161" s="272">
        <v>9824</v>
      </c>
      <c r="D161" s="272">
        <v>3196</v>
      </c>
      <c r="E161" s="25">
        <v>14517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72">
        <v>2191804</v>
      </c>
      <c r="C163" s="272">
        <v>2922372</v>
      </c>
      <c r="D163" s="272">
        <v>1690254</v>
      </c>
      <c r="E163" s="25">
        <v>6804430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>
        <v>4991379</v>
      </c>
      <c r="C173" s="272">
        <v>1656779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835038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201036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148672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1839774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184413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251357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3460290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26069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438421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464490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259595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105172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364767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44812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115753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-10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160555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218914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218914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358540</v>
      </c>
      <c r="C211" s="292">
        <v>0</v>
      </c>
      <c r="D211" s="295">
        <v>0</v>
      </c>
      <c r="E211" s="25">
        <v>358540</v>
      </c>
    </row>
    <row r="212" spans="1:5" x14ac:dyDescent="0.25">
      <c r="A212" s="16" t="s">
        <v>390</v>
      </c>
      <c r="B212" s="292">
        <v>719936</v>
      </c>
      <c r="C212" s="292">
        <v>0</v>
      </c>
      <c r="D212" s="295">
        <v>0</v>
      </c>
      <c r="E212" s="25">
        <v>719936</v>
      </c>
    </row>
    <row r="213" spans="1:5" x14ac:dyDescent="0.25">
      <c r="A213" s="16" t="s">
        <v>391</v>
      </c>
      <c r="B213" s="292">
        <v>14372998</v>
      </c>
      <c r="C213" s="292">
        <v>100216</v>
      </c>
      <c r="D213" s="295">
        <v>0</v>
      </c>
      <c r="E213" s="25">
        <v>14473214</v>
      </c>
    </row>
    <row r="214" spans="1:5" x14ac:dyDescent="0.25">
      <c r="A214" s="16" t="s">
        <v>393</v>
      </c>
      <c r="B214" s="292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394</v>
      </c>
      <c r="B215" s="292">
        <v>7342811</v>
      </c>
      <c r="C215" s="292">
        <v>30697</v>
      </c>
      <c r="D215" s="295">
        <v>0</v>
      </c>
      <c r="E215" s="25">
        <v>7373508</v>
      </c>
    </row>
    <row r="216" spans="1:5" x14ac:dyDescent="0.25">
      <c r="A216" s="16" t="s">
        <v>395</v>
      </c>
      <c r="B216" s="292">
        <v>9096175</v>
      </c>
      <c r="C216" s="292">
        <v>293464</v>
      </c>
      <c r="D216" s="295">
        <v>0</v>
      </c>
      <c r="E216" s="25">
        <v>9389639</v>
      </c>
    </row>
    <row r="217" spans="1:5" x14ac:dyDescent="0.25">
      <c r="A217" s="16" t="s">
        <v>396</v>
      </c>
      <c r="B217" s="292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397</v>
      </c>
      <c r="B218" s="292">
        <v>0</v>
      </c>
      <c r="C218" s="292">
        <v>0</v>
      </c>
      <c r="D218" s="295">
        <v>0</v>
      </c>
      <c r="E218" s="25">
        <v>0</v>
      </c>
    </row>
    <row r="219" spans="1:5" x14ac:dyDescent="0.25">
      <c r="A219" s="16" t="s">
        <v>398</v>
      </c>
      <c r="B219" s="292">
        <v>1505130</v>
      </c>
      <c r="C219" s="292">
        <v>2055518</v>
      </c>
      <c r="D219" s="295">
        <v>0</v>
      </c>
      <c r="E219" s="25">
        <v>3560648</v>
      </c>
    </row>
    <row r="220" spans="1:5" x14ac:dyDescent="0.25">
      <c r="A220" s="16" t="s">
        <v>229</v>
      </c>
      <c r="B220" s="25">
        <v>33395590</v>
      </c>
      <c r="C220" s="225">
        <v>2479895</v>
      </c>
      <c r="D220" s="25">
        <v>0</v>
      </c>
      <c r="E220" s="25">
        <v>35875485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5" x14ac:dyDescent="0.25">
      <c r="A225" s="16" t="s">
        <v>390</v>
      </c>
      <c r="B225" s="292">
        <v>717609</v>
      </c>
      <c r="C225" s="292">
        <v>365</v>
      </c>
      <c r="D225" s="295">
        <v>0</v>
      </c>
      <c r="E225" s="25">
        <v>717974</v>
      </c>
    </row>
    <row r="226" spans="1:5" x14ac:dyDescent="0.25">
      <c r="A226" s="16" t="s">
        <v>391</v>
      </c>
      <c r="B226" s="292">
        <v>7397336</v>
      </c>
      <c r="C226" s="292">
        <v>430106</v>
      </c>
      <c r="D226" s="295">
        <v>0</v>
      </c>
      <c r="E226" s="25">
        <v>7827442</v>
      </c>
    </row>
    <row r="227" spans="1:5" x14ac:dyDescent="0.25">
      <c r="A227" s="16" t="s">
        <v>393</v>
      </c>
      <c r="B227" s="292">
        <v>0</v>
      </c>
      <c r="C227" s="292">
        <v>0</v>
      </c>
      <c r="D227" s="295">
        <v>0</v>
      </c>
      <c r="E227" s="25">
        <v>0</v>
      </c>
    </row>
    <row r="228" spans="1:5" x14ac:dyDescent="0.25">
      <c r="A228" s="16" t="s">
        <v>394</v>
      </c>
      <c r="B228" s="292">
        <v>5498782</v>
      </c>
      <c r="C228" s="292">
        <v>168205</v>
      </c>
      <c r="D228" s="295">
        <v>0</v>
      </c>
      <c r="E228" s="25">
        <v>5666987</v>
      </c>
    </row>
    <row r="229" spans="1:5" x14ac:dyDescent="0.25">
      <c r="A229" s="16" t="s">
        <v>395</v>
      </c>
      <c r="B229" s="292">
        <v>7126275</v>
      </c>
      <c r="C229" s="292">
        <v>708841</v>
      </c>
      <c r="D229" s="295">
        <v>0</v>
      </c>
      <c r="E229" s="25">
        <v>7835116</v>
      </c>
    </row>
    <row r="230" spans="1:5" x14ac:dyDescent="0.25">
      <c r="A230" s="16" t="s">
        <v>396</v>
      </c>
      <c r="B230" s="292">
        <v>0</v>
      </c>
      <c r="C230" s="292">
        <v>0</v>
      </c>
      <c r="D230" s="295">
        <v>0</v>
      </c>
      <c r="E230" s="25">
        <v>0</v>
      </c>
    </row>
    <row r="231" spans="1:5" x14ac:dyDescent="0.25">
      <c r="A231" s="16" t="s">
        <v>397</v>
      </c>
      <c r="B231" s="292">
        <v>0</v>
      </c>
      <c r="C231" s="292">
        <v>0</v>
      </c>
      <c r="D231" s="295">
        <v>0</v>
      </c>
      <c r="E231" s="25">
        <v>0</v>
      </c>
    </row>
    <row r="232" spans="1:5" x14ac:dyDescent="0.25">
      <c r="A232" s="16" t="s">
        <v>398</v>
      </c>
      <c r="B232" s="292">
        <v>0</v>
      </c>
      <c r="C232" s="292">
        <v>0</v>
      </c>
      <c r="D232" s="295">
        <v>0</v>
      </c>
      <c r="E232" s="25">
        <v>0</v>
      </c>
    </row>
    <row r="233" spans="1:5" x14ac:dyDescent="0.25">
      <c r="A233" s="16" t="s">
        <v>229</v>
      </c>
      <c r="B233" s="25">
        <v>20740002</v>
      </c>
      <c r="C233" s="225">
        <v>1307517</v>
      </c>
      <c r="D233" s="25">
        <v>0</v>
      </c>
      <c r="E233" s="25">
        <v>22047519</v>
      </c>
    </row>
    <row r="234" spans="1:5" x14ac:dyDescent="0.25">
      <c r="A234" s="16"/>
      <c r="B234" s="16"/>
      <c r="C234" s="22"/>
      <c r="D234" s="16"/>
      <c r="E234" s="16"/>
    </row>
    <row r="235" spans="1:5" x14ac:dyDescent="0.25">
      <c r="A235" s="30" t="s">
        <v>400</v>
      </c>
      <c r="B235" s="30"/>
      <c r="C235" s="30"/>
      <c r="D235" s="30"/>
      <c r="E235" s="30"/>
    </row>
    <row r="236" spans="1:5" x14ac:dyDescent="0.25">
      <c r="A236" s="30"/>
      <c r="B236" s="348" t="s">
        <v>401</v>
      </c>
      <c r="C236" s="348"/>
      <c r="D236" s="30"/>
      <c r="E236" s="30"/>
    </row>
    <row r="237" spans="1:5" x14ac:dyDescent="0.25">
      <c r="A237" s="43" t="s">
        <v>401</v>
      </c>
      <c r="B237" s="30"/>
      <c r="C237" s="292">
        <v>923584</v>
      </c>
      <c r="D237" s="32">
        <v>923584</v>
      </c>
      <c r="E237" s="30"/>
    </row>
    <row r="238" spans="1:5" x14ac:dyDescent="0.25">
      <c r="A238" s="34" t="s">
        <v>402</v>
      </c>
      <c r="B238" s="34"/>
      <c r="C238" s="34"/>
      <c r="D238" s="34"/>
      <c r="E238" s="34"/>
    </row>
    <row r="239" spans="1:5" x14ac:dyDescent="0.25">
      <c r="A239" s="16" t="s">
        <v>403</v>
      </c>
      <c r="B239" s="35" t="s">
        <v>299</v>
      </c>
      <c r="C239" s="292">
        <v>11814099</v>
      </c>
      <c r="D239" s="16"/>
      <c r="E239" s="16"/>
    </row>
    <row r="240" spans="1:5" x14ac:dyDescent="0.25">
      <c r="A240" s="16" t="s">
        <v>404</v>
      </c>
      <c r="B240" s="35" t="s">
        <v>299</v>
      </c>
      <c r="C240" s="292">
        <v>6977886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0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>
        <v>0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2">
        <v>0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466358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v>19258343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4">
        <v>964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130423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717801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v>848224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v>21030151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8707818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9042838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4848276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>
        <v>201383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621732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584543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487197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431</v>
      </c>
      <c r="B276" s="16"/>
      <c r="C276" s="22"/>
      <c r="D276" s="25">
        <v>14797235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>
        <v>1808657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433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v>1808657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358540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719936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14473214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92">
        <v>7373508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9389639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3560648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v>35875485</v>
      </c>
      <c r="E291" s="16"/>
    </row>
    <row r="292" spans="1:5" x14ac:dyDescent="0.25">
      <c r="A292" s="16" t="s">
        <v>440</v>
      </c>
      <c r="B292" s="35" t="s">
        <v>299</v>
      </c>
      <c r="C292" s="292">
        <v>22047519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v>13827966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444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445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68054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v>68054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449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450</v>
      </c>
      <c r="B304" s="35" t="s">
        <v>299</v>
      </c>
      <c r="C304" s="292">
        <v>0</v>
      </c>
      <c r="D304" s="16"/>
      <c r="E304" s="16"/>
    </row>
    <row r="305" spans="1:5" x14ac:dyDescent="0.25">
      <c r="A305" s="16" t="s">
        <v>451</v>
      </c>
      <c r="B305" s="35" t="s">
        <v>299</v>
      </c>
      <c r="C305" s="292">
        <v>0</v>
      </c>
      <c r="D305" s="16"/>
      <c r="E305" s="16"/>
    </row>
    <row r="306" spans="1:5" x14ac:dyDescent="0.25">
      <c r="A306" s="16" t="s">
        <v>452</v>
      </c>
      <c r="B306" s="16"/>
      <c r="C306" s="22"/>
      <c r="D306" s="25">
        <v>0</v>
      </c>
      <c r="E306" s="16"/>
    </row>
    <row r="307" spans="1:5" x14ac:dyDescent="0.25">
      <c r="A307" s="16"/>
      <c r="B307" s="16"/>
      <c r="C307" s="22"/>
      <c r="D307" s="16"/>
      <c r="E307" s="16"/>
    </row>
    <row r="308" spans="1:5" x14ac:dyDescent="0.25">
      <c r="A308" s="16" t="s">
        <v>453</v>
      </c>
      <c r="B308" s="16"/>
      <c r="C308" s="22"/>
      <c r="D308" s="25">
        <v>30501912</v>
      </c>
      <c r="E308" s="16"/>
    </row>
    <row r="309" spans="1:5" x14ac:dyDescent="0.25">
      <c r="A309" s="16"/>
      <c r="B309" s="16"/>
      <c r="C309" s="22"/>
      <c r="D309" s="16"/>
      <c r="E309" s="16"/>
    </row>
    <row r="310" spans="1:5" x14ac:dyDescent="0.25">
      <c r="A310" s="16"/>
      <c r="B310" s="16"/>
      <c r="C310" s="22"/>
      <c r="D310" s="16"/>
      <c r="E310" s="16"/>
    </row>
    <row r="311" spans="1:5" x14ac:dyDescent="0.25">
      <c r="A311" s="16"/>
      <c r="B311" s="16"/>
      <c r="C311" s="22"/>
      <c r="D311" s="16"/>
      <c r="E311" s="16"/>
    </row>
    <row r="312" spans="1:5" x14ac:dyDescent="0.25">
      <c r="A312" s="30" t="s">
        <v>454</v>
      </c>
      <c r="B312" s="30"/>
      <c r="C312" s="30"/>
      <c r="D312" s="30"/>
      <c r="E312" s="30"/>
    </row>
    <row r="313" spans="1:5" x14ac:dyDescent="0.25">
      <c r="A313" s="34" t="s">
        <v>455</v>
      </c>
      <c r="B313" s="34"/>
      <c r="C313" s="34"/>
      <c r="D313" s="34"/>
      <c r="E313" s="34"/>
    </row>
    <row r="314" spans="1:5" x14ac:dyDescent="0.25">
      <c r="A314" s="16" t="s">
        <v>456</v>
      </c>
      <c r="B314" s="35" t="s">
        <v>299</v>
      </c>
      <c r="C314" s="292">
        <v>0</v>
      </c>
      <c r="D314" s="16"/>
      <c r="E314" s="16"/>
    </row>
    <row r="315" spans="1:5" x14ac:dyDescent="0.25">
      <c r="A315" s="16" t="s">
        <v>457</v>
      </c>
      <c r="B315" s="35" t="s">
        <v>299</v>
      </c>
      <c r="C315" s="292">
        <v>4164837</v>
      </c>
      <c r="D315" s="16"/>
      <c r="E315" s="16"/>
    </row>
    <row r="316" spans="1:5" x14ac:dyDescent="0.25">
      <c r="A316" s="16" t="s">
        <v>458</v>
      </c>
      <c r="B316" s="35" t="s">
        <v>299</v>
      </c>
      <c r="C316" s="292">
        <v>3460424</v>
      </c>
      <c r="D316" s="16"/>
      <c r="E316" s="16"/>
    </row>
    <row r="317" spans="1:5" x14ac:dyDescent="0.25">
      <c r="A317" s="16" t="s">
        <v>459</v>
      </c>
      <c r="B317" s="35" t="s">
        <v>299</v>
      </c>
      <c r="C317" s="292">
        <v>127415</v>
      </c>
      <c r="D317" s="16"/>
      <c r="E317" s="16"/>
    </row>
    <row r="318" spans="1:5" x14ac:dyDescent="0.25">
      <c r="A318" s="16" t="s">
        <v>460</v>
      </c>
      <c r="B318" s="35" t="s">
        <v>299</v>
      </c>
      <c r="C318" s="292">
        <v>292336</v>
      </c>
      <c r="D318" s="16"/>
      <c r="E318" s="16"/>
    </row>
    <row r="319" spans="1:5" x14ac:dyDescent="0.25">
      <c r="A319" s="16" t="s">
        <v>461</v>
      </c>
      <c r="B319" s="35" t="s">
        <v>299</v>
      </c>
      <c r="C319" s="292">
        <v>599194</v>
      </c>
      <c r="D319" s="16"/>
      <c r="E319" s="16"/>
    </row>
    <row r="320" spans="1:5" x14ac:dyDescent="0.25">
      <c r="A320" s="16" t="s">
        <v>462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3157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1402225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v>10049588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469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470</v>
      </c>
      <c r="B328" s="35" t="s">
        <v>299</v>
      </c>
      <c r="C328" s="292">
        <v>670188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v>670188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474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475</v>
      </c>
      <c r="B333" s="35" t="s">
        <v>299</v>
      </c>
      <c r="C333" s="292">
        <v>6748294</v>
      </c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305894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7054188</v>
      </c>
      <c r="E339" s="16"/>
    </row>
    <row r="340" spans="1:5" x14ac:dyDescent="0.25">
      <c r="A340" s="16" t="s">
        <v>481</v>
      </c>
      <c r="B340" s="16"/>
      <c r="C340" s="22"/>
      <c r="D340" s="25">
        <v>1402225</v>
      </c>
      <c r="E340" s="16"/>
    </row>
    <row r="341" spans="1:5" x14ac:dyDescent="0.25">
      <c r="A341" s="16" t="s">
        <v>482</v>
      </c>
      <c r="B341" s="16"/>
      <c r="C341" s="22"/>
      <c r="D341" s="25">
        <v>5651963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14130173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485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486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487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489</v>
      </c>
      <c r="B350" s="16"/>
      <c r="C350" s="22"/>
      <c r="D350" s="25">
        <v>30501912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v>30501912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2">
        <v>11789240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2">
        <v>40242768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v>52032008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993584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v>19850738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848224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v>21692546</v>
      </c>
      <c r="E366" s="16"/>
    </row>
    <row r="367" spans="1:5" x14ac:dyDescent="0.25">
      <c r="A367" s="16" t="s">
        <v>500</v>
      </c>
      <c r="B367" s="16"/>
      <c r="C367" s="22"/>
      <c r="D367" s="25">
        <v>30339462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50461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67098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128090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852587</v>
      </c>
      <c r="D380" s="25">
        <v>0</v>
      </c>
      <c r="E380" s="204" t="s">
        <v>1063</v>
      </c>
      <c r="F380" s="47"/>
    </row>
    <row r="381" spans="1:6" x14ac:dyDescent="0.25">
      <c r="A381" s="48" t="s">
        <v>514</v>
      </c>
      <c r="B381" s="35"/>
      <c r="C381" s="35"/>
      <c r="D381" s="25">
        <v>1098236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>
        <v>1317121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v>2415357</v>
      </c>
      <c r="E383" s="16"/>
    </row>
    <row r="384" spans="1:6" x14ac:dyDescent="0.25">
      <c r="A384" s="16" t="s">
        <v>517</v>
      </c>
      <c r="B384" s="16"/>
      <c r="C384" s="22"/>
      <c r="D384" s="25">
        <v>32754819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15532916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3460290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563274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3749663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>
        <v>458624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7874508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1307512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464490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4">
        <v>364767</v>
      </c>
      <c r="D397" s="16"/>
      <c r="E397" s="16"/>
    </row>
    <row r="398" spans="1:5" x14ac:dyDescent="0.25">
      <c r="A398" s="16" t="s">
        <v>525</v>
      </c>
      <c r="B398" s="35" t="s">
        <v>299</v>
      </c>
      <c r="C398" s="294">
        <v>160555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94">
        <v>218914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482025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97336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78585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281884</v>
      </c>
      <c r="D414" s="25">
        <v>0</v>
      </c>
      <c r="E414" s="204"/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v>939830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v>35095343</v>
      </c>
      <c r="E416" s="25"/>
    </row>
    <row r="417" spans="1:13" x14ac:dyDescent="0.25">
      <c r="A417" s="25" t="s">
        <v>531</v>
      </c>
      <c r="B417" s="16"/>
      <c r="C417" s="22"/>
      <c r="D417" s="25">
        <v>-2340524</v>
      </c>
      <c r="E417" s="25"/>
    </row>
    <row r="418" spans="1:13" x14ac:dyDescent="0.25">
      <c r="A418" s="25" t="s">
        <v>532</v>
      </c>
      <c r="B418" s="16"/>
      <c r="C418" s="294">
        <v>382707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v>382707</v>
      </c>
      <c r="E420" s="25"/>
    </row>
    <row r="421" spans="1:13" x14ac:dyDescent="0.25">
      <c r="A421" s="25" t="s">
        <v>535</v>
      </c>
      <c r="B421" s="16"/>
      <c r="C421" s="22"/>
      <c r="D421" s="25">
        <v>-1957817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v>-1957817</v>
      </c>
      <c r="E424" s="16"/>
    </row>
    <row r="426" spans="1:13" ht="29.1" customHeight="1" x14ac:dyDescent="0.25">
      <c r="A426" s="350" t="s">
        <v>539</v>
      </c>
      <c r="B426" s="350"/>
      <c r="C426" s="350"/>
      <c r="D426" s="350"/>
      <c r="E426" s="350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82773</v>
      </c>
      <c r="E612" s="219">
        <f>SUM(C624:D647)+SUM(C668:D713)</f>
        <v>30105965.519517235</v>
      </c>
      <c r="F612" s="219">
        <f>CE64-(AX64+BD64+BE64+BG64+BJ64+BN64+BP64+BQ64+CB64+CC64+CD64)</f>
        <v>3391205</v>
      </c>
      <c r="G612" s="217">
        <f>CE91-(AX91+AY91+BD91+BE91+BG91+BJ91+BN91+BP91+BQ91+CB91+CC91+CD91)</f>
        <v>46661</v>
      </c>
      <c r="H612" s="222">
        <f>CE60-(AX60+AY60+AZ60+BD60+BE60+BG60+BJ60+BN60+BO60+BP60+BQ60+BR60+CB60+CC60+CD60)</f>
        <v>153.84</v>
      </c>
      <c r="I612" s="217">
        <f>CE92-(AX92+AY92+AZ92+BD92+BE92+BF92+BG92+BJ92+BN92+BO92+BP92+BQ92+BR92+CB92+CC92+CD92)</f>
        <v>5506</v>
      </c>
      <c r="J612" s="217">
        <f>CE93-(AX93+AY93+AZ93+BA93+BD93+BE93+BF93+BG93+BJ93+BN93+BO93+BP93+BQ93+BR93+CB93+CC93+CD93)</f>
        <v>224907</v>
      </c>
      <c r="K612" s="217">
        <f>CE89-(AW89+AX89+AY89+AZ89+BA89+BB89+BC89+BD89+BE89+BF89+BG89+BH89+BI89+BJ89+BK89+BL89+BM89+BN89+BO89+BP89+BQ89+BR89+BS89+BT89+BU89+BV89+BW89+BX89+CB89+CC89+CD89)</f>
        <v>52027497</v>
      </c>
      <c r="L612" s="223">
        <f>CE94-(AW94+AX94+AY94+AZ94+BA94+BB94+BC94+BD94+BE94+BF94+BG94+BH94+BI94+BJ94+BK94+BL94+BM94+BN94+BO94+BP94+BQ94+BR94+BS94+BT94+BU94+BV94+BW94+BX94+BY94+BZ94+CA94+CB94+CC94+CD94)</f>
        <v>60.22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1078674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495811</v>
      </c>
      <c r="D615" s="217">
        <f>SUM(C614:C615)</f>
        <v>1574485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809312</v>
      </c>
      <c r="D617" s="217">
        <f>(D615/D612)*BJ90</f>
        <v>46336.914936029869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58116</v>
      </c>
      <c r="D618" s="217">
        <f>(D615/D612)*BG90</f>
        <v>14076.074323752915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2905154</v>
      </c>
      <c r="D619" s="217">
        <f>(D615/D612)*BN90</f>
        <v>58225.491222983343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3891220.4804827659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332590</v>
      </c>
      <c r="D624" s="217">
        <f>(D615/D612)*BD90</f>
        <v>0</v>
      </c>
      <c r="E624" s="219">
        <f>(E623/E612)*SUM(C624:D624)</f>
        <v>42987.527464108913</v>
      </c>
      <c r="F624" s="219">
        <f>SUM(C624:E624)</f>
        <v>375577.52746410889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828301</v>
      </c>
      <c r="D625" s="217">
        <f>(D615/D612)*AY90</f>
        <v>71122.218779070477</v>
      </c>
      <c r="E625" s="219">
        <f>(E623/E612)*SUM(C625:D625)</f>
        <v>116251.18109120098</v>
      </c>
      <c r="F625" s="219">
        <f>(F624/F612)*AY64</f>
        <v>36897.513854932113</v>
      </c>
      <c r="G625" s="217">
        <f>SUM(C625:F625)</f>
        <v>1052571.9137252036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503518</v>
      </c>
      <c r="D626" s="217">
        <f>(D615/D612)*BR90</f>
        <v>50369.520012564484</v>
      </c>
      <c r="E626" s="219">
        <f>(E623/E612)*SUM(C626:D626)</f>
        <v>71590.411553466096</v>
      </c>
      <c r="F626" s="219">
        <f>(F624/F612)*BR64</f>
        <v>658.63300974994297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77131</v>
      </c>
      <c r="D628" s="217">
        <f>(D615/D612)*AZ90</f>
        <v>0</v>
      </c>
      <c r="E628" s="219">
        <f>(E623/E612)*SUM(C628:D628)</f>
        <v>9969.2443574195986</v>
      </c>
      <c r="F628" s="219">
        <f>(F624/F612)*AZ64</f>
        <v>8013.2390764162392</v>
      </c>
      <c r="G628" s="217">
        <f>(G625/G612)*AZ91</f>
        <v>38190.442766695305</v>
      </c>
      <c r="H628" s="219">
        <f>SUM(C626:G628)</f>
        <v>759440.49077631161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561710</v>
      </c>
      <c r="D629" s="217">
        <f>(D615/D612)*BF90</f>
        <v>28456.496200451842</v>
      </c>
      <c r="E629" s="219">
        <f>(E623/E612)*SUM(C629:D629)</f>
        <v>76279.498673483424</v>
      </c>
      <c r="F629" s="219">
        <f>(F624/F612)*BF64</f>
        <v>8183.7947910647872</v>
      </c>
      <c r="G629" s="217">
        <f>(G625/G612)*BF91</f>
        <v>0</v>
      </c>
      <c r="H629" s="219">
        <f>(H628/H612)*BF60</f>
        <v>34605.290173829591</v>
      </c>
      <c r="I629" s="217">
        <f>SUM(C629:H629)</f>
        <v>709235.07983882958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90179</v>
      </c>
      <c r="D630" s="217">
        <f>(D615/D612)*BA90</f>
        <v>39432.029828567291</v>
      </c>
      <c r="E630" s="219">
        <f>(E623/E612)*SUM(C630:D630)</f>
        <v>16752.330810929299</v>
      </c>
      <c r="F630" s="219">
        <f>(F624/F612)*BA64</f>
        <v>2478.1523837505842</v>
      </c>
      <c r="G630" s="217">
        <f>(G625/G612)*BA91</f>
        <v>0</v>
      </c>
      <c r="H630" s="219">
        <f>(H628/H612)*BA60</f>
        <v>30310.482406178842</v>
      </c>
      <c r="I630" s="217">
        <f>(I629/I612)*BA92</f>
        <v>0</v>
      </c>
      <c r="J630" s="217">
        <f>SUM(C630:I630)</f>
        <v>179151.99542942602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89711</v>
      </c>
      <c r="D632" s="217">
        <f>(D615/D612)*BB90</f>
        <v>0</v>
      </c>
      <c r="E632" s="219">
        <f>(E623/E612)*SUM(C632:D632)</f>
        <v>11595.219568636083</v>
      </c>
      <c r="F632" s="219">
        <f>(F624/F612)*BB64</f>
        <v>0</v>
      </c>
      <c r="G632" s="217">
        <f>(G625/G612)*BB91</f>
        <v>0</v>
      </c>
      <c r="H632" s="219">
        <f>(H628/H612)*BB60</f>
        <v>4245.4421611260268</v>
      </c>
      <c r="I632" s="217">
        <f>(I629/I612)*BB92</f>
        <v>0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629763</v>
      </c>
      <c r="D635" s="217">
        <f>(D615/D612)*BK90</f>
        <v>0</v>
      </c>
      <c r="E635" s="219">
        <f>(E623/E612)*SUM(C635:D635)</f>
        <v>81397.378930153107</v>
      </c>
      <c r="F635" s="219">
        <f>(F624/F612)*BK64</f>
        <v>419.07975599357394</v>
      </c>
      <c r="G635" s="217">
        <f>(G625/G612)*BK91</f>
        <v>0</v>
      </c>
      <c r="H635" s="219">
        <f>(H628/H612)*BK60</f>
        <v>37024.204893540933</v>
      </c>
      <c r="I635" s="217">
        <f>(I629/I612)*BK92</f>
        <v>0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919140</v>
      </c>
      <c r="D636" s="217">
        <f>(D615/D612)*BH90</f>
        <v>27676.605596027694</v>
      </c>
      <c r="E636" s="219">
        <f>(E623/E612)*SUM(C636:D636)</f>
        <v>122376.81480661962</v>
      </c>
      <c r="F636" s="219">
        <f>(F624/F612)*BH64</f>
        <v>1490.147493893641</v>
      </c>
      <c r="G636" s="217">
        <f>(G625/G612)*BH91</f>
        <v>0</v>
      </c>
      <c r="H636" s="219">
        <f>(H628/H612)*BH60</f>
        <v>9823.7556984195271</v>
      </c>
      <c r="I636" s="217">
        <f>(I629/I612)*BH92</f>
        <v>9016.7917887246767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549182</v>
      </c>
      <c r="D637" s="217">
        <f>(D615/D612)*BL90</f>
        <v>43331.482850688029</v>
      </c>
      <c r="E637" s="219">
        <f>(E623/E612)*SUM(C637:D637)</f>
        <v>76582.848603081206</v>
      </c>
      <c r="F637" s="219">
        <f>(F624/F612)*BL64</f>
        <v>1039.8361070358526</v>
      </c>
      <c r="G637" s="217">
        <f>(G625/G612)*BL91</f>
        <v>0</v>
      </c>
      <c r="H637" s="219">
        <f>(H628/H612)*BL60</f>
        <v>43540.464954804134</v>
      </c>
      <c r="I637" s="217">
        <f>(I629/I612)*BL92</f>
        <v>34263.808797153768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790204</v>
      </c>
      <c r="D642" s="217">
        <f>(D615/D612)*BV90</f>
        <v>24690.19523274498</v>
      </c>
      <c r="E642" s="219">
        <f>(E623/E612)*SUM(C642:D642)</f>
        <v>105325.73618542516</v>
      </c>
      <c r="F642" s="219">
        <f>(F624/F612)*BV64</f>
        <v>381.86760007025447</v>
      </c>
      <c r="G642" s="217">
        <f>(G625/G612)*BV91</f>
        <v>0</v>
      </c>
      <c r="H642" s="219">
        <f>(H628/H612)*BV60</f>
        <v>51192.133966135923</v>
      </c>
      <c r="I642" s="217">
        <f>(I629/I612)*BV92</f>
        <v>5796.5090070372917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3669210.3239973113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455264</v>
      </c>
      <c r="D645" s="217">
        <f>(D615/D612)*BY90</f>
        <v>10728.251241346818</v>
      </c>
      <c r="E645" s="219">
        <f>(E623/E612)*SUM(C645:D645)</f>
        <v>60229.876719983571</v>
      </c>
      <c r="F645" s="219">
        <f>(F624/F612)*BY64</f>
        <v>524.29269684819747</v>
      </c>
      <c r="G645" s="217">
        <f>(G625/G612)*BY91</f>
        <v>0</v>
      </c>
      <c r="H645" s="219">
        <f>(H628/H612)*BY60</f>
        <v>13131.251335575851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539877.67199375434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11173760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0">ROUND(SUM(D668:L668),0)</f>
        <v>0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0"/>
        <v>0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1287525</v>
      </c>
      <c r="D670" s="217">
        <f>(D615/D612)*E90</f>
        <v>46603.219044857629</v>
      </c>
      <c r="E670" s="219">
        <f>(E623/E612)*SUM(C670:D670)</f>
        <v>172437.15522665603</v>
      </c>
      <c r="F670" s="219">
        <f>(F624/F612)*E64</f>
        <v>2262.6319806946922</v>
      </c>
      <c r="G670" s="217">
        <f>(G625/G612)*E91</f>
        <v>76290.65412697196</v>
      </c>
      <c r="H670" s="219">
        <f>(H628/H612)*E60</f>
        <v>39887.410071974766</v>
      </c>
      <c r="I670" s="217">
        <f>(I629/I612)*E92</f>
        <v>116445.42538581582</v>
      </c>
      <c r="J670" s="217">
        <f>(J630/J612)*E93</f>
        <v>12588.839545975221</v>
      </c>
      <c r="K670" s="217">
        <f>(K644/K612)*E89</f>
        <v>139438.11066280055</v>
      </c>
      <c r="L670" s="217">
        <f>(L647/L612)*E94</f>
        <v>68851.885103155655</v>
      </c>
      <c r="M670" s="202">
        <f t="shared" si="0"/>
        <v>674805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0"/>
        <v>0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0"/>
        <v>0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3587530</v>
      </c>
      <c r="D676" s="217">
        <f>(D615/D612)*K90</f>
        <v>321752.42863010889</v>
      </c>
      <c r="E676" s="219">
        <f>(E623/E612)*SUM(C676:D676)</f>
        <v>505277.92707446165</v>
      </c>
      <c r="F676" s="219">
        <f>(F624/F612)*K64</f>
        <v>14250.815962598606</v>
      </c>
      <c r="G676" s="217">
        <f>(G625/G612)*K91</f>
        <v>825459.46376945148</v>
      </c>
      <c r="H676" s="219">
        <f>(H628/H612)*K60</f>
        <v>135656.68672993398</v>
      </c>
      <c r="I676" s="217">
        <f>(I629/I612)*K92</f>
        <v>0</v>
      </c>
      <c r="J676" s="217">
        <f>(J630/J612)*K93</f>
        <v>115605.59808573335</v>
      </c>
      <c r="K676" s="217">
        <f>(K644/K612)*K89</f>
        <v>315748.93978363991</v>
      </c>
      <c r="L676" s="217">
        <f>(L647/L612)*K94</f>
        <v>211127.85080459839</v>
      </c>
      <c r="M676" s="202">
        <f t="shared" si="0"/>
        <v>2444880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2076472</v>
      </c>
      <c r="D677" s="217">
        <f>(D615/D612)*L90</f>
        <v>75154.823855605093</v>
      </c>
      <c r="E677" s="219">
        <f>(E623/E612)*SUM(C677:D677)</f>
        <v>278099.51346404356</v>
      </c>
      <c r="F677" s="219">
        <f>(F624/F612)*L64</f>
        <v>3649.1170402305147</v>
      </c>
      <c r="G677" s="217">
        <f>(G625/G612)*L91</f>
        <v>91359.298998887185</v>
      </c>
      <c r="H677" s="219">
        <f>(H628/H612)*L60</f>
        <v>64274.019695187053</v>
      </c>
      <c r="I677" s="217">
        <f>(I629/I612)*L92</f>
        <v>187806.89182800826</v>
      </c>
      <c r="J677" s="217">
        <f>(J630/J612)*L93</f>
        <v>20302.729837244777</v>
      </c>
      <c r="K677" s="217">
        <f>(K644/K612)*L89</f>
        <v>164129.70602007853</v>
      </c>
      <c r="L677" s="217">
        <f>(L647/L612)*L94</f>
        <v>111077.45526407534</v>
      </c>
      <c r="M677" s="202">
        <f t="shared" si="0"/>
        <v>995854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0"/>
        <v>0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812781</v>
      </c>
      <c r="D681" s="217">
        <f>(D615/D612)*P90</f>
        <v>51682.01883464415</v>
      </c>
      <c r="E681" s="219">
        <f>(E623/E612)*SUM(C681:D681)</f>
        <v>111732.54687110486</v>
      </c>
      <c r="F681" s="219">
        <f>(F624/F612)*P64</f>
        <v>1810.6593368760414</v>
      </c>
      <c r="G681" s="217">
        <f>(G625/G612)*P91</f>
        <v>0</v>
      </c>
      <c r="H681" s="219">
        <f>(H628/H612)*P60</f>
        <v>16389.381366207454</v>
      </c>
      <c r="I681" s="217">
        <f>(I629/I612)*P92</f>
        <v>38514.582068981115</v>
      </c>
      <c r="J681" s="217">
        <f>(J630/J612)*P93</f>
        <v>2971.9666126318366</v>
      </c>
      <c r="K681" s="217">
        <f>(K644/K612)*P89</f>
        <v>78416.200350036714</v>
      </c>
      <c r="L681" s="217">
        <f>(L647/L612)*P94</f>
        <v>21336.912310613341</v>
      </c>
      <c r="M681" s="202">
        <f t="shared" si="0"/>
        <v>322854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21691</v>
      </c>
      <c r="D682" s="217">
        <f>(D615/D612)*Q90</f>
        <v>13619.552994333902</v>
      </c>
      <c r="E682" s="219">
        <f>(E623/E612)*SUM(C682:D682)</f>
        <v>4563.9176361790851</v>
      </c>
      <c r="F682" s="219">
        <f>(F624/F612)*Q64</f>
        <v>0</v>
      </c>
      <c r="G682" s="217">
        <f>(G625/G612)*Q91</f>
        <v>0</v>
      </c>
      <c r="H682" s="219">
        <f>(H628/H612)*Q60</f>
        <v>394.92485219776995</v>
      </c>
      <c r="I682" s="217">
        <f>(I629/I612)*Q92</f>
        <v>7213.4334309797405</v>
      </c>
      <c r="J682" s="217">
        <f>(J630/J612)*Q93</f>
        <v>0</v>
      </c>
      <c r="K682" s="217">
        <f>(K644/K612)*Q89</f>
        <v>2317.5742947464805</v>
      </c>
      <c r="L682" s="217">
        <f>(L647/L612)*Q94</f>
        <v>717.20713649120478</v>
      </c>
      <c r="M682" s="202">
        <f t="shared" si="0"/>
        <v>28827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107990</v>
      </c>
      <c r="D683" s="217">
        <f>(D615/D612)*R90</f>
        <v>11850.532842835226</v>
      </c>
      <c r="E683" s="219">
        <f>(E623/E612)*SUM(C683:D683)</f>
        <v>15489.486144787352</v>
      </c>
      <c r="F683" s="219">
        <f>(F624/F612)*R64</f>
        <v>50.391461146161774</v>
      </c>
      <c r="G683" s="217">
        <f>(G625/G612)*R91</f>
        <v>0</v>
      </c>
      <c r="H683" s="219">
        <f>(H628/H612)*R60</f>
        <v>937.94652396970366</v>
      </c>
      <c r="I683" s="217">
        <f>(I629/I612)*R92</f>
        <v>0</v>
      </c>
      <c r="J683" s="217">
        <f>(J630/J612)*R93</f>
        <v>0</v>
      </c>
      <c r="K683" s="217">
        <f>(K644/K612)*R89</f>
        <v>7327.5603066902222</v>
      </c>
      <c r="L683" s="217">
        <f>(L647/L612)*R94</f>
        <v>0</v>
      </c>
      <c r="M683" s="202">
        <f t="shared" si="0"/>
        <v>35656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63706</v>
      </c>
      <c r="D684" s="217">
        <f>(D615/D612)*S90</f>
        <v>14913.030094354441</v>
      </c>
      <c r="E684" s="219">
        <f>(E623/E612)*SUM(C684:D684)</f>
        <v>10161.573454952544</v>
      </c>
      <c r="F684" s="219">
        <f>(F624/F612)*S64</f>
        <v>0</v>
      </c>
      <c r="G684" s="217">
        <f>(G625/G612)*S91</f>
        <v>0</v>
      </c>
      <c r="H684" s="219">
        <f>(H628/H612)*S60</f>
        <v>5578.3135372935003</v>
      </c>
      <c r="I684" s="217">
        <f>(I629/I612)*S92</f>
        <v>8887.9804774571803</v>
      </c>
      <c r="J684" s="217">
        <f>(J630/J612)*S93</f>
        <v>0</v>
      </c>
      <c r="K684" s="217">
        <f>(K644/K612)*S89</f>
        <v>65713.972128958165</v>
      </c>
      <c r="L684" s="217">
        <f>(L647/L612)*S94</f>
        <v>0</v>
      </c>
      <c r="M684" s="202">
        <f t="shared" si="0"/>
        <v>105255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0"/>
        <v>0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1485545</v>
      </c>
      <c r="D686" s="217">
        <f>(D615/D612)*U90</f>
        <v>40801.59381682433</v>
      </c>
      <c r="E686" s="219">
        <f>(E623/E612)*SUM(C686:D686)</f>
        <v>197281.5361900533</v>
      </c>
      <c r="F686" s="219">
        <f>(F624/F612)*U64</f>
        <v>64504.835782865026</v>
      </c>
      <c r="G686" s="217">
        <f>(G625/G612)*U91</f>
        <v>0</v>
      </c>
      <c r="H686" s="219">
        <f>(H628/H612)*U60</f>
        <v>33617.978043335163</v>
      </c>
      <c r="I686" s="217">
        <f>(I629/I612)*U92</f>
        <v>18935.262756321819</v>
      </c>
      <c r="J686" s="217">
        <f>(J630/J612)*U93</f>
        <v>0</v>
      </c>
      <c r="K686" s="217">
        <f>(K644/K612)*U89</f>
        <v>270603.35136500117</v>
      </c>
      <c r="L686" s="217">
        <f>(L647/L612)*U94</f>
        <v>0</v>
      </c>
      <c r="M686" s="202">
        <f t="shared" si="0"/>
        <v>625745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19017.903798262887</v>
      </c>
      <c r="L687" s="217">
        <f>(L647/L612)*V94</f>
        <v>0</v>
      </c>
      <c r="M687" s="202">
        <f t="shared" si="0"/>
        <v>19018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130521</v>
      </c>
      <c r="D688" s="217">
        <f>(D615/D612)*W90</f>
        <v>3671.1923574112334</v>
      </c>
      <c r="E688" s="219">
        <f>(E623/E612)*SUM(C688:D688)</f>
        <v>17344.449786323104</v>
      </c>
      <c r="F688" s="219">
        <f>(F624/F612)*W64</f>
        <v>41.752924949676895</v>
      </c>
      <c r="G688" s="217">
        <f>(G625/G612)*W91</f>
        <v>0</v>
      </c>
      <c r="H688" s="219">
        <f>(H628/H612)*W60</f>
        <v>1480.9681957416371</v>
      </c>
      <c r="I688" s="217">
        <f>(I629/I612)*W92</f>
        <v>1932.1696690124306</v>
      </c>
      <c r="J688" s="217">
        <f>(J630/J612)*W93</f>
        <v>474.74996009878708</v>
      </c>
      <c r="K688" s="217">
        <f>(K644/K612)*W89</f>
        <v>37020.044022573078</v>
      </c>
      <c r="L688" s="217">
        <f>(L647/L612)*W94</f>
        <v>0</v>
      </c>
      <c r="M688" s="202">
        <f t="shared" si="0"/>
        <v>61965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676595</v>
      </c>
      <c r="D689" s="217">
        <f>(D615/D612)*X90</f>
        <v>19040.743781184687</v>
      </c>
      <c r="E689" s="219">
        <f>(E623/E612)*SUM(C689:D689)</f>
        <v>89911.484532936971</v>
      </c>
      <c r="F689" s="219">
        <f>(F624/F612)*X64</f>
        <v>216.62790769646688</v>
      </c>
      <c r="G689" s="217">
        <f>(G625/G612)*X91</f>
        <v>0</v>
      </c>
      <c r="H689" s="219">
        <f>(H628/H612)*X60</f>
        <v>7701.0346178565142</v>
      </c>
      <c r="I689" s="217">
        <f>(I629/I612)*X92</f>
        <v>9660.8483450621534</v>
      </c>
      <c r="J689" s="217">
        <f>(J630/J612)*X93</f>
        <v>2462.1679977606559</v>
      </c>
      <c r="K689" s="217">
        <f>(K644/K612)*X89</f>
        <v>191903.99537034734</v>
      </c>
      <c r="L689" s="217">
        <f>(L647/L612)*X94</f>
        <v>0</v>
      </c>
      <c r="M689" s="202">
        <f t="shared" si="0"/>
        <v>320897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1638494</v>
      </c>
      <c r="D690" s="217">
        <f>(D615/D612)*Y90</f>
        <v>46127.675993379489</v>
      </c>
      <c r="E690" s="219">
        <f>(E623/E612)*SUM(C690:D690)</f>
        <v>217738.71903364078</v>
      </c>
      <c r="F690" s="219">
        <f>(F624/F612)*Y64</f>
        <v>524.51419777631247</v>
      </c>
      <c r="G690" s="217">
        <f>(G625/G612)*Y91</f>
        <v>0</v>
      </c>
      <c r="H690" s="219">
        <f>(H628/H612)*Y60</f>
        <v>18610.833659819909</v>
      </c>
      <c r="I690" s="217">
        <f>(I629/I612)*Y92</f>
        <v>23958.903895754138</v>
      </c>
      <c r="J690" s="217">
        <f>(J630/J612)*Y93</f>
        <v>5961.4575526498702</v>
      </c>
      <c r="K690" s="217">
        <f>(K644/K612)*Y89</f>
        <v>464725.41103892319</v>
      </c>
      <c r="L690" s="217">
        <f>(L647/L612)*Y94</f>
        <v>0</v>
      </c>
      <c r="M690" s="202">
        <f t="shared" si="0"/>
        <v>777648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0"/>
        <v>0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0"/>
        <v>0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2302025</v>
      </c>
      <c r="D693" s="217">
        <f>(D615/D612)*AB90</f>
        <v>17918.462179696278</v>
      </c>
      <c r="E693" s="219">
        <f>(E623/E612)*SUM(C693:D693)</f>
        <v>299854.57559045556</v>
      </c>
      <c r="F693" s="219">
        <f>(F624/F612)*AB64</f>
        <v>209711.65196654014</v>
      </c>
      <c r="G693" s="217">
        <f>(G625/G612)*AB91</f>
        <v>0</v>
      </c>
      <c r="H693" s="219">
        <f>(H628/H612)*AB60</f>
        <v>3603.6892763046508</v>
      </c>
      <c r="I693" s="217">
        <f>(I629/I612)*AB92</f>
        <v>0</v>
      </c>
      <c r="J693" s="217">
        <f>(J630/J612)*AB93</f>
        <v>0</v>
      </c>
      <c r="K693" s="217">
        <f>(K644/K612)*AB89</f>
        <v>447519.56231732073</v>
      </c>
      <c r="L693" s="217">
        <f>(L647/L612)*AB94</f>
        <v>0</v>
      </c>
      <c r="M693" s="202">
        <f t="shared" si="0"/>
        <v>978608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193681</v>
      </c>
      <c r="D694" s="217">
        <f>(D615/D612)*AC90</f>
        <v>3290.757916228722</v>
      </c>
      <c r="E694" s="219">
        <f>(E623/E612)*SUM(C694:D694)</f>
        <v>25458.759593125753</v>
      </c>
      <c r="F694" s="219">
        <f>(F624/F612)*AC64</f>
        <v>520.52718107024248</v>
      </c>
      <c r="G694" s="217">
        <f>(G625/G612)*AC91</f>
        <v>0</v>
      </c>
      <c r="H694" s="219">
        <f>(H628/H612)*AC60</f>
        <v>4294.8077676507482</v>
      </c>
      <c r="I694" s="217">
        <f>(I629/I612)*AC92</f>
        <v>0</v>
      </c>
      <c r="J694" s="217">
        <f>(J630/J612)*AC93</f>
        <v>0</v>
      </c>
      <c r="K694" s="217">
        <f>(K644/K612)*AC89</f>
        <v>52541.063765370396</v>
      </c>
      <c r="L694" s="217">
        <f>(L647/L612)*AC94</f>
        <v>0</v>
      </c>
      <c r="M694" s="202">
        <f t="shared" si="0"/>
        <v>86106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0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1396170</v>
      </c>
      <c r="D696" s="217">
        <f>(D615/D612)*AE90</f>
        <v>161094.96411873438</v>
      </c>
      <c r="E696" s="219">
        <f>(E623/E612)*SUM(C696:D696)</f>
        <v>201277.76064809127</v>
      </c>
      <c r="F696" s="219">
        <f>(F624/F612)*AE64</f>
        <v>5601.0939692439242</v>
      </c>
      <c r="G696" s="217">
        <f>(G625/G612)*AE91</f>
        <v>0</v>
      </c>
      <c r="H696" s="219">
        <f>(H628/H612)*AE60</f>
        <v>62101.933008099324</v>
      </c>
      <c r="I696" s="217">
        <f>(I629/I612)*AE92</f>
        <v>9274.4144112596659</v>
      </c>
      <c r="J696" s="217">
        <f>(J630/J612)*AE93</f>
        <v>1109.6085476805545</v>
      </c>
      <c r="K696" s="217">
        <f>(K644/K612)*AE89</f>
        <v>229101.40837080634</v>
      </c>
      <c r="L696" s="217">
        <f>(L647/L612)*AE94</f>
        <v>0</v>
      </c>
      <c r="M696" s="202">
        <f t="shared" si="0"/>
        <v>669561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4590856</v>
      </c>
      <c r="D698" s="217">
        <f>(D615/D612)*AG90</f>
        <v>184206.35642057194</v>
      </c>
      <c r="E698" s="219">
        <f>(E623/E612)*SUM(C698:D698)</f>
        <v>617180.68549704424</v>
      </c>
      <c r="F698" s="219">
        <f>(F624/F612)*AG64</f>
        <v>7654.6290737980598</v>
      </c>
      <c r="G698" s="217">
        <f>(G625/G612)*AG91</f>
        <v>0</v>
      </c>
      <c r="H698" s="219">
        <f>(H628/H612)*AG60</f>
        <v>63039.879532069026</v>
      </c>
      <c r="I698" s="217">
        <f>(I629/I612)*AG92</f>
        <v>161271.76170690422</v>
      </c>
      <c r="J698" s="217">
        <f>(J630/J612)*AG93</f>
        <v>12424.74811681356</v>
      </c>
      <c r="K698" s="217">
        <f>(K644/K612)*AG89</f>
        <v>877061.80901479092</v>
      </c>
      <c r="L698" s="217">
        <f>(L647/L612)*AG94</f>
        <v>111615.36061644372</v>
      </c>
      <c r="M698" s="202">
        <f t="shared" si="0"/>
        <v>2034455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0"/>
        <v>0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1518762</v>
      </c>
      <c r="D701" s="217">
        <f>(D615/D612)*AJ90</f>
        <v>121035.21746221595</v>
      </c>
      <c r="E701" s="219">
        <f>(E623/E612)*SUM(C701:D701)</f>
        <v>211945.1213843663</v>
      </c>
      <c r="F701" s="219">
        <f>(F624/F612)*AJ64</f>
        <v>3266.252685983743</v>
      </c>
      <c r="G701" s="217">
        <f>(G625/G612)*AJ91</f>
        <v>0</v>
      </c>
      <c r="H701" s="219">
        <f>(H628/H612)*AJ60</f>
        <v>56375.522651231659</v>
      </c>
      <c r="I701" s="217">
        <f>(I629/I612)*AJ92</f>
        <v>31687.582571803861</v>
      </c>
      <c r="J701" s="217">
        <f>(J630/J612)*AJ93</f>
        <v>258.08554877853527</v>
      </c>
      <c r="K701" s="217">
        <f>(K644/K612)*AJ89</f>
        <v>62142.402686780391</v>
      </c>
      <c r="L701" s="217">
        <f>(L647/L612)*AJ94</f>
        <v>0</v>
      </c>
      <c r="M701" s="202">
        <f t="shared" si="0"/>
        <v>486710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299385</v>
      </c>
      <c r="D702" s="217">
        <f>(D615/D612)*AK90</f>
        <v>0</v>
      </c>
      <c r="E702" s="219">
        <f>(E623/E612)*SUM(C702:D702)</f>
        <v>38695.754261529954</v>
      </c>
      <c r="F702" s="219">
        <f>(F624/F612)*AK64</f>
        <v>327.93212407425278</v>
      </c>
      <c r="G702" s="217">
        <f>(G625/G612)*AK91</f>
        <v>0</v>
      </c>
      <c r="H702" s="219">
        <f>(H628/H612)*AK60</f>
        <v>7009.9161265104158</v>
      </c>
      <c r="I702" s="217">
        <f>(I629/I612)*AK92</f>
        <v>9403.2257225271624</v>
      </c>
      <c r="J702" s="217">
        <f>(J630/J612)*AK93</f>
        <v>1108.8119873448181</v>
      </c>
      <c r="K702" s="217">
        <f>(K644/K612)*AK89</f>
        <v>79054.799194870546</v>
      </c>
      <c r="L702" s="217">
        <f>(L647/L612)*AK94</f>
        <v>0</v>
      </c>
      <c r="M702" s="202">
        <f t="shared" si="0"/>
        <v>135600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225550</v>
      </c>
      <c r="D703" s="217">
        <f>(D615/D612)*AL90</f>
        <v>0</v>
      </c>
      <c r="E703" s="219">
        <f>(E623/E612)*SUM(C703:D703)</f>
        <v>29152.520579481541</v>
      </c>
      <c r="F703" s="219">
        <f>(F624/F612)*AL64</f>
        <v>589.19246878589149</v>
      </c>
      <c r="G703" s="217">
        <f>(G625/G612)*AL91</f>
        <v>0</v>
      </c>
      <c r="H703" s="219">
        <f>(H628/H612)*AL60</f>
        <v>4887.1950459474028</v>
      </c>
      <c r="I703" s="217">
        <f>(I629/I612)*AL92</f>
        <v>9403.2257225271624</v>
      </c>
      <c r="J703" s="217">
        <f>(J630/J612)*AL93</f>
        <v>1108.8119873448181</v>
      </c>
      <c r="K703" s="217">
        <f>(K644/K612)*AL89</f>
        <v>30694.071876493574</v>
      </c>
      <c r="L703" s="217">
        <f>(L647/L612)*AL94</f>
        <v>0</v>
      </c>
      <c r="M703" s="202">
        <f t="shared" si="0"/>
        <v>75835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283760</v>
      </c>
      <c r="D706" s="217">
        <f>(D615/D612)*AO90</f>
        <v>10271.729911927803</v>
      </c>
      <c r="E706" s="219">
        <f>(E623/E612)*SUM(C706:D706)</f>
        <v>38003.839757384325</v>
      </c>
      <c r="F706" s="219">
        <f>(F624/F612)*AO64</f>
        <v>498.59858918685779</v>
      </c>
      <c r="G706" s="217">
        <f>(G625/G612)*AO91</f>
        <v>21272.05406319768</v>
      </c>
      <c r="H706" s="219">
        <f>(H628/H612)*AO60</f>
        <v>8787.0779614003804</v>
      </c>
      <c r="I706" s="217">
        <f>(I629/I612)*AO92</f>
        <v>25762.262253499073</v>
      </c>
      <c r="J706" s="217">
        <f>(J630/J612)*AO93</f>
        <v>2774.4196493692543</v>
      </c>
      <c r="K706" s="217">
        <f>(K644/K612)*AO89</f>
        <v>37843.34638751953</v>
      </c>
      <c r="L706" s="217">
        <f>(L647/L612)*AO94</f>
        <v>15151.0007583767</v>
      </c>
      <c r="M706" s="202">
        <f t="shared" si="0"/>
        <v>160364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0"/>
        <v>0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124387</v>
      </c>
      <c r="D713" s="217">
        <f>(D615/D612)*AV90</f>
        <v>17005.419520858253</v>
      </c>
      <c r="E713" s="219">
        <f>(E623/E612)*SUM(C713:D713)</f>
        <v>18275.08499164047</v>
      </c>
      <c r="F713" s="219">
        <f>(F624/F612)*AV64</f>
        <v>9.7460408370598586</v>
      </c>
      <c r="G713" s="217">
        <f>(G625/G612)*AV91</f>
        <v>0</v>
      </c>
      <c r="H713" s="219">
        <f>(H628/H612)*AV60</f>
        <v>937.94652396970366</v>
      </c>
      <c r="I713" s="217">
        <f>(I629/I612)*AV92</f>
        <v>0</v>
      </c>
      <c r="J713" s="217">
        <f>(J630/J612)*AV93</f>
        <v>0</v>
      </c>
      <c r="K713" s="217">
        <f>(K644/K612)*AV89</f>
        <v>96889.091241300615</v>
      </c>
      <c r="L713" s="217">
        <f>(L647/L612)*AV94</f>
        <v>0</v>
      </c>
      <c r="M713" s="202">
        <f t="shared" si="0"/>
        <v>133117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33997186</v>
      </c>
      <c r="D715" s="202">
        <f>SUM(D616:D647)+SUM(D668:D713)</f>
        <v>1574485.0000000002</v>
      </c>
      <c r="E715" s="202">
        <f>SUM(E624:E647)+SUM(E668:E713)</f>
        <v>3891220.4804827655</v>
      </c>
      <c r="F715" s="202">
        <f>SUM(F625:F648)+SUM(F668:F713)</f>
        <v>375577.52746410895</v>
      </c>
      <c r="G715" s="202">
        <f>SUM(G626:G647)+SUM(G668:G713)</f>
        <v>1052571.9137252036</v>
      </c>
      <c r="H715" s="202">
        <f>SUM(H629:H647)+SUM(H668:H713)</f>
        <v>759440.49077631161</v>
      </c>
      <c r="I715" s="202">
        <f>SUM(I630:I647)+SUM(I668:I713)</f>
        <v>709235.07983882946</v>
      </c>
      <c r="J715" s="202">
        <f>SUM(J631:J647)+SUM(J668:J713)</f>
        <v>179151.99542942605</v>
      </c>
      <c r="K715" s="202">
        <f>SUM(K668:K713)</f>
        <v>3669210.3239973113</v>
      </c>
      <c r="L715" s="202">
        <f>SUM(L668:L713)</f>
        <v>539877.67199375422</v>
      </c>
      <c r="M715" s="202">
        <f>SUM(M668:M713)</f>
        <v>11173760</v>
      </c>
      <c r="N715" s="211" t="s">
        <v>694</v>
      </c>
    </row>
    <row r="716" spans="1:14" s="202" customFormat="1" ht="12.6" customHeight="1" x14ac:dyDescent="0.2">
      <c r="C716" s="214">
        <f>CE85</f>
        <v>33997186</v>
      </c>
      <c r="D716" s="202">
        <f>D615</f>
        <v>1574485</v>
      </c>
      <c r="E716" s="202">
        <f>E623</f>
        <v>3891220.4804827659</v>
      </c>
      <c r="F716" s="202">
        <f>F624</f>
        <v>375577.52746410889</v>
      </c>
      <c r="G716" s="202">
        <f>G625</f>
        <v>1052571.9137252036</v>
      </c>
      <c r="H716" s="202">
        <f>H628</f>
        <v>759440.49077631161</v>
      </c>
      <c r="I716" s="202">
        <f>I629</f>
        <v>709235.07983882958</v>
      </c>
      <c r="J716" s="202">
        <f>J630</f>
        <v>179151.99542942602</v>
      </c>
      <c r="K716" s="202">
        <f>K644</f>
        <v>3669210.3239973113</v>
      </c>
      <c r="L716" s="202">
        <f>L647</f>
        <v>539877.67199375434</v>
      </c>
      <c r="M716" s="202">
        <f>C648</f>
        <v>11173760</v>
      </c>
      <c r="N716" s="211" t="s">
        <v>695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" r:id="rId4" xr:uid="{00000000-0004-0000-0B00-000003000000}"/>
    <hyperlink ref="B426" r:id="rId5" display="mailto:doh.information@doh.wa.gov" xr:uid="{00000000-0004-0000-0B00-000004000000}"/>
    <hyperlink ref="C426" r:id="rId6" display="mailto:doh.information@doh.wa.gov" xr:uid="{00000000-0004-0000-0B00-000005000000}"/>
    <hyperlink ref="D426" r:id="rId7" display="mailto:doh.information@doh.wa.gov" xr:uid="{00000000-0004-0000-0B00-000006000000}"/>
    <hyperlink ref="E426" r:id="rId8" display="mailto:doh.information@doh.wa.gov" xr:uid="{00000000-0004-0000-0B00-000007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customProperties>
    <customPr name="OrphanNamesChecked" r:id="rId9"/>
  </customProperties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1064</v>
      </c>
      <c r="B1" s="11" t="s">
        <v>1065</v>
      </c>
      <c r="C1" s="11" t="s">
        <v>1066</v>
      </c>
      <c r="D1" s="11" t="s">
        <v>1067</v>
      </c>
      <c r="E1" s="11" t="s">
        <v>1068</v>
      </c>
      <c r="F1" s="11" t="s">
        <v>1069</v>
      </c>
      <c r="G1" s="11" t="s">
        <v>1070</v>
      </c>
      <c r="H1" s="11" t="s">
        <v>1071</v>
      </c>
      <c r="I1" s="11" t="s">
        <v>1072</v>
      </c>
      <c r="J1" s="11" t="s">
        <v>1073</v>
      </c>
      <c r="K1" s="11" t="s">
        <v>1074</v>
      </c>
      <c r="L1" s="11" t="s">
        <v>1075</v>
      </c>
      <c r="M1" s="11" t="s">
        <v>1076</v>
      </c>
      <c r="N1" s="11" t="s">
        <v>1077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107</v>
      </c>
      <c r="C2" s="11" t="str">
        <f>SUBSTITUTE(LEFT(data!C98,49),",","")</f>
        <v>NORTH VALLEY HOSPITAL OCPHD#4</v>
      </c>
      <c r="D2" s="11" t="str">
        <f>LEFT(data!C99, 49)</f>
        <v>203 S WESTERN AVE</v>
      </c>
      <c r="E2" s="11" t="str">
        <f>LEFT(data!C100, 100)</f>
        <v>TONASKET</v>
      </c>
      <c r="F2" s="11" t="str">
        <f>LEFT(data!C101, 2)</f>
        <v>WA</v>
      </c>
      <c r="G2" s="11" t="str">
        <f>LEFT(data!C102, 100)</f>
        <v>98855</v>
      </c>
      <c r="H2" s="11" t="str">
        <f>LEFT(data!C103, 100)</f>
        <v>OKANOGAN</v>
      </c>
      <c r="I2" s="11" t="str">
        <f>LEFT(data!C104, 49)</f>
        <v>John McReynolds</v>
      </c>
      <c r="J2" s="11" t="str">
        <f>LEFT(data!C105, 49)</f>
        <v>Melissa Thompson</v>
      </c>
      <c r="K2" s="11" t="str">
        <f>LEFT(data!C107, 49)</f>
        <v>509-486-2151</v>
      </c>
      <c r="L2" s="11" t="str">
        <f>LEFT(data!C108, 49)</f>
        <v>509-486-4637</v>
      </c>
      <c r="M2" s="11" t="str">
        <f>LEFT(data!C109, 49)</f>
        <v>Jeannette Ring</v>
      </c>
      <c r="N2" s="11" t="str">
        <f>LEFT(data!C110, 49)</f>
        <v>jring@dzacpa.com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  <customProperties>
    <customPr name="OrphanNamesChecked" r:id="rId1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1078</v>
      </c>
      <c r="B1" s="12" t="s">
        <v>1079</v>
      </c>
      <c r="C1" s="12" t="s">
        <v>1080</v>
      </c>
      <c r="D1" s="12" t="s">
        <v>1081</v>
      </c>
      <c r="E1" s="12" t="s">
        <v>1082</v>
      </c>
      <c r="F1" s="12" t="s">
        <v>1083</v>
      </c>
      <c r="G1" s="12" t="s">
        <v>1084</v>
      </c>
      <c r="H1" s="12" t="s">
        <v>1085</v>
      </c>
      <c r="I1" s="12" t="s">
        <v>1086</v>
      </c>
      <c r="J1" s="12" t="s">
        <v>1087</v>
      </c>
      <c r="K1" s="12" t="s">
        <v>1088</v>
      </c>
      <c r="L1" s="12" t="s">
        <v>1089</v>
      </c>
      <c r="M1" s="12" t="s">
        <v>1090</v>
      </c>
      <c r="N1" s="12" t="s">
        <v>1091</v>
      </c>
      <c r="O1" s="12" t="s">
        <v>1092</v>
      </c>
      <c r="P1" s="12" t="s">
        <v>1093</v>
      </c>
      <c r="Q1" s="12" t="s">
        <v>1094</v>
      </c>
      <c r="R1" s="12" t="s">
        <v>1095</v>
      </c>
      <c r="S1" s="12" t="s">
        <v>1096</v>
      </c>
      <c r="T1" s="12" t="s">
        <v>1097</v>
      </c>
      <c r="U1" s="12" t="s">
        <v>1098</v>
      </c>
      <c r="V1" s="12" t="s">
        <v>1099</v>
      </c>
      <c r="W1" s="12" t="s">
        <v>1100</v>
      </c>
      <c r="X1" s="12" t="s">
        <v>1101</v>
      </c>
      <c r="Y1" s="12" t="s">
        <v>1102</v>
      </c>
      <c r="Z1" s="12" t="s">
        <v>1103</v>
      </c>
      <c r="AA1" s="12" t="s">
        <v>1104</v>
      </c>
      <c r="AB1" s="12" t="s">
        <v>1105</v>
      </c>
      <c r="AC1" s="12" t="s">
        <v>1106</v>
      </c>
      <c r="AD1" s="12" t="s">
        <v>1107</v>
      </c>
      <c r="AE1" s="12" t="s">
        <v>1108</v>
      </c>
      <c r="AF1" s="12" t="s">
        <v>1109</v>
      </c>
      <c r="AG1" s="12" t="s">
        <v>1110</v>
      </c>
      <c r="AH1" s="12" t="s">
        <v>1111</v>
      </c>
      <c r="AI1" s="12" t="s">
        <v>1112</v>
      </c>
      <c r="AJ1" s="12" t="s">
        <v>1113</v>
      </c>
      <c r="AK1" s="12" t="s">
        <v>1114</v>
      </c>
      <c r="AL1" s="12" t="s">
        <v>1115</v>
      </c>
      <c r="AM1" s="12" t="s">
        <v>1116</v>
      </c>
      <c r="AN1" s="12" t="s">
        <v>1117</v>
      </c>
      <c r="AO1" s="12" t="s">
        <v>1118</v>
      </c>
      <c r="AP1" s="12" t="s">
        <v>1119</v>
      </c>
      <c r="AQ1" s="12" t="s">
        <v>1120</v>
      </c>
      <c r="AR1" s="12" t="s">
        <v>1121</v>
      </c>
      <c r="AS1" s="12" t="s">
        <v>1122</v>
      </c>
      <c r="AT1" s="12" t="s">
        <v>1123</v>
      </c>
      <c r="AU1" s="12" t="s">
        <v>1124</v>
      </c>
      <c r="AV1" s="12" t="s">
        <v>1125</v>
      </c>
      <c r="AW1" s="12" t="s">
        <v>1126</v>
      </c>
      <c r="AX1" s="12" t="s">
        <v>1127</v>
      </c>
      <c r="AY1" s="12" t="s">
        <v>1128</v>
      </c>
      <c r="AZ1" s="12" t="s">
        <v>1129</v>
      </c>
      <c r="BA1" s="12" t="s">
        <v>1130</v>
      </c>
      <c r="BB1" s="12" t="s">
        <v>1131</v>
      </c>
      <c r="BC1" s="12" t="s">
        <v>1132</v>
      </c>
      <c r="BD1" s="12" t="s">
        <v>1133</v>
      </c>
      <c r="BE1" s="12" t="s">
        <v>1134</v>
      </c>
      <c r="BF1" s="12" t="s">
        <v>1135</v>
      </c>
      <c r="BG1" s="12" t="s">
        <v>1136</v>
      </c>
      <c r="BH1" s="12" t="s">
        <v>1137</v>
      </c>
      <c r="BI1" s="12" t="s">
        <v>1138</v>
      </c>
      <c r="BJ1" s="12" t="s">
        <v>1139</v>
      </c>
      <c r="BK1" s="12" t="s">
        <v>1140</v>
      </c>
      <c r="BL1" s="12" t="s">
        <v>1141</v>
      </c>
      <c r="BM1" s="12" t="s">
        <v>1142</v>
      </c>
      <c r="BN1" s="12" t="s">
        <v>1143</v>
      </c>
      <c r="BO1" s="12" t="s">
        <v>1144</v>
      </c>
      <c r="BP1" s="12" t="s">
        <v>1145</v>
      </c>
      <c r="BQ1" s="12" t="s">
        <v>1146</v>
      </c>
      <c r="BR1" s="12" t="s">
        <v>1147</v>
      </c>
      <c r="BS1" s="12" t="s">
        <v>1148</v>
      </c>
      <c r="BT1" s="12" t="s">
        <v>1149</v>
      </c>
      <c r="BU1" s="12" t="s">
        <v>1150</v>
      </c>
      <c r="BV1" s="12" t="s">
        <v>1151</v>
      </c>
      <c r="BW1" s="12" t="s">
        <v>1152</v>
      </c>
      <c r="BX1" s="12" t="s">
        <v>1153</v>
      </c>
      <c r="BY1" s="12" t="s">
        <v>1154</v>
      </c>
      <c r="BZ1" s="12" t="s">
        <v>1155</v>
      </c>
      <c r="CA1" s="12" t="s">
        <v>1156</v>
      </c>
      <c r="CB1" s="12" t="s">
        <v>1157</v>
      </c>
      <c r="CC1" s="12" t="s">
        <v>1158</v>
      </c>
      <c r="CD1" s="12" t="s">
        <v>1159</v>
      </c>
      <c r="CE1" s="12" t="s">
        <v>1160</v>
      </c>
      <c r="CF1" s="12" t="s">
        <v>1161</v>
      </c>
    </row>
    <row r="2" spans="1:84" s="169" customFormat="1" ht="12.6" customHeight="1" x14ac:dyDescent="0.25">
      <c r="A2" s="12" t="str">
        <f>RIGHT(data!C97,3)</f>
        <v>107</v>
      </c>
      <c r="B2" s="200" t="str">
        <f>RIGHT(data!C96,4)</f>
        <v>2024</v>
      </c>
      <c r="C2" s="12" t="s">
        <v>1162</v>
      </c>
      <c r="D2" s="199">
        <f>ROUND(N(data!C181),0)</f>
        <v>963255</v>
      </c>
      <c r="E2" s="199">
        <f>ROUND(N(data!C182),0)</f>
        <v>149179</v>
      </c>
      <c r="F2" s="199">
        <f>ROUND(N(data!C183),0)</f>
        <v>149774</v>
      </c>
      <c r="G2" s="199">
        <f>ROUND(N(data!C184),0)</f>
        <v>2001797</v>
      </c>
      <c r="H2" s="199">
        <f>ROUND(N(data!C185),0)</f>
        <v>0</v>
      </c>
      <c r="I2" s="199">
        <f>ROUND(N(data!C186),0)</f>
        <v>247940</v>
      </c>
      <c r="J2" s="199">
        <f>ROUND(N(data!C187)+N(data!C188),0)</f>
        <v>132367</v>
      </c>
      <c r="K2" s="199">
        <f>ROUND(N(data!C191),0)</f>
        <v>23035</v>
      </c>
      <c r="L2" s="199">
        <f>ROUND(N(data!C192),0)</f>
        <v>478255</v>
      </c>
      <c r="M2" s="199">
        <f>ROUND(N(data!C195),0)</f>
        <v>273112</v>
      </c>
      <c r="N2" s="199">
        <f>ROUND(N(data!C196),0)</f>
        <v>187663</v>
      </c>
      <c r="O2" s="199">
        <f>ROUND(N(data!C199),0)</f>
        <v>86971</v>
      </c>
      <c r="P2" s="199">
        <f>ROUND(N(data!C200),0)</f>
        <v>128234</v>
      </c>
      <c r="Q2" s="199">
        <f>ROUND(N(data!C201),0)</f>
        <v>0</v>
      </c>
      <c r="R2" s="199">
        <f>ROUND(N(data!C204),0)</f>
        <v>0</v>
      </c>
      <c r="S2" s="199">
        <f>ROUND(N(data!C205),0)</f>
        <v>365138</v>
      </c>
      <c r="T2" s="199">
        <f>ROUND(N(data!B211),0)</f>
        <v>358540</v>
      </c>
      <c r="U2" s="199">
        <f>ROUND(N(data!C211),0)</f>
        <v>0</v>
      </c>
      <c r="V2" s="199">
        <f>ROUND(N(data!D211),0)</f>
        <v>0</v>
      </c>
      <c r="W2" s="199">
        <f>ROUND(N(data!B212),0)</f>
        <v>719936</v>
      </c>
      <c r="X2" s="199">
        <f>ROUND(N(data!C212),0)</f>
        <v>0</v>
      </c>
      <c r="Y2" s="199">
        <f>ROUND(N(data!D212),0)</f>
        <v>0</v>
      </c>
      <c r="Z2" s="199">
        <f>ROUND(N(data!B213),0)</f>
        <v>14473214</v>
      </c>
      <c r="AA2" s="199">
        <f>ROUND(N(data!C213),0)</f>
        <v>226937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7373508</v>
      </c>
      <c r="AG2" s="199">
        <f>ROUND(N(data!C215),0)</f>
        <v>42352</v>
      </c>
      <c r="AH2" s="199">
        <f>ROUND(N(data!D215),0)</f>
        <v>0</v>
      </c>
      <c r="AI2" s="199">
        <f>ROUND(N(data!B216),0)</f>
        <v>9389639</v>
      </c>
      <c r="AJ2" s="199">
        <f>ROUND(N(data!C216),0)</f>
        <v>111745</v>
      </c>
      <c r="AK2" s="199">
        <f>ROUND(N(data!D216),0)</f>
        <v>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3560648</v>
      </c>
      <c r="AS2" s="199">
        <f>ROUND(N(data!C219),0)</f>
        <v>4920184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717974</v>
      </c>
      <c r="AY2" s="199">
        <f>ROUND(N(data!C225),0)</f>
        <v>366</v>
      </c>
      <c r="AZ2" s="199">
        <f>ROUND(N(data!D225),0)</f>
        <v>0</v>
      </c>
      <c r="BA2" s="199">
        <f>ROUND(N(data!B226),0)</f>
        <v>7827442</v>
      </c>
      <c r="BB2" s="199">
        <f>ROUND(N(data!C226),0)</f>
        <v>760580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5666987</v>
      </c>
      <c r="BH2" s="199">
        <f>ROUND(N(data!C228),0)</f>
        <v>183771</v>
      </c>
      <c r="BI2" s="199">
        <f>ROUND(N(data!D228),0)</f>
        <v>0</v>
      </c>
      <c r="BJ2" s="199">
        <f>ROUND(N(data!B229),0)</f>
        <v>7835116</v>
      </c>
      <c r="BK2" s="199">
        <f>ROUND(N(data!C229),0)</f>
        <v>585054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2273100</v>
      </c>
      <c r="BW2" s="199">
        <f>ROUND(N(data!C240),0)</f>
        <v>10639478</v>
      </c>
      <c r="BX2" s="199">
        <f>ROUND(N(data!C241),0)</f>
        <v>0</v>
      </c>
      <c r="BY2" s="199">
        <f>ROUND(N(data!C242),0)</f>
        <v>0</v>
      </c>
      <c r="BZ2" s="199">
        <f>ROUND(N(data!C243),0)</f>
        <v>0</v>
      </c>
      <c r="CA2" s="199">
        <f>ROUND(N(data!C244),0)</f>
        <v>5128564</v>
      </c>
      <c r="CB2" s="199">
        <f>ROUND(N(data!C247),0)</f>
        <v>441</v>
      </c>
      <c r="CC2" s="199">
        <f>ROUND(N(data!C249),0)</f>
        <v>193782</v>
      </c>
      <c r="CD2" s="199">
        <f>ROUND(N(data!C250),0)</f>
        <v>672211</v>
      </c>
      <c r="CE2" s="199">
        <f>ROUND(N(data!C254)+N(data!C255),0)</f>
        <v>0</v>
      </c>
      <c r="CF2" s="199">
        <f>ROUND(N(data!D237),0)</f>
        <v>2368570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  <customProperties>
    <customPr name="OrphanNamesChecked" r:id="rId1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1163</v>
      </c>
      <c r="B1" s="12" t="s">
        <v>1164</v>
      </c>
      <c r="C1" s="12" t="s">
        <v>1165</v>
      </c>
      <c r="D1" s="10" t="s">
        <v>1166</v>
      </c>
      <c r="E1" s="10" t="s">
        <v>1167</v>
      </c>
      <c r="F1" s="10" t="s">
        <v>1168</v>
      </c>
      <c r="G1" s="10" t="s">
        <v>1169</v>
      </c>
      <c r="H1" s="10" t="s">
        <v>1170</v>
      </c>
      <c r="I1" s="10" t="s">
        <v>1171</v>
      </c>
      <c r="J1" s="10" t="s">
        <v>1172</v>
      </c>
      <c r="K1" s="10" t="s">
        <v>1173</v>
      </c>
      <c r="L1" s="10" t="s">
        <v>1174</v>
      </c>
      <c r="M1" s="10" t="s">
        <v>1175</v>
      </c>
      <c r="N1" s="10" t="s">
        <v>1176</v>
      </c>
      <c r="O1" s="10" t="s">
        <v>1177</v>
      </c>
      <c r="P1" s="10" t="s">
        <v>1178</v>
      </c>
      <c r="Q1" s="10" t="s">
        <v>1179</v>
      </c>
      <c r="R1" s="10" t="s">
        <v>1180</v>
      </c>
      <c r="S1" s="10" t="s">
        <v>1181</v>
      </c>
      <c r="T1" s="10" t="s">
        <v>1182</v>
      </c>
      <c r="U1" s="10" t="s">
        <v>1183</v>
      </c>
      <c r="V1" s="10" t="s">
        <v>1184</v>
      </c>
      <c r="W1" s="10" t="s">
        <v>1185</v>
      </c>
      <c r="X1" s="10" t="s">
        <v>1186</v>
      </c>
      <c r="Y1" s="10" t="s">
        <v>1187</v>
      </c>
      <c r="Z1" s="10" t="s">
        <v>1188</v>
      </c>
      <c r="AA1" s="10" t="s">
        <v>1189</v>
      </c>
      <c r="AB1" s="10" t="s">
        <v>1190</v>
      </c>
      <c r="AC1" s="10" t="s">
        <v>1191</v>
      </c>
      <c r="AD1" s="10" t="s">
        <v>1192</v>
      </c>
      <c r="AE1" s="10" t="s">
        <v>1193</v>
      </c>
      <c r="AF1" s="10" t="s">
        <v>1194</v>
      </c>
      <c r="AG1" s="10" t="s">
        <v>1195</v>
      </c>
      <c r="AH1" s="10" t="s">
        <v>1196</v>
      </c>
      <c r="AI1" s="10" t="s">
        <v>1197</v>
      </c>
      <c r="AJ1" s="10" t="s">
        <v>1198</v>
      </c>
      <c r="AK1" s="10" t="s">
        <v>1199</v>
      </c>
      <c r="AL1" s="10" t="s">
        <v>1200</v>
      </c>
      <c r="AM1" s="10" t="s">
        <v>1201</v>
      </c>
      <c r="AN1" s="10" t="s">
        <v>1202</v>
      </c>
      <c r="AO1" s="10" t="s">
        <v>1203</v>
      </c>
      <c r="AP1" s="10" t="s">
        <v>1204</v>
      </c>
      <c r="AQ1" s="10" t="s">
        <v>1205</v>
      </c>
      <c r="AR1" s="10" t="s">
        <v>1206</v>
      </c>
      <c r="AS1" s="10" t="s">
        <v>1207</v>
      </c>
      <c r="AT1" s="10" t="s">
        <v>1208</v>
      </c>
      <c r="AU1" s="10" t="s">
        <v>1209</v>
      </c>
      <c r="AV1" s="10" t="s">
        <v>1210</v>
      </c>
      <c r="AW1" s="10" t="s">
        <v>1211</v>
      </c>
      <c r="AX1" s="10" t="s">
        <v>1212</v>
      </c>
      <c r="AY1" s="10" t="s">
        <v>1213</v>
      </c>
      <c r="AZ1" s="10" t="s">
        <v>1214</v>
      </c>
      <c r="BA1" s="10" t="s">
        <v>1215</v>
      </c>
      <c r="BB1" s="10" t="s">
        <v>1216</v>
      </c>
      <c r="BC1" s="10" t="s">
        <v>1217</v>
      </c>
      <c r="BD1" s="10" t="s">
        <v>1218</v>
      </c>
      <c r="BE1" s="10" t="s">
        <v>1219</v>
      </c>
      <c r="BF1" s="10" t="s">
        <v>1220</v>
      </c>
      <c r="BG1" s="10" t="s">
        <v>1221</v>
      </c>
      <c r="BH1" s="10" t="s">
        <v>1222</v>
      </c>
      <c r="BI1" s="10" t="s">
        <v>1223</v>
      </c>
      <c r="BJ1" s="10" t="s">
        <v>1224</v>
      </c>
      <c r="BK1" s="10" t="s">
        <v>1225</v>
      </c>
      <c r="BL1" s="10" t="s">
        <v>1226</v>
      </c>
      <c r="BM1" s="10" t="s">
        <v>1227</v>
      </c>
      <c r="BN1" s="10" t="s">
        <v>1228</v>
      </c>
      <c r="BO1" s="10" t="s">
        <v>1229</v>
      </c>
      <c r="BP1" s="10" t="s">
        <v>1230</v>
      </c>
      <c r="BQ1" s="10" t="s">
        <v>1231</v>
      </c>
      <c r="BR1" s="10" t="s">
        <v>1232</v>
      </c>
      <c r="BS1" s="10" t="s">
        <v>1233</v>
      </c>
    </row>
    <row r="2" spans="1:87" s="169" customFormat="1" ht="12.6" customHeight="1" x14ac:dyDescent="0.25">
      <c r="A2" s="12" t="str">
        <f>RIGHT(data!C97,3)</f>
        <v>107</v>
      </c>
      <c r="B2" s="12" t="str">
        <f>RIGHT(data!C96,4)</f>
        <v>2024</v>
      </c>
      <c r="C2" s="12" t="s">
        <v>1162</v>
      </c>
      <c r="D2" s="198">
        <f>ROUND(N(data!C127),0)</f>
        <v>186</v>
      </c>
      <c r="E2" s="198">
        <f>ROUND(N(data!C128),0)</f>
        <v>141</v>
      </c>
      <c r="F2" s="198">
        <f>ROUND(N(data!C129),0)</f>
        <v>0</v>
      </c>
      <c r="G2" s="198">
        <f>ROUND(N(data!C130),0)</f>
        <v>0</v>
      </c>
      <c r="H2" s="198">
        <f>ROUND(N(data!D127),0)</f>
        <v>665</v>
      </c>
      <c r="I2" s="198">
        <f>ROUND(N(data!D128),0)</f>
        <v>15661</v>
      </c>
      <c r="J2" s="198">
        <f>ROUND(N(data!D129),0)</f>
        <v>0</v>
      </c>
      <c r="K2" s="198">
        <f>ROUND(N(data!D130),0)</f>
        <v>0</v>
      </c>
      <c r="L2" s="198">
        <f>ROUND(N(data!C132),0)</f>
        <v>0</v>
      </c>
      <c r="M2" s="198">
        <f>ROUND(N(data!C133),0)</f>
        <v>0</v>
      </c>
      <c r="N2" s="198">
        <f>ROUND(N(data!C134),0)</f>
        <v>18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42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67</v>
      </c>
      <c r="X2" s="198">
        <f>ROUND(N(data!C145),0)</f>
        <v>0</v>
      </c>
      <c r="Y2" s="198">
        <f>ROUND(N(data!B154),0)</f>
        <v>149</v>
      </c>
      <c r="Z2" s="198">
        <f>ROUND(N(data!B155),0)</f>
        <v>477</v>
      </c>
      <c r="AA2" s="198">
        <f>ROUND(N(data!B156),0)</f>
        <v>9073</v>
      </c>
      <c r="AB2" s="198">
        <f>ROUND(N(data!B157),0)</f>
        <v>3221779</v>
      </c>
      <c r="AC2" s="198">
        <f>ROUND(N(data!B158),0)</f>
        <v>19284899</v>
      </c>
      <c r="AD2" s="198">
        <f>ROUND(N(data!C154),0)</f>
        <v>14</v>
      </c>
      <c r="AE2" s="198">
        <f>ROUND(N(data!C155),0)</f>
        <v>74</v>
      </c>
      <c r="AF2" s="198">
        <f>ROUND(N(data!C156),0)</f>
        <v>6070</v>
      </c>
      <c r="AG2" s="198">
        <f>ROUND(N(data!C157),0)</f>
        <v>499815</v>
      </c>
      <c r="AH2" s="198">
        <f>ROUND(N(data!C158),0)</f>
        <v>12586906</v>
      </c>
      <c r="AI2" s="198">
        <f>ROUND(N(data!D154),0)</f>
        <v>23</v>
      </c>
      <c r="AJ2" s="198">
        <f>ROUND(N(data!D155),0)</f>
        <v>114</v>
      </c>
      <c r="AK2" s="198">
        <f>ROUND(N(data!D156),0)</f>
        <v>7148</v>
      </c>
      <c r="AL2" s="198">
        <f>ROUND(N(data!D157),0)</f>
        <v>769985</v>
      </c>
      <c r="AM2" s="198">
        <f>ROUND(N(data!D158),0)</f>
        <v>8782667</v>
      </c>
      <c r="AN2" s="198">
        <f>ROUND(N(data!B160),0)</f>
        <v>113</v>
      </c>
      <c r="AO2" s="198">
        <f>ROUND(N(data!B161),0)</f>
        <v>1580</v>
      </c>
      <c r="AP2" s="198">
        <f>ROUND(N(data!B162),0)</f>
        <v>0</v>
      </c>
      <c r="AQ2" s="198">
        <f>ROUND(N(data!B163),0)</f>
        <v>2007651</v>
      </c>
      <c r="AR2" s="198">
        <f>ROUND(N(data!B164),0)</f>
        <v>0</v>
      </c>
      <c r="AS2" s="198">
        <f>ROUND(N(data!C160),0)</f>
        <v>8</v>
      </c>
      <c r="AT2" s="198">
        <f>ROUND(N(data!C161),0)</f>
        <v>9554</v>
      </c>
      <c r="AU2" s="198">
        <f>ROUND(N(data!C162),0)</f>
        <v>0</v>
      </c>
      <c r="AV2" s="198">
        <f>ROUND(N(data!C163),0)</f>
        <v>2953227</v>
      </c>
      <c r="AW2" s="198">
        <f>ROUND(N(data!C164),0)</f>
        <v>0</v>
      </c>
      <c r="AX2" s="198">
        <f>ROUND(N(data!D160),0)</f>
        <v>20</v>
      </c>
      <c r="AY2" s="198">
        <f>ROUND(N(data!D161),0)</f>
        <v>4527</v>
      </c>
      <c r="AZ2" s="198">
        <f>ROUND(N(data!D162),0)</f>
        <v>0</v>
      </c>
      <c r="BA2" s="198">
        <f>ROUND(N(data!D163),0)</f>
        <v>2267231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5263255</v>
      </c>
      <c r="BS2" s="198">
        <f>ROUND(N(data!C173),0)</f>
        <v>1938442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customProperties>
    <customPr name="OrphanNamesChecked" r:id="rId1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1234</v>
      </c>
      <c r="B1" s="12" t="s">
        <v>1235</v>
      </c>
      <c r="C1" s="12" t="s">
        <v>1236</v>
      </c>
      <c r="D1" s="10" t="s">
        <v>1237</v>
      </c>
      <c r="E1" s="10" t="s">
        <v>1238</v>
      </c>
      <c r="F1" s="10" t="s">
        <v>1239</v>
      </c>
      <c r="G1" s="10" t="s">
        <v>1240</v>
      </c>
      <c r="H1" s="10" t="s">
        <v>1241</v>
      </c>
      <c r="I1" s="10" t="s">
        <v>1242</v>
      </c>
      <c r="J1" s="10" t="s">
        <v>1243</v>
      </c>
      <c r="K1" s="10" t="s">
        <v>1244</v>
      </c>
      <c r="L1" s="10" t="s">
        <v>1245</v>
      </c>
      <c r="M1" s="10" t="s">
        <v>1246</v>
      </c>
      <c r="N1" s="10" t="s">
        <v>1247</v>
      </c>
      <c r="O1" s="10" t="s">
        <v>1248</v>
      </c>
      <c r="P1" s="10" t="s">
        <v>1249</v>
      </c>
      <c r="Q1" s="10" t="s">
        <v>1250</v>
      </c>
      <c r="R1" s="10" t="s">
        <v>1251</v>
      </c>
      <c r="S1" s="10" t="s">
        <v>1252</v>
      </c>
      <c r="T1" s="10" t="s">
        <v>1253</v>
      </c>
      <c r="U1" s="10" t="s">
        <v>1254</v>
      </c>
      <c r="V1" s="10" t="s">
        <v>1255</v>
      </c>
      <c r="W1" s="10" t="s">
        <v>1256</v>
      </c>
      <c r="X1" s="10" t="s">
        <v>1257</v>
      </c>
      <c r="Y1" s="10" t="s">
        <v>1258</v>
      </c>
      <c r="Z1" s="10" t="s">
        <v>1259</v>
      </c>
      <c r="AA1" s="10" t="s">
        <v>1260</v>
      </c>
      <c r="AB1" s="10" t="s">
        <v>1261</v>
      </c>
      <c r="AC1" s="10" t="s">
        <v>1262</v>
      </c>
      <c r="AD1" s="10" t="s">
        <v>1263</v>
      </c>
      <c r="AE1" s="10" t="s">
        <v>1264</v>
      </c>
      <c r="AF1" s="10" t="s">
        <v>1265</v>
      </c>
      <c r="AG1" s="10" t="s">
        <v>1266</v>
      </c>
      <c r="AH1" s="10" t="s">
        <v>1267</v>
      </c>
      <c r="AI1" s="10" t="s">
        <v>1268</v>
      </c>
      <c r="AJ1" s="10" t="s">
        <v>1269</v>
      </c>
      <c r="AK1" s="10" t="s">
        <v>1270</v>
      </c>
      <c r="AL1" s="10" t="s">
        <v>1271</v>
      </c>
      <c r="AM1" s="10" t="s">
        <v>1272</v>
      </c>
      <c r="AN1" s="10" t="s">
        <v>1273</v>
      </c>
      <c r="AO1" s="10" t="s">
        <v>1274</v>
      </c>
      <c r="AP1" s="10" t="s">
        <v>1275</v>
      </c>
      <c r="AQ1" s="10" t="s">
        <v>1276</v>
      </c>
      <c r="AR1" s="10" t="s">
        <v>1277</v>
      </c>
      <c r="AS1" s="10" t="s">
        <v>1278</v>
      </c>
      <c r="AT1" s="10" t="s">
        <v>1279</v>
      </c>
      <c r="AU1" s="10" t="s">
        <v>1280</v>
      </c>
      <c r="AV1" s="10" t="s">
        <v>1281</v>
      </c>
      <c r="AW1" s="10" t="s">
        <v>1282</v>
      </c>
      <c r="AX1" s="10" t="s">
        <v>1283</v>
      </c>
      <c r="AY1" s="10" t="s">
        <v>1284</v>
      </c>
      <c r="AZ1" s="10" t="s">
        <v>1285</v>
      </c>
      <c r="BA1" s="10" t="s">
        <v>1286</v>
      </c>
      <c r="BB1" s="10" t="s">
        <v>1287</v>
      </c>
      <c r="BC1" s="10" t="s">
        <v>1288</v>
      </c>
      <c r="BD1" s="10" t="s">
        <v>1289</v>
      </c>
      <c r="BE1" s="10" t="s">
        <v>1290</v>
      </c>
      <c r="BF1" s="10" t="s">
        <v>1291</v>
      </c>
      <c r="BG1" s="10" t="s">
        <v>1292</v>
      </c>
      <c r="BH1" s="10" t="s">
        <v>1293</v>
      </c>
      <c r="BI1" s="10" t="s">
        <v>1294</v>
      </c>
      <c r="BJ1" s="10" t="s">
        <v>1295</v>
      </c>
      <c r="BK1" s="10" t="s">
        <v>1296</v>
      </c>
      <c r="BL1" s="10" t="s">
        <v>1297</v>
      </c>
      <c r="BM1" s="10" t="s">
        <v>1298</v>
      </c>
      <c r="BN1" s="10" t="s">
        <v>1299</v>
      </c>
      <c r="BO1" s="10" t="s">
        <v>1300</v>
      </c>
      <c r="BP1" s="10" t="s">
        <v>1301</v>
      </c>
      <c r="BQ1" s="10" t="s">
        <v>1302</v>
      </c>
      <c r="BR1" s="10" t="s">
        <v>1303</v>
      </c>
      <c r="BS1" s="10" t="s">
        <v>1304</v>
      </c>
      <c r="BT1" s="10" t="s">
        <v>1305</v>
      </c>
      <c r="BU1" s="10" t="s">
        <v>1306</v>
      </c>
      <c r="BV1" s="10" t="s">
        <v>1307</v>
      </c>
      <c r="BW1" s="10" t="s">
        <v>1308</v>
      </c>
      <c r="BX1" s="10" t="s">
        <v>1309</v>
      </c>
      <c r="BY1" s="10" t="s">
        <v>1310</v>
      </c>
      <c r="BZ1" s="10" t="s">
        <v>1311</v>
      </c>
      <c r="CA1" s="10" t="s">
        <v>1312</v>
      </c>
      <c r="CB1" s="10" t="s">
        <v>1313</v>
      </c>
      <c r="CC1" s="10" t="s">
        <v>1314</v>
      </c>
      <c r="CD1" s="10" t="s">
        <v>1315</v>
      </c>
      <c r="CE1" s="10" t="s">
        <v>1316</v>
      </c>
      <c r="CF1" s="10" t="s">
        <v>1317</v>
      </c>
      <c r="CG1" s="10" t="s">
        <v>1318</v>
      </c>
      <c r="CH1" s="10" t="s">
        <v>1319</v>
      </c>
      <c r="CI1" s="10" t="s">
        <v>1320</v>
      </c>
      <c r="CJ1" s="10" t="s">
        <v>1321</v>
      </c>
      <c r="CK1" s="10" t="s">
        <v>1322</v>
      </c>
      <c r="CL1" s="10" t="s">
        <v>1323</v>
      </c>
      <c r="CM1" s="10" t="s">
        <v>1324</v>
      </c>
      <c r="CN1" s="10" t="s">
        <v>1325</v>
      </c>
      <c r="CO1" s="10" t="s">
        <v>1326</v>
      </c>
      <c r="CP1" s="10" t="s">
        <v>1327</v>
      </c>
      <c r="CQ1" s="197" t="s">
        <v>1328</v>
      </c>
      <c r="CR1" s="197" t="s">
        <v>1329</v>
      </c>
      <c r="CS1" s="197" t="s">
        <v>1330</v>
      </c>
      <c r="CT1" s="197" t="s">
        <v>1331</v>
      </c>
      <c r="CU1" s="197" t="s">
        <v>1332</v>
      </c>
      <c r="CV1" s="197" t="s">
        <v>1333</v>
      </c>
      <c r="CW1" s="197" t="s">
        <v>1334</v>
      </c>
      <c r="CX1" s="197" t="s">
        <v>1335</v>
      </c>
      <c r="CY1" s="197" t="s">
        <v>1336</v>
      </c>
      <c r="CZ1" s="197" t="s">
        <v>1337</v>
      </c>
      <c r="DA1" s="197" t="s">
        <v>1338</v>
      </c>
      <c r="DB1" s="197" t="s">
        <v>1339</v>
      </c>
      <c r="DC1" s="197" t="s">
        <v>1340</v>
      </c>
      <c r="DD1" s="197" t="s">
        <v>1341</v>
      </c>
      <c r="DE1" s="10" t="s">
        <v>1342</v>
      </c>
      <c r="DF1" s="10" t="s">
        <v>1343</v>
      </c>
      <c r="DG1" s="10" t="s">
        <v>1344</v>
      </c>
      <c r="DH1" s="10" t="s">
        <v>1345</v>
      </c>
    </row>
    <row r="2" spans="1:112" s="169" customFormat="1" ht="12.6" customHeight="1" x14ac:dyDescent="0.25">
      <c r="A2" s="199" t="str">
        <f>RIGHT(data!C97,3)</f>
        <v>107</v>
      </c>
      <c r="B2" s="200" t="str">
        <f>RIGHT(data!C96,4)</f>
        <v>2024</v>
      </c>
      <c r="C2" s="12" t="s">
        <v>1162</v>
      </c>
      <c r="D2" s="198">
        <f>ROUND(N(data!C266),0)</f>
        <v>8135089</v>
      </c>
      <c r="E2" s="198">
        <f>ROUND(N(data!C267),0)</f>
        <v>0</v>
      </c>
      <c r="F2" s="198">
        <f>ROUND(N(data!C268),0)</f>
        <v>9772621</v>
      </c>
      <c r="G2" s="198">
        <f>ROUND(N(data!C269),0)</f>
        <v>5518701</v>
      </c>
      <c r="H2" s="198">
        <f>ROUND(N(data!C270),0)</f>
        <v>0</v>
      </c>
      <c r="I2" s="198">
        <f>ROUND(N(data!C271),0)</f>
        <v>152863</v>
      </c>
      <c r="J2" s="198">
        <f>ROUND(N(data!C272),0)</f>
        <v>0</v>
      </c>
      <c r="K2" s="198">
        <f>ROUND(N(data!C273),0)</f>
        <v>910287</v>
      </c>
      <c r="L2" s="198">
        <f>ROUND(N(data!C274),0)</f>
        <v>523107</v>
      </c>
      <c r="M2" s="198">
        <f>ROUND(N(data!C275),0)</f>
        <v>0</v>
      </c>
      <c r="N2" s="198">
        <f>ROUND(N(data!C278),0)</f>
        <v>2838061</v>
      </c>
      <c r="O2" s="198">
        <f>ROUND(N(data!C279),0)</f>
        <v>0</v>
      </c>
      <c r="P2" s="198">
        <f>ROUND(N(data!C280),0)</f>
        <v>0</v>
      </c>
      <c r="Q2" s="198">
        <f>ROUND(N(data!C283),0)</f>
        <v>358540</v>
      </c>
      <c r="R2" s="198">
        <f>ROUND(N(data!C284),0)</f>
        <v>719936</v>
      </c>
      <c r="S2" s="198">
        <f>ROUND(N(data!C285),0)</f>
        <v>14700151</v>
      </c>
      <c r="T2" s="198">
        <f>ROUND(N(data!C286),0)</f>
        <v>0</v>
      </c>
      <c r="U2" s="198">
        <f>ROUND(N(data!C287),0)</f>
        <v>7415860</v>
      </c>
      <c r="V2" s="198">
        <f>ROUND(N(data!C288),0)</f>
        <v>9501384</v>
      </c>
      <c r="W2" s="198">
        <f>ROUND(N(data!C289),0)</f>
        <v>0</v>
      </c>
      <c r="X2" s="198">
        <f>ROUND(N(data!C290),0)</f>
        <v>8480832</v>
      </c>
      <c r="Y2" s="198">
        <f>ROUND(N(data!C291),0)</f>
        <v>0</v>
      </c>
      <c r="Z2" s="198">
        <f>ROUND(N(data!C292),0)</f>
        <v>23577290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78151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3550840</v>
      </c>
      <c r="AK2" s="198">
        <f>ROUND(N(data!C316),0)</f>
        <v>4577198</v>
      </c>
      <c r="AL2" s="198">
        <f>ROUND(N(data!C317),0)</f>
        <v>330390</v>
      </c>
      <c r="AM2" s="198">
        <f>ROUND(N(data!C318),0)</f>
        <v>101504</v>
      </c>
      <c r="AN2" s="198">
        <f>ROUND(N(data!C319),0)</f>
        <v>1839702</v>
      </c>
      <c r="AO2" s="198">
        <f>ROUND(N(data!C320),0)</f>
        <v>0</v>
      </c>
      <c r="AP2" s="198">
        <f>ROUND(N(data!C321),0)</f>
        <v>0</v>
      </c>
      <c r="AQ2" s="198">
        <f>ROUND(N(data!C322),0)</f>
        <v>3423</v>
      </c>
      <c r="AR2" s="198">
        <f>ROUND(N(data!C323),0)</f>
        <v>1402225</v>
      </c>
      <c r="AS2" s="198">
        <f>ROUND(N(data!C326),0)</f>
        <v>0</v>
      </c>
      <c r="AT2" s="198">
        <f>ROUND(N(data!C327),0)</f>
        <v>0</v>
      </c>
      <c r="AU2" s="198">
        <f>ROUND(N(data!C328),0)</f>
        <v>960231</v>
      </c>
      <c r="AV2" s="198">
        <f>ROUND(N(data!C331),0)</f>
        <v>0</v>
      </c>
      <c r="AW2" s="198">
        <f>ROUND(N(data!C332),0)</f>
        <v>0</v>
      </c>
      <c r="AX2" s="198">
        <f>ROUND(N(data!C333),0)</f>
        <v>11469808</v>
      </c>
      <c r="AY2" s="198">
        <f>ROUND(N(data!C334),0)</f>
        <v>219460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11438335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184.66</v>
      </c>
      <c r="BL2" s="198">
        <f>ROUND(N(data!C358),0)</f>
        <v>11719687</v>
      </c>
      <c r="BM2" s="198">
        <f>ROUND(N(data!C359),0)</f>
        <v>40654472</v>
      </c>
      <c r="BN2" s="198">
        <f>ROUND(N(data!C363),0)</f>
        <v>18041142</v>
      </c>
      <c r="BO2" s="198">
        <f>ROUND(N(data!C364),0)</f>
        <v>865993</v>
      </c>
      <c r="BP2" s="198">
        <f>ROUND(N(data!C365),0)</f>
        <v>0</v>
      </c>
      <c r="BQ2" s="198">
        <f>ROUND(N(data!D381),0)</f>
        <v>1023066</v>
      </c>
      <c r="BR2" s="198">
        <f>ROUND(N(data!C370),0)</f>
        <v>72913</v>
      </c>
      <c r="BS2" s="198">
        <f>ROUND(N(data!C371),0)</f>
        <v>0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70342</v>
      </c>
      <c r="CA2" s="198">
        <f>ROUND(N(data!C379),0)</f>
        <v>154247</v>
      </c>
      <c r="CB2" s="198">
        <f>ROUND(N(data!C380),0)</f>
        <v>725564</v>
      </c>
      <c r="CC2" s="198">
        <f>ROUND(N(data!C382),0)</f>
        <v>1324830</v>
      </c>
      <c r="CD2" s="198">
        <f>ROUND(N(data!C389),0)</f>
        <v>16280974</v>
      </c>
      <c r="CE2" s="198">
        <f>ROUND(N(data!C390),0)</f>
        <v>3644312</v>
      </c>
      <c r="CF2" s="198">
        <f>ROUND(N(data!C391),0)</f>
        <v>494245</v>
      </c>
      <c r="CG2" s="198">
        <f>ROUND(N(data!C392),0)</f>
        <v>3293377</v>
      </c>
      <c r="CH2" s="198">
        <f>ROUND(N(data!C393),0)</f>
        <v>406162</v>
      </c>
      <c r="CI2" s="198">
        <f>ROUND(N(data!C394),0)</f>
        <v>8382333</v>
      </c>
      <c r="CJ2" s="198">
        <f>ROUND(N(data!C395),0)</f>
        <v>1553195</v>
      </c>
      <c r="CK2" s="198">
        <f>ROUND(N(data!C396),0)</f>
        <v>501290</v>
      </c>
      <c r="CL2" s="198">
        <f>ROUND(N(data!C397),0)</f>
        <v>460775</v>
      </c>
      <c r="CM2" s="198">
        <f>ROUND(N(data!C398),0)</f>
        <v>248689</v>
      </c>
      <c r="CN2" s="198">
        <f>ROUND(N(data!C399),0)</f>
        <v>365138</v>
      </c>
      <c r="CO2" s="198">
        <f>ROUND(N(data!C362),0)</f>
        <v>2368570</v>
      </c>
      <c r="CP2" s="198">
        <f>ROUND(N(data!D415),0)</f>
        <v>1073457</v>
      </c>
      <c r="CQ2" s="52">
        <f>ROUND(N(data!C401),0)</f>
        <v>0</v>
      </c>
      <c r="CR2" s="52">
        <f>ROUND(N(data!C402),0)</f>
        <v>0</v>
      </c>
      <c r="CS2" s="52">
        <f>ROUND(N(data!C403),0)</f>
        <v>41465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507870</v>
      </c>
      <c r="CY2" s="52">
        <f>ROUND(N(data!C409),0)</f>
        <v>0</v>
      </c>
      <c r="CZ2" s="52">
        <f>ROUND(N(data!C410),0)</f>
        <v>58265</v>
      </c>
      <c r="DA2" s="52">
        <f>ROUND(N(data!C411),0)</f>
        <v>111139</v>
      </c>
      <c r="DB2" s="52">
        <f>ROUND(N(data!C412),0)</f>
        <v>0</v>
      </c>
      <c r="DC2" s="52">
        <f>ROUND(N(data!C413),0)</f>
        <v>0</v>
      </c>
      <c r="DD2" s="52">
        <f>ROUND(N(data!C414),0)</f>
        <v>354718</v>
      </c>
      <c r="DE2" s="52">
        <f>ROUND(N(data!C419),0)</f>
        <v>0</v>
      </c>
      <c r="DF2" s="198">
        <f>ROUND(N(data!D420),0)</f>
        <v>894094</v>
      </c>
      <c r="DG2" s="198">
        <f>ROUND(N(data!C422),0)</f>
        <v>0</v>
      </c>
      <c r="DH2" s="198">
        <f>ROUND(N(data!C423),0)</f>
        <v>0</v>
      </c>
    </row>
  </sheetData>
  <sheetProtection algorithmName="SHA-512" hashValue="HAVdw7xTDZwxG70fZB4021IuGR+OsfY7iyj0CNczKbOQVw9o0nANHhCUPk/e+AN1P2+8yAOkz3nJBshnFleQew==" saltValue="LA9o+lKejMN0X9dwIdCoyg==" spinCount="100000" sheet="1" objects="1" scenarios="1"/>
  <pageMargins left="0.7" right="0.7" top="0.75" bottom="0.75" header="0.3" footer="0.3"/>
  <pageSetup orientation="portrait"/>
  <customProperties>
    <customPr name="OrphanNamesChecked" r:id="rId1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1346</v>
      </c>
      <c r="B1" s="12" t="s">
        <v>1347</v>
      </c>
      <c r="C1" s="10" t="s">
        <v>1348</v>
      </c>
      <c r="D1" s="12" t="s">
        <v>1349</v>
      </c>
      <c r="E1" s="10" t="s">
        <v>1350</v>
      </c>
      <c r="F1" s="10" t="s">
        <v>1351</v>
      </c>
      <c r="G1" s="10" t="s">
        <v>1352</v>
      </c>
      <c r="H1" s="10" t="s">
        <v>1353</v>
      </c>
      <c r="I1" s="10" t="s">
        <v>1354</v>
      </c>
      <c r="J1" s="10" t="s">
        <v>1355</v>
      </c>
      <c r="K1" s="10" t="s">
        <v>1356</v>
      </c>
      <c r="L1" s="10" t="s">
        <v>1357</v>
      </c>
      <c r="M1" s="10" t="s">
        <v>1358</v>
      </c>
      <c r="N1" s="10" t="s">
        <v>1359</v>
      </c>
      <c r="O1" s="10" t="s">
        <v>1360</v>
      </c>
      <c r="P1" s="10" t="s">
        <v>1328</v>
      </c>
      <c r="Q1" s="10" t="s">
        <v>1329</v>
      </c>
      <c r="R1" s="10" t="s">
        <v>1330</v>
      </c>
      <c r="S1" s="10" t="s">
        <v>1331</v>
      </c>
      <c r="T1" s="10" t="s">
        <v>1332</v>
      </c>
      <c r="U1" s="10" t="s">
        <v>1333</v>
      </c>
      <c r="V1" s="10" t="s">
        <v>1334</v>
      </c>
      <c r="W1" s="10" t="s">
        <v>1335</v>
      </c>
      <c r="X1" s="10" t="s">
        <v>1336</v>
      </c>
      <c r="Y1" s="10" t="s">
        <v>1337</v>
      </c>
      <c r="Z1" s="10" t="s">
        <v>1338</v>
      </c>
      <c r="AA1" s="10" t="s">
        <v>1339</v>
      </c>
      <c r="AB1" s="10" t="s">
        <v>1340</v>
      </c>
      <c r="AC1" s="10" t="s">
        <v>1341</v>
      </c>
      <c r="AD1" s="10" t="s">
        <v>1361</v>
      </c>
      <c r="AE1" s="10" t="s">
        <v>1362</v>
      </c>
      <c r="AF1" s="10" t="s">
        <v>1363</v>
      </c>
      <c r="AG1" s="10" t="s">
        <v>1364</v>
      </c>
      <c r="AH1" s="10" t="s">
        <v>1365</v>
      </c>
      <c r="AI1" s="10" t="s">
        <v>1366</v>
      </c>
      <c r="AJ1" s="10" t="s">
        <v>1367</v>
      </c>
      <c r="AK1" s="10" t="s">
        <v>1368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107</v>
      </c>
      <c r="B2" s="200" t="str">
        <f>RIGHT(data!$C$96,4)</f>
        <v>2024</v>
      </c>
      <c r="C2" s="12" t="str">
        <f>data!C$55</f>
        <v>6010</v>
      </c>
      <c r="D2" s="12" t="s">
        <v>1162</v>
      </c>
      <c r="E2" s="198">
        <f>ROUND(N(data!C59), 0)</f>
        <v>0</v>
      </c>
      <c r="F2" s="271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271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107</v>
      </c>
      <c r="B3" s="200" t="str">
        <f>RIGHT(data!$C$96,4)</f>
        <v>2024</v>
      </c>
      <c r="C3" s="12" t="str">
        <f>data!D$55</f>
        <v>6030</v>
      </c>
      <c r="D3" s="12" t="s">
        <v>1162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107</v>
      </c>
      <c r="B4" s="200" t="str">
        <f>RIGHT(data!$C$96,4)</f>
        <v>2024</v>
      </c>
      <c r="C4" s="12" t="str">
        <f>data!E$55</f>
        <v>6070</v>
      </c>
      <c r="D4" s="12" t="s">
        <v>1162</v>
      </c>
      <c r="E4" s="198">
        <f>ROUND(N(data!E59), 0)</f>
        <v>665</v>
      </c>
      <c r="F4" s="271">
        <f>ROUND(N(data!E60), 2)</f>
        <v>4.62</v>
      </c>
      <c r="G4" s="198">
        <f>ROUND(N(data!E61), 0)</f>
        <v>532913</v>
      </c>
      <c r="H4" s="198">
        <f>ROUND(N(data!E62), 0)</f>
        <v>119287</v>
      </c>
      <c r="I4" s="198">
        <f>ROUND(N(data!E63), 0)</f>
        <v>0</v>
      </c>
      <c r="J4" s="198">
        <f>ROUND(N(data!E64), 0)</f>
        <v>10857</v>
      </c>
      <c r="K4" s="198">
        <f>ROUND(N(data!E65), 0)</f>
        <v>0</v>
      </c>
      <c r="L4" s="198">
        <f>ROUND(N(data!E66), 0)</f>
        <v>366695</v>
      </c>
      <c r="M4" s="198">
        <f>ROUND(N(data!E67), 0)</f>
        <v>30067</v>
      </c>
      <c r="N4" s="198">
        <f>ROUND(N(data!E68), 0)</f>
        <v>3804</v>
      </c>
      <c r="O4" s="198">
        <f>ROUND(N(data!E69), 0)</f>
        <v>15072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6633</v>
      </c>
      <c r="X4" s="198">
        <f>ROUND(N(data!E78), 0)</f>
        <v>0</v>
      </c>
      <c r="Y4" s="198">
        <f>ROUND(N(data!E79), 0)</f>
        <v>0</v>
      </c>
      <c r="Z4" s="198">
        <f>ROUND(N(data!E80), 0)</f>
        <v>6961</v>
      </c>
      <c r="AA4" s="198">
        <f>ROUND(N(data!E81), 0)</f>
        <v>0</v>
      </c>
      <c r="AB4" s="198">
        <f>ROUND(N(data!E82), 0)</f>
        <v>0</v>
      </c>
      <c r="AC4" s="198">
        <f>ROUND(N(data!E83), 0)</f>
        <v>1478</v>
      </c>
      <c r="AD4" s="198">
        <f>ROUND(N(data!E84), 0)</f>
        <v>0</v>
      </c>
      <c r="AE4" s="198">
        <f>ROUND(N(data!E89), 0)</f>
        <v>1941763</v>
      </c>
      <c r="AF4" s="198">
        <f>ROUND(N(data!E87), 0)</f>
        <v>1941763</v>
      </c>
      <c r="AG4" s="198">
        <f>ROUND(N(data!E90), 0)</f>
        <v>1841</v>
      </c>
      <c r="AH4" s="198">
        <f>ROUND(N(data!E91), 0)</f>
        <v>2078</v>
      </c>
      <c r="AI4" s="198">
        <f>ROUND(N(data!E92), 0)</f>
        <v>600</v>
      </c>
      <c r="AJ4" s="198">
        <f>ROUND(N(data!E93), 0)</f>
        <v>11208</v>
      </c>
      <c r="AK4" s="271">
        <f>ROUND(N(data!E94), 2)</f>
        <v>3.92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107</v>
      </c>
      <c r="B5" s="200" t="str">
        <f>RIGHT(data!$C$96,4)</f>
        <v>2024</v>
      </c>
      <c r="C5" s="12" t="str">
        <f>data!F$55</f>
        <v>6100</v>
      </c>
      <c r="D5" s="12" t="s">
        <v>1162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107</v>
      </c>
      <c r="B6" s="200" t="str">
        <f>RIGHT(data!$C$96,4)</f>
        <v>2024</v>
      </c>
      <c r="C6" s="12" t="str">
        <f>data!G$55</f>
        <v>6120</v>
      </c>
      <c r="D6" s="12" t="s">
        <v>1162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107</v>
      </c>
      <c r="B7" s="200" t="str">
        <f>RIGHT(data!$C$96,4)</f>
        <v>2024</v>
      </c>
      <c r="C7" s="12" t="str">
        <f>data!H$55</f>
        <v>6140</v>
      </c>
      <c r="D7" s="12" t="s">
        <v>1162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107</v>
      </c>
      <c r="B8" s="200" t="str">
        <f>RIGHT(data!$C$96,4)</f>
        <v>2024</v>
      </c>
      <c r="C8" s="12" t="str">
        <f>data!I$55</f>
        <v>6150</v>
      </c>
      <c r="D8" s="12" t="s">
        <v>1162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107</v>
      </c>
      <c r="B9" s="200" t="str">
        <f>RIGHT(data!$C$96,4)</f>
        <v>2024</v>
      </c>
      <c r="C9" s="12" t="str">
        <f>data!J$55</f>
        <v>6170</v>
      </c>
      <c r="D9" s="12" t="s">
        <v>1162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107</v>
      </c>
      <c r="B10" s="200" t="str">
        <f>RIGHT(data!$C$96,4)</f>
        <v>2024</v>
      </c>
      <c r="C10" s="12" t="str">
        <f>data!K$55</f>
        <v>6200</v>
      </c>
      <c r="D10" s="12" t="s">
        <v>1162</v>
      </c>
      <c r="E10" s="198">
        <f>ROUND(N(data!K59), 0)</f>
        <v>13849</v>
      </c>
      <c r="F10" s="271">
        <f>ROUND(N(data!K60), 2)</f>
        <v>32.08</v>
      </c>
      <c r="G10" s="198">
        <f>ROUND(N(data!K61), 0)</f>
        <v>2326573</v>
      </c>
      <c r="H10" s="198">
        <f>ROUND(N(data!K62), 0)</f>
        <v>520777</v>
      </c>
      <c r="I10" s="198">
        <f>ROUND(N(data!K63), 0)</f>
        <v>75246</v>
      </c>
      <c r="J10" s="198">
        <f>ROUND(N(data!K64), 0)</f>
        <v>159124</v>
      </c>
      <c r="K10" s="198">
        <f>ROUND(N(data!K65), 0)</f>
        <v>32255</v>
      </c>
      <c r="L10" s="198">
        <f>ROUND(N(data!K66), 0)</f>
        <v>1102621</v>
      </c>
      <c r="M10" s="198">
        <f>ROUND(N(data!K67), 0)</f>
        <v>276251</v>
      </c>
      <c r="N10" s="198">
        <f>ROUND(N(data!K68), 0)</f>
        <v>186</v>
      </c>
      <c r="O10" s="198">
        <f>ROUND(N(data!K69), 0)</f>
        <v>48945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4593</v>
      </c>
      <c r="X10" s="198">
        <f>ROUND(N(data!K78), 0)</f>
        <v>0</v>
      </c>
      <c r="Y10" s="198">
        <f>ROUND(N(data!K79), 0)</f>
        <v>0</v>
      </c>
      <c r="Z10" s="198">
        <f>ROUND(N(data!K80), 0)</f>
        <v>1628</v>
      </c>
      <c r="AA10" s="198">
        <f>ROUND(N(data!K81), 0)</f>
        <v>0</v>
      </c>
      <c r="AB10" s="198">
        <f>ROUND(N(data!K82), 0)</f>
        <v>0</v>
      </c>
      <c r="AC10" s="198">
        <f>ROUND(N(data!K83), 0)</f>
        <v>42724</v>
      </c>
      <c r="AD10" s="198">
        <f>ROUND(N(data!K84), 0)</f>
        <v>12</v>
      </c>
      <c r="AE10" s="198">
        <f>ROUND(N(data!K89), 0)</f>
        <v>4901213</v>
      </c>
      <c r="AF10" s="198">
        <f>ROUND(N(data!K87), 0)</f>
        <v>4901213</v>
      </c>
      <c r="AG10" s="198">
        <f>ROUND(N(data!K90), 0)</f>
        <v>16915</v>
      </c>
      <c r="AH10" s="198">
        <f>ROUND(N(data!K91), 0)</f>
        <v>40588</v>
      </c>
      <c r="AI10" s="198">
        <f>ROUND(N(data!K92), 0)</f>
        <v>0</v>
      </c>
      <c r="AJ10" s="198">
        <f>ROUND(N(data!K93), 0)</f>
        <v>160075</v>
      </c>
      <c r="AK10" s="271">
        <f>ROUND(N(data!K94), 2)</f>
        <v>27.53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107</v>
      </c>
      <c r="B11" s="200" t="str">
        <f>RIGHT(data!$C$96,4)</f>
        <v>2024</v>
      </c>
      <c r="C11" s="12" t="str">
        <f>data!L$55</f>
        <v>6210</v>
      </c>
      <c r="D11" s="12" t="s">
        <v>1162</v>
      </c>
      <c r="E11" s="198">
        <f>ROUND(N(data!L59), 0)</f>
        <v>1812</v>
      </c>
      <c r="F11" s="271">
        <f>ROUND(N(data!L60), 2)</f>
        <v>12.59</v>
      </c>
      <c r="G11" s="198">
        <f>ROUND(N(data!L61), 0)</f>
        <v>1452088</v>
      </c>
      <c r="H11" s="198">
        <f>ROUND(N(data!L62), 0)</f>
        <v>325033</v>
      </c>
      <c r="I11" s="198">
        <f>ROUND(N(data!L63), 0)</f>
        <v>0</v>
      </c>
      <c r="J11" s="198">
        <f>ROUND(N(data!L64), 0)</f>
        <v>29584</v>
      </c>
      <c r="K11" s="198">
        <f>ROUND(N(data!L65), 0)</f>
        <v>0</v>
      </c>
      <c r="L11" s="198">
        <f>ROUND(N(data!L66), 0)</f>
        <v>999174</v>
      </c>
      <c r="M11" s="198">
        <f>ROUND(N(data!L67), 0)</f>
        <v>81920</v>
      </c>
      <c r="N11" s="198">
        <f>ROUND(N(data!L68), 0)</f>
        <v>10364</v>
      </c>
      <c r="O11" s="198">
        <f>ROUND(N(data!L69), 0)</f>
        <v>41069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18073</v>
      </c>
      <c r="X11" s="198">
        <f>ROUND(N(data!L78), 0)</f>
        <v>0</v>
      </c>
      <c r="Y11" s="198">
        <f>ROUND(N(data!L79), 0)</f>
        <v>0</v>
      </c>
      <c r="Z11" s="198">
        <f>ROUND(N(data!L80), 0)</f>
        <v>18968</v>
      </c>
      <c r="AA11" s="198">
        <f>ROUND(N(data!L81), 0)</f>
        <v>0</v>
      </c>
      <c r="AB11" s="198">
        <f>ROUND(N(data!L82), 0)</f>
        <v>0</v>
      </c>
      <c r="AC11" s="198">
        <f>ROUND(N(data!L83), 0)</f>
        <v>4028</v>
      </c>
      <c r="AD11" s="198">
        <f>ROUND(N(data!L84), 0)</f>
        <v>0</v>
      </c>
      <c r="AE11" s="198">
        <f>ROUND(N(data!L89), 0)</f>
        <v>2326897</v>
      </c>
      <c r="AF11" s="198">
        <f>ROUND(N(data!L87), 0)</f>
        <v>2326897</v>
      </c>
      <c r="AG11" s="198">
        <f>ROUND(N(data!L90), 0)</f>
        <v>5016</v>
      </c>
      <c r="AH11" s="198">
        <f>ROUND(N(data!L91), 0)</f>
        <v>4854</v>
      </c>
      <c r="AI11" s="198">
        <f>ROUND(N(data!L92), 0)</f>
        <v>1636</v>
      </c>
      <c r="AJ11" s="198">
        <f>ROUND(N(data!L93), 0)</f>
        <v>30540</v>
      </c>
      <c r="AK11" s="271">
        <f>ROUND(N(data!L94), 2)</f>
        <v>10.68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107</v>
      </c>
      <c r="B12" s="200" t="str">
        <f>RIGHT(data!$C$96,4)</f>
        <v>2024</v>
      </c>
      <c r="C12" s="12" t="str">
        <f>data!M$55</f>
        <v>6330</v>
      </c>
      <c r="D12" s="12" t="s">
        <v>1162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107</v>
      </c>
      <c r="B13" s="200" t="str">
        <f>RIGHT(data!$C$96,4)</f>
        <v>2024</v>
      </c>
      <c r="C13" s="12" t="str">
        <f>data!N$55</f>
        <v>6400</v>
      </c>
      <c r="D13" s="12" t="s">
        <v>1162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107</v>
      </c>
      <c r="B14" s="200" t="str">
        <f>RIGHT(data!$C$96,4)</f>
        <v>2024</v>
      </c>
      <c r="C14" s="12" t="str">
        <f>data!O$55</f>
        <v>7010</v>
      </c>
      <c r="D14" s="12" t="s">
        <v>1162</v>
      </c>
      <c r="E14" s="198">
        <f>ROUND(N(data!O59), 0)</f>
        <v>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107</v>
      </c>
      <c r="B15" s="200" t="str">
        <f>RIGHT(data!$C$96,4)</f>
        <v>2024</v>
      </c>
      <c r="C15" s="12" t="str">
        <f>data!P$55</f>
        <v>7020</v>
      </c>
      <c r="D15" s="12" t="s">
        <v>1162</v>
      </c>
      <c r="E15" s="198">
        <f>ROUND(N(data!P59), 0)</f>
        <v>6483</v>
      </c>
      <c r="F15" s="271">
        <f>ROUND(N(data!P60), 2)</f>
        <v>2.79</v>
      </c>
      <c r="G15" s="198">
        <f>ROUND(N(data!P61), 0)</f>
        <v>611680</v>
      </c>
      <c r="H15" s="198">
        <f>ROUND(N(data!P62), 0)</f>
        <v>136918</v>
      </c>
      <c r="I15" s="198">
        <f>ROUND(N(data!P63), 0)</f>
        <v>0</v>
      </c>
      <c r="J15" s="198">
        <f>ROUND(N(data!P64), 0)</f>
        <v>31392</v>
      </c>
      <c r="K15" s="198">
        <f>ROUND(N(data!P65), 0)</f>
        <v>0</v>
      </c>
      <c r="L15" s="198">
        <f>ROUND(N(data!P66), 0)</f>
        <v>13665</v>
      </c>
      <c r="M15" s="198">
        <f>ROUND(N(data!P67), 0)</f>
        <v>47150</v>
      </c>
      <c r="N15" s="198">
        <f>ROUND(N(data!P68), 0)</f>
        <v>71</v>
      </c>
      <c r="O15" s="198">
        <f>ROUND(N(data!P69), 0)</f>
        <v>15874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15874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0</v>
      </c>
      <c r="AD15" s="198">
        <f>ROUND(N(data!P84), 0)</f>
        <v>0</v>
      </c>
      <c r="AE15" s="198">
        <f>ROUND(N(data!P89), 0)</f>
        <v>621578</v>
      </c>
      <c r="AF15" s="198">
        <f>ROUND(N(data!P87), 0)</f>
        <v>7628</v>
      </c>
      <c r="AG15" s="198">
        <f>ROUND(N(data!P90), 0)</f>
        <v>2887</v>
      </c>
      <c r="AH15" s="198">
        <f>ROUND(N(data!P91), 0)</f>
        <v>0</v>
      </c>
      <c r="AI15" s="198">
        <f>ROUND(N(data!P92), 0)</f>
        <v>288</v>
      </c>
      <c r="AJ15" s="198">
        <f>ROUND(N(data!P93), 0)</f>
        <v>2114</v>
      </c>
      <c r="AK15" s="271">
        <f>ROUND(N(data!P94), 2)</f>
        <v>1.1399999999999999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107</v>
      </c>
      <c r="B16" s="200" t="str">
        <f>RIGHT(data!$C$96,4)</f>
        <v>2024</v>
      </c>
      <c r="C16" s="12" t="str">
        <f>data!Q$55</f>
        <v>7030</v>
      </c>
      <c r="D16" s="12" t="s">
        <v>1162</v>
      </c>
      <c r="E16" s="198">
        <f>ROUND(N(data!Q59), 0)</f>
        <v>329</v>
      </c>
      <c r="F16" s="271">
        <f>ROUND(N(data!Q60), 2)</f>
        <v>0.03</v>
      </c>
      <c r="G16" s="198">
        <f>ROUND(N(data!Q61), 0)</f>
        <v>4463</v>
      </c>
      <c r="H16" s="198">
        <f>ROUND(N(data!Q62), 0)</f>
        <v>999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63</v>
      </c>
      <c r="M16" s="198">
        <f>ROUND(N(data!Q67), 0)</f>
        <v>11677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11325</v>
      </c>
      <c r="AF16" s="198">
        <f>ROUND(N(data!Q87), 0)</f>
        <v>0</v>
      </c>
      <c r="AG16" s="198">
        <f>ROUND(N(data!Q90), 0)</f>
        <v>715</v>
      </c>
      <c r="AH16" s="198">
        <f>ROUND(N(data!Q91), 0)</f>
        <v>0</v>
      </c>
      <c r="AI16" s="198">
        <f>ROUND(N(data!Q92), 0)</f>
        <v>51</v>
      </c>
      <c r="AJ16" s="198">
        <f>ROUND(N(data!Q93), 0)</f>
        <v>0</v>
      </c>
      <c r="AK16" s="271">
        <f>ROUND(N(data!Q94), 2)</f>
        <v>0.03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107</v>
      </c>
      <c r="B17" s="200" t="str">
        <f>RIGHT(data!$C$96,4)</f>
        <v>2024</v>
      </c>
      <c r="C17" s="12" t="str">
        <f>data!R$55</f>
        <v>7040</v>
      </c>
      <c r="D17" s="12" t="s">
        <v>1162</v>
      </c>
      <c r="E17" s="198">
        <f>ROUND(N(data!R59), 0)</f>
        <v>545</v>
      </c>
      <c r="F17" s="271">
        <f>ROUND(N(data!R60), 2)</f>
        <v>0.12</v>
      </c>
      <c r="G17" s="198">
        <f>ROUND(N(data!R61), 0)</f>
        <v>52583</v>
      </c>
      <c r="H17" s="198">
        <f>ROUND(N(data!R62), 0)</f>
        <v>11770</v>
      </c>
      <c r="I17" s="198">
        <f>ROUND(N(data!R63), 0)</f>
        <v>0</v>
      </c>
      <c r="J17" s="198">
        <f>ROUND(N(data!R64), 0)</f>
        <v>826</v>
      </c>
      <c r="K17" s="198">
        <f>ROUND(N(data!R65), 0)</f>
        <v>0</v>
      </c>
      <c r="L17" s="198">
        <f>ROUND(N(data!R66), 0)</f>
        <v>762</v>
      </c>
      <c r="M17" s="198">
        <f>ROUND(N(data!R67), 0)</f>
        <v>9668</v>
      </c>
      <c r="N17" s="198">
        <f>ROUND(N(data!R68), 0)</f>
        <v>0</v>
      </c>
      <c r="O17" s="198">
        <f>ROUND(N(data!R69), 0)</f>
        <v>6074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6074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48046</v>
      </c>
      <c r="AF17" s="198">
        <f>ROUND(N(data!R87), 0)</f>
        <v>0</v>
      </c>
      <c r="AG17" s="198">
        <f>ROUND(N(data!R90), 0)</f>
        <v>592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107</v>
      </c>
      <c r="B18" s="200" t="str">
        <f>RIGHT(data!$C$96,4)</f>
        <v>2024</v>
      </c>
      <c r="C18" s="12" t="str">
        <f>data!S$55</f>
        <v>7050</v>
      </c>
      <c r="D18" s="12" t="s">
        <v>1162</v>
      </c>
      <c r="E18" s="198">
        <f>ROUND(N(data!S59), 0)</f>
        <v>0</v>
      </c>
      <c r="F18" s="271">
        <f>ROUND(N(data!S60), 2)</f>
        <v>0.91</v>
      </c>
      <c r="G18" s="198">
        <f>ROUND(N(data!S61), 0)</f>
        <v>47732</v>
      </c>
      <c r="H18" s="198">
        <f>ROUND(N(data!S62), 0)</f>
        <v>10684</v>
      </c>
      <c r="I18" s="198">
        <f>ROUND(N(data!S63), 0)</f>
        <v>0</v>
      </c>
      <c r="J18" s="198">
        <f>ROUND(N(data!S64), 0)</f>
        <v>0</v>
      </c>
      <c r="K18" s="198">
        <f>ROUND(N(data!S65), 0)</f>
        <v>0</v>
      </c>
      <c r="L18" s="198">
        <f>ROUND(N(data!S66), 0)</f>
        <v>0</v>
      </c>
      <c r="M18" s="198">
        <f>ROUND(N(data!S67), 0)</f>
        <v>12804</v>
      </c>
      <c r="N18" s="198">
        <f>ROUND(N(data!S68), 0)</f>
        <v>0</v>
      </c>
      <c r="O18" s="198">
        <f>ROUND(N(data!S69), 0)</f>
        <v>0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1135632</v>
      </c>
      <c r="AF18" s="198">
        <f>ROUND(N(data!S87), 0)</f>
        <v>400322</v>
      </c>
      <c r="AG18" s="198">
        <f>ROUND(N(data!S90), 0)</f>
        <v>784</v>
      </c>
      <c r="AH18" s="198">
        <f>ROUND(N(data!S91), 0)</f>
        <v>0</v>
      </c>
      <c r="AI18" s="198">
        <f>ROUND(N(data!S92), 0)</f>
        <v>69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107</v>
      </c>
      <c r="B19" s="200" t="str">
        <f>RIGHT(data!$C$96,4)</f>
        <v>2024</v>
      </c>
      <c r="C19" s="12" t="str">
        <f>data!T$55</f>
        <v>7060</v>
      </c>
      <c r="D19" s="12" t="s">
        <v>1162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107</v>
      </c>
      <c r="B20" s="200" t="str">
        <f>RIGHT(data!$C$96,4)</f>
        <v>2024</v>
      </c>
      <c r="C20" s="12" t="str">
        <f>data!U$55</f>
        <v>7070</v>
      </c>
      <c r="D20" s="12" t="s">
        <v>1162</v>
      </c>
      <c r="E20" s="198">
        <f>ROUND(N(data!U59), 0)</f>
        <v>42279</v>
      </c>
      <c r="F20" s="271">
        <f>ROUND(N(data!U60), 2)</f>
        <v>6.95</v>
      </c>
      <c r="G20" s="198">
        <f>ROUND(N(data!U61), 0)</f>
        <v>512322</v>
      </c>
      <c r="H20" s="198">
        <f>ROUND(N(data!U62), 0)</f>
        <v>114677</v>
      </c>
      <c r="I20" s="198">
        <f>ROUND(N(data!U63), 0)</f>
        <v>597</v>
      </c>
      <c r="J20" s="198">
        <f>ROUND(N(data!U64), 0)</f>
        <v>605507</v>
      </c>
      <c r="K20" s="198">
        <f>ROUND(N(data!U65), 0)</f>
        <v>0</v>
      </c>
      <c r="L20" s="198">
        <f>ROUND(N(data!U66), 0)</f>
        <v>263187</v>
      </c>
      <c r="M20" s="198">
        <f>ROUND(N(data!U67), 0)</f>
        <v>35015</v>
      </c>
      <c r="N20" s="198">
        <f>ROUND(N(data!U68), 0)</f>
        <v>0</v>
      </c>
      <c r="O20" s="198">
        <f>ROUND(N(data!U69), 0)</f>
        <v>71545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71241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304</v>
      </c>
      <c r="AD20" s="198">
        <f>ROUND(N(data!U84), 0)</f>
        <v>0</v>
      </c>
      <c r="AE20" s="198">
        <f>ROUND(N(data!U89), 0)</f>
        <v>3819375</v>
      </c>
      <c r="AF20" s="198">
        <f>ROUND(N(data!U87), 0)</f>
        <v>451716</v>
      </c>
      <c r="AG20" s="198">
        <f>ROUND(N(data!U90), 0)</f>
        <v>2144</v>
      </c>
      <c r="AH20" s="198">
        <f>ROUND(N(data!U91), 0)</f>
        <v>0</v>
      </c>
      <c r="AI20" s="198">
        <f>ROUND(N(data!U92), 0)</f>
        <v>148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107</v>
      </c>
      <c r="B21" s="200" t="str">
        <f>RIGHT(data!$C$96,4)</f>
        <v>2024</v>
      </c>
      <c r="C21" s="12" t="str">
        <f>data!V$55</f>
        <v>7110</v>
      </c>
      <c r="D21" s="12" t="s">
        <v>1162</v>
      </c>
      <c r="E21" s="198">
        <f>ROUND(N(data!V59), 0)</f>
        <v>2886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245719</v>
      </c>
      <c r="AF21" s="198">
        <f>ROUND(N(data!V87), 0)</f>
        <v>6582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107</v>
      </c>
      <c r="B22" s="200" t="str">
        <f>RIGHT(data!$C$96,4)</f>
        <v>2024</v>
      </c>
      <c r="C22" s="12" t="str">
        <f>data!W$55</f>
        <v>7120</v>
      </c>
      <c r="D22" s="12" t="s">
        <v>1162</v>
      </c>
      <c r="E22" s="198">
        <f>ROUND(N(data!W59), 0)</f>
        <v>421</v>
      </c>
      <c r="F22" s="271">
        <f>ROUND(N(data!W60), 2)</f>
        <v>0.25</v>
      </c>
      <c r="G22" s="198">
        <f>ROUND(N(data!W61), 0)</f>
        <v>33146</v>
      </c>
      <c r="H22" s="198">
        <f>ROUND(N(data!W62), 0)</f>
        <v>7419</v>
      </c>
      <c r="I22" s="198">
        <f>ROUND(N(data!W63), 0)</f>
        <v>30</v>
      </c>
      <c r="J22" s="198">
        <f>ROUND(N(data!W64), 0)</f>
        <v>673</v>
      </c>
      <c r="K22" s="198">
        <f>ROUND(N(data!W65), 0)</f>
        <v>0</v>
      </c>
      <c r="L22" s="198">
        <f>ROUND(N(data!W66), 0)</f>
        <v>54571</v>
      </c>
      <c r="M22" s="198">
        <f>ROUND(N(data!W67), 0)</f>
        <v>2531</v>
      </c>
      <c r="N22" s="198">
        <f>ROUND(N(data!W68), 0)</f>
        <v>8212</v>
      </c>
      <c r="O22" s="198">
        <f>ROUND(N(data!W69), 0)</f>
        <v>6194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6035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159</v>
      </c>
      <c r="AD22" s="198">
        <f>ROUND(N(data!W84), 0)</f>
        <v>0</v>
      </c>
      <c r="AE22" s="198">
        <f>ROUND(N(data!W89), 0)</f>
        <v>422989</v>
      </c>
      <c r="AF22" s="198">
        <f>ROUND(N(data!W87), 0)</f>
        <v>7834</v>
      </c>
      <c r="AG22" s="198">
        <f>ROUND(N(data!W90), 0)</f>
        <v>155</v>
      </c>
      <c r="AH22" s="198">
        <f>ROUND(N(data!W91), 0)</f>
        <v>0</v>
      </c>
      <c r="AI22" s="198">
        <f>ROUND(N(data!W92), 0)</f>
        <v>12</v>
      </c>
      <c r="AJ22" s="198">
        <f>ROUND(N(data!W93), 0)</f>
        <v>396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107</v>
      </c>
      <c r="B23" s="200" t="str">
        <f>RIGHT(data!$C$96,4)</f>
        <v>2024</v>
      </c>
      <c r="C23" s="12" t="str">
        <f>data!X$55</f>
        <v>7130</v>
      </c>
      <c r="D23" s="12" t="s">
        <v>1162</v>
      </c>
      <c r="E23" s="198">
        <f>ROUND(N(data!X59), 0)</f>
        <v>2745</v>
      </c>
      <c r="F23" s="271">
        <f>ROUND(N(data!X60), 2)</f>
        <v>1.62</v>
      </c>
      <c r="G23" s="198">
        <f>ROUND(N(data!X61), 0)</f>
        <v>216117</v>
      </c>
      <c r="H23" s="198">
        <f>ROUND(N(data!X62), 0)</f>
        <v>48375</v>
      </c>
      <c r="I23" s="198">
        <f>ROUND(N(data!X63), 0)</f>
        <v>196</v>
      </c>
      <c r="J23" s="198">
        <f>ROUND(N(data!X64), 0)</f>
        <v>4387</v>
      </c>
      <c r="K23" s="198">
        <f>ROUND(N(data!X65), 0)</f>
        <v>0</v>
      </c>
      <c r="L23" s="198">
        <f>ROUND(N(data!X66), 0)</f>
        <v>355813</v>
      </c>
      <c r="M23" s="198">
        <f>ROUND(N(data!X67), 0)</f>
        <v>16544</v>
      </c>
      <c r="N23" s="198">
        <f>ROUND(N(data!X68), 0)</f>
        <v>53542</v>
      </c>
      <c r="O23" s="198">
        <f>ROUND(N(data!X69), 0)</f>
        <v>40388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39350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1038</v>
      </c>
      <c r="AD23" s="198">
        <f>ROUND(N(data!X84), 0)</f>
        <v>0</v>
      </c>
      <c r="AE23" s="198">
        <f>ROUND(N(data!X89), 0)</f>
        <v>2757970</v>
      </c>
      <c r="AF23" s="198">
        <f>ROUND(N(data!X87), 0)</f>
        <v>51078</v>
      </c>
      <c r="AG23" s="198">
        <f>ROUND(N(data!X90), 0)</f>
        <v>1013</v>
      </c>
      <c r="AH23" s="198">
        <f>ROUND(N(data!X91), 0)</f>
        <v>0</v>
      </c>
      <c r="AI23" s="198">
        <f>ROUND(N(data!X92), 0)</f>
        <v>77</v>
      </c>
      <c r="AJ23" s="198">
        <f>ROUND(N(data!X93), 0)</f>
        <v>2582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107</v>
      </c>
      <c r="B24" s="200" t="str">
        <f>RIGHT(data!$C$96,4)</f>
        <v>2024</v>
      </c>
      <c r="C24" s="12" t="str">
        <f>data!Y$55</f>
        <v>7140</v>
      </c>
      <c r="D24" s="12" t="s">
        <v>1162</v>
      </c>
      <c r="E24" s="198">
        <f>ROUND(N(data!Y59), 0)</f>
        <v>6645</v>
      </c>
      <c r="F24" s="271">
        <f>ROUND(N(data!Y60), 2)</f>
        <v>3.91</v>
      </c>
      <c r="G24" s="198">
        <f>ROUND(N(data!Y61), 0)</f>
        <v>523168</v>
      </c>
      <c r="H24" s="198">
        <f>ROUND(N(data!Y62), 0)</f>
        <v>117105</v>
      </c>
      <c r="I24" s="198">
        <f>ROUND(N(data!Y63), 0)</f>
        <v>474</v>
      </c>
      <c r="J24" s="198">
        <f>ROUND(N(data!Y64), 0)</f>
        <v>10619</v>
      </c>
      <c r="K24" s="198">
        <f>ROUND(N(data!Y65), 0)</f>
        <v>0</v>
      </c>
      <c r="L24" s="198">
        <f>ROUND(N(data!Y66), 0)</f>
        <v>861340</v>
      </c>
      <c r="M24" s="198">
        <f>ROUND(N(data!Y67), 0)</f>
        <v>40029</v>
      </c>
      <c r="N24" s="198">
        <f>ROUND(N(data!Y68), 0)</f>
        <v>129612</v>
      </c>
      <c r="O24" s="198">
        <f>ROUND(N(data!Y69), 0)</f>
        <v>97769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95256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2513</v>
      </c>
      <c r="AD24" s="198">
        <f>ROUND(N(data!Y84), 0)</f>
        <v>0</v>
      </c>
      <c r="AE24" s="198">
        <f>ROUND(N(data!Y89), 0)</f>
        <v>6676401</v>
      </c>
      <c r="AF24" s="198">
        <f>ROUND(N(data!Y87), 0)</f>
        <v>123651</v>
      </c>
      <c r="AG24" s="198">
        <f>ROUND(N(data!Y90), 0)</f>
        <v>2451</v>
      </c>
      <c r="AH24" s="198">
        <f>ROUND(N(data!Y91), 0)</f>
        <v>0</v>
      </c>
      <c r="AI24" s="198">
        <f>ROUND(N(data!Y92), 0)</f>
        <v>190</v>
      </c>
      <c r="AJ24" s="198">
        <f>ROUND(N(data!Y93), 0)</f>
        <v>6251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107</v>
      </c>
      <c r="B25" s="200" t="str">
        <f>RIGHT(data!$C$96,4)</f>
        <v>2024</v>
      </c>
      <c r="C25" s="12" t="str">
        <f>data!Z$55</f>
        <v>7150</v>
      </c>
      <c r="D25" s="12" t="s">
        <v>1162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107</v>
      </c>
      <c r="B26" s="200" t="str">
        <f>RIGHT(data!$C$96,4)</f>
        <v>2024</v>
      </c>
      <c r="C26" s="12" t="str">
        <f>data!AA$55</f>
        <v>7160</v>
      </c>
      <c r="D26" s="12" t="s">
        <v>1162</v>
      </c>
      <c r="E26" s="198">
        <f>ROUND(N(data!AA59), 0)</f>
        <v>0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107</v>
      </c>
      <c r="B27" s="200" t="str">
        <f>RIGHT(data!$C$96,4)</f>
        <v>2024</v>
      </c>
      <c r="C27" s="12" t="str">
        <f>data!AB$55</f>
        <v>7170</v>
      </c>
      <c r="D27" s="12" t="s">
        <v>1162</v>
      </c>
      <c r="E27" s="198">
        <f>ROUND(N(data!AB59), 0)</f>
        <v>0</v>
      </c>
      <c r="F27" s="271">
        <f>ROUND(N(data!AB60), 2)</f>
        <v>0.84</v>
      </c>
      <c r="G27" s="198">
        <f>ROUND(N(data!AB61), 0)</f>
        <v>67391</v>
      </c>
      <c r="H27" s="198">
        <f>ROUND(N(data!AB62), 0)</f>
        <v>15085</v>
      </c>
      <c r="I27" s="198">
        <f>ROUND(N(data!AB63), 0)</f>
        <v>0</v>
      </c>
      <c r="J27" s="198">
        <f>ROUND(N(data!AB64), 0)</f>
        <v>1359273</v>
      </c>
      <c r="K27" s="198">
        <f>ROUND(N(data!AB65), 0)</f>
        <v>0</v>
      </c>
      <c r="L27" s="198">
        <f>ROUND(N(data!AB66), 0)</f>
        <v>154218</v>
      </c>
      <c r="M27" s="198">
        <f>ROUND(N(data!AB67), 0)</f>
        <v>15384</v>
      </c>
      <c r="N27" s="198">
        <f>ROUND(N(data!AB68), 0)</f>
        <v>83871</v>
      </c>
      <c r="O27" s="198">
        <f>ROUND(N(data!AB69), 0)</f>
        <v>15068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1560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13508</v>
      </c>
      <c r="AD27" s="198">
        <f>ROUND(N(data!AB84), 0)</f>
        <v>0</v>
      </c>
      <c r="AE27" s="198">
        <f>ROUND(N(data!AB89), 0)</f>
        <v>4874639</v>
      </c>
      <c r="AF27" s="198">
        <f>ROUND(N(data!AB87), 0)</f>
        <v>543143</v>
      </c>
      <c r="AG27" s="198">
        <f>ROUND(N(data!AB90), 0)</f>
        <v>942</v>
      </c>
      <c r="AH27" s="198">
        <f>ROUND(N(data!AB91), 0)</f>
        <v>0</v>
      </c>
      <c r="AI27" s="198">
        <f>ROUND(N(data!AB92), 0)</f>
        <v>0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107</v>
      </c>
      <c r="B28" s="200" t="str">
        <f>RIGHT(data!$C$96,4)</f>
        <v>2024</v>
      </c>
      <c r="C28" s="12" t="str">
        <f>data!AC$55</f>
        <v>7180</v>
      </c>
      <c r="D28" s="12" t="s">
        <v>1162</v>
      </c>
      <c r="E28" s="198">
        <f>ROUND(N(data!AC59), 0)</f>
        <v>1656</v>
      </c>
      <c r="F28" s="271">
        <f>ROUND(N(data!AC60), 2)</f>
        <v>0.93</v>
      </c>
      <c r="G28" s="198">
        <f>ROUND(N(data!AC61), 0)</f>
        <v>128074</v>
      </c>
      <c r="H28" s="198">
        <f>ROUND(N(data!AC62), 0)</f>
        <v>28668</v>
      </c>
      <c r="I28" s="198">
        <f>ROUND(N(data!AC63), 0)</f>
        <v>0</v>
      </c>
      <c r="J28" s="198">
        <f>ROUND(N(data!AC64), 0)</f>
        <v>1840</v>
      </c>
      <c r="K28" s="198">
        <f>ROUND(N(data!AC65), 0)</f>
        <v>0</v>
      </c>
      <c r="L28" s="198">
        <f>ROUND(N(data!AC66), 0)</f>
        <v>56096</v>
      </c>
      <c r="M28" s="198">
        <f>ROUND(N(data!AC67), 0)</f>
        <v>2809</v>
      </c>
      <c r="N28" s="198">
        <f>ROUND(N(data!AC68), 0)</f>
        <v>0</v>
      </c>
      <c r="O28" s="198">
        <f>ROUND(N(data!AC69), 0)</f>
        <v>5654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5654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775425</v>
      </c>
      <c r="AF28" s="198">
        <f>ROUND(N(data!AC87), 0)</f>
        <v>108435</v>
      </c>
      <c r="AG28" s="198">
        <f>ROUND(N(data!AC90), 0)</f>
        <v>172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107</v>
      </c>
      <c r="B29" s="200" t="str">
        <f>RIGHT(data!$C$96,4)</f>
        <v>2024</v>
      </c>
      <c r="C29" s="12" t="str">
        <f>data!AD$55</f>
        <v>7190</v>
      </c>
      <c r="D29" s="12" t="s">
        <v>1162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107</v>
      </c>
      <c r="B30" s="200" t="str">
        <f>RIGHT(data!$C$96,4)</f>
        <v>2024</v>
      </c>
      <c r="C30" s="12" t="str">
        <f>data!AE$55</f>
        <v>7200</v>
      </c>
      <c r="D30" s="12" t="s">
        <v>1162</v>
      </c>
      <c r="E30" s="198">
        <f>ROUND(N(data!AE59), 0)</f>
        <v>20189</v>
      </c>
      <c r="F30" s="271">
        <f>ROUND(N(data!AE60), 2)</f>
        <v>11.71</v>
      </c>
      <c r="G30" s="198">
        <f>ROUND(N(data!AE61), 0)</f>
        <v>1027829</v>
      </c>
      <c r="H30" s="198">
        <f>ROUND(N(data!AE62), 0)</f>
        <v>230068</v>
      </c>
      <c r="I30" s="198">
        <f>ROUND(N(data!AE63), 0)</f>
        <v>0</v>
      </c>
      <c r="J30" s="198">
        <f>ROUND(N(data!AE64), 0)</f>
        <v>47419</v>
      </c>
      <c r="K30" s="198">
        <f>ROUND(N(data!AE65), 0)</f>
        <v>2039</v>
      </c>
      <c r="L30" s="198">
        <f>ROUND(N(data!AE66), 0)</f>
        <v>22742</v>
      </c>
      <c r="M30" s="198">
        <f>ROUND(N(data!AE67), 0)</f>
        <v>138313</v>
      </c>
      <c r="N30" s="198">
        <f>ROUND(N(data!AE68), 0)</f>
        <v>16291</v>
      </c>
      <c r="O30" s="198">
        <f>ROUND(N(data!AE69), 0)</f>
        <v>23175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729</v>
      </c>
      <c r="X30" s="198">
        <f>ROUND(N(data!AE78), 0)</f>
        <v>0</v>
      </c>
      <c r="Y30" s="198">
        <f>ROUND(N(data!AE79), 0)</f>
        <v>0</v>
      </c>
      <c r="Z30" s="198">
        <f>ROUND(N(data!AE80), 0)</f>
        <v>27395</v>
      </c>
      <c r="AA30" s="198">
        <f>ROUND(N(data!AE81), 0)</f>
        <v>0</v>
      </c>
      <c r="AB30" s="198">
        <f>ROUND(N(data!AE82), 0)</f>
        <v>0</v>
      </c>
      <c r="AC30" s="198">
        <f>ROUND(N(data!AE83), 0)</f>
        <v>-4949</v>
      </c>
      <c r="AD30" s="198">
        <f>ROUND(N(data!AE84), 0)</f>
        <v>0</v>
      </c>
      <c r="AE30" s="198">
        <f>ROUND(N(data!AE89), 0)</f>
        <v>3203978</v>
      </c>
      <c r="AF30" s="198">
        <f>ROUND(N(data!AE87), 0)</f>
        <v>363926</v>
      </c>
      <c r="AG30" s="198">
        <f>ROUND(N(data!AE90), 0)</f>
        <v>8469</v>
      </c>
      <c r="AH30" s="198">
        <f>ROUND(N(data!AE91), 0)</f>
        <v>0</v>
      </c>
      <c r="AI30" s="198">
        <f>ROUND(N(data!AE92), 0)</f>
        <v>76</v>
      </c>
      <c r="AJ30" s="198">
        <f>ROUND(N(data!AE93), 0)</f>
        <v>1399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107</v>
      </c>
      <c r="B31" s="200" t="str">
        <f>RIGHT(data!$C$96,4)</f>
        <v>2024</v>
      </c>
      <c r="C31" s="12" t="str">
        <f>data!AF$55</f>
        <v>7220</v>
      </c>
      <c r="D31" s="12" t="s">
        <v>1162</v>
      </c>
      <c r="E31" s="198">
        <f>ROUND(N(data!AF60), 0)</f>
        <v>0</v>
      </c>
      <c r="F31" s="271" t="e">
        <f>ROUND(N(data!#REF!), 2)</f>
        <v>#REF!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107</v>
      </c>
      <c r="B32" s="200" t="str">
        <f>RIGHT(data!$C$96,4)</f>
        <v>2024</v>
      </c>
      <c r="C32" s="12" t="str">
        <f>data!AG$55</f>
        <v>7230</v>
      </c>
      <c r="D32" s="12" t="s">
        <v>1162</v>
      </c>
      <c r="E32" s="198">
        <f>ROUND(N(data!AG59), 0)</f>
        <v>5522</v>
      </c>
      <c r="F32" s="271">
        <f>ROUND(N(data!AG60), 2)</f>
        <v>12.23</v>
      </c>
      <c r="G32" s="198">
        <f>ROUND(N(data!AG61), 0)</f>
        <v>1254846</v>
      </c>
      <c r="H32" s="198">
        <f>ROUND(N(data!AG62), 0)</f>
        <v>280883</v>
      </c>
      <c r="I32" s="198">
        <f>ROUND(N(data!AG63), 0)</f>
        <v>39275</v>
      </c>
      <c r="J32" s="198">
        <f>ROUND(N(data!AG64), 0)</f>
        <v>54629</v>
      </c>
      <c r="K32" s="198">
        <f>ROUND(N(data!AG65), 0)</f>
        <v>0</v>
      </c>
      <c r="L32" s="198">
        <f>ROUND(N(data!AG66), 0)</f>
        <v>2691984</v>
      </c>
      <c r="M32" s="198">
        <f>ROUND(N(data!AG67), 0)</f>
        <v>155086</v>
      </c>
      <c r="N32" s="198">
        <f>ROUND(N(data!AG68), 0)</f>
        <v>0</v>
      </c>
      <c r="O32" s="198">
        <f>ROUND(N(data!AG69), 0)</f>
        <v>20777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5746</v>
      </c>
      <c r="X32" s="198">
        <f>ROUND(N(data!AG78), 0)</f>
        <v>0</v>
      </c>
      <c r="Y32" s="198">
        <f>ROUND(N(data!AG79), 0)</f>
        <v>0</v>
      </c>
      <c r="Z32" s="198">
        <f>ROUND(N(data!AG80), 0)</f>
        <v>12502</v>
      </c>
      <c r="AA32" s="198">
        <f>ROUND(N(data!AG81), 0)</f>
        <v>0</v>
      </c>
      <c r="AB32" s="198">
        <f>ROUND(N(data!AG82), 0)</f>
        <v>0</v>
      </c>
      <c r="AC32" s="198">
        <f>ROUND(N(data!AG83), 0)</f>
        <v>2529</v>
      </c>
      <c r="AD32" s="198">
        <f>ROUND(N(data!AG84), 0)</f>
        <v>0</v>
      </c>
      <c r="AE32" s="198">
        <f>ROUND(N(data!AG89), 0)</f>
        <v>14528603</v>
      </c>
      <c r="AF32" s="198">
        <f>ROUND(N(data!AG87), 0)</f>
        <v>92914</v>
      </c>
      <c r="AG32" s="198">
        <f>ROUND(N(data!AG90), 0)</f>
        <v>9496</v>
      </c>
      <c r="AH32" s="198">
        <f>ROUND(N(data!AG91), 0)</f>
        <v>0</v>
      </c>
      <c r="AI32" s="198">
        <f>ROUND(N(data!AG92), 0)</f>
        <v>973</v>
      </c>
      <c r="AJ32" s="198">
        <f>ROUND(N(data!AG93), 0)</f>
        <v>17221</v>
      </c>
      <c r="AK32" s="271">
        <f>ROUND(N(data!AG94), 2)</f>
        <v>10.32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107</v>
      </c>
      <c r="B33" s="200" t="str">
        <f>RIGHT(data!$C$96,4)</f>
        <v>2024</v>
      </c>
      <c r="C33" s="12" t="str">
        <f>data!AH$55</f>
        <v>7240</v>
      </c>
      <c r="D33" s="12" t="s">
        <v>1162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107</v>
      </c>
      <c r="B34" s="200" t="str">
        <f>RIGHT(data!$C$96,4)</f>
        <v>2024</v>
      </c>
      <c r="C34" s="12" t="str">
        <f>data!AI$55</f>
        <v>7250</v>
      </c>
      <c r="D34" s="12" t="s">
        <v>1162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107</v>
      </c>
      <c r="B35" s="200" t="str">
        <f>RIGHT(data!$C$96,4)</f>
        <v>2024</v>
      </c>
      <c r="C35" s="12" t="str">
        <f>data!AJ$55</f>
        <v>7260</v>
      </c>
      <c r="D35" s="12" t="s">
        <v>1162</v>
      </c>
      <c r="E35" s="198">
        <f>ROUND(N(data!AJ59), 0)</f>
        <v>3911</v>
      </c>
      <c r="F35" s="271">
        <f>ROUND(N(data!AJ60), 2)</f>
        <v>11.48</v>
      </c>
      <c r="G35" s="198">
        <f>ROUND(N(data!AJ61), 0)</f>
        <v>1138968</v>
      </c>
      <c r="H35" s="198">
        <f>ROUND(N(data!AJ62), 0)</f>
        <v>254945</v>
      </c>
      <c r="I35" s="198">
        <f>ROUND(N(data!AJ63), 0)</f>
        <v>0</v>
      </c>
      <c r="J35" s="198">
        <f>ROUND(N(data!AJ64), 0)</f>
        <v>45335</v>
      </c>
      <c r="K35" s="198">
        <f>ROUND(N(data!AJ65), 0)</f>
        <v>0</v>
      </c>
      <c r="L35" s="198">
        <f>ROUND(N(data!AJ66), 0)</f>
        <v>53351</v>
      </c>
      <c r="M35" s="198">
        <f>ROUND(N(data!AJ67), 0)</f>
        <v>110745</v>
      </c>
      <c r="N35" s="198">
        <f>ROUND(N(data!AJ68), 0)</f>
        <v>0</v>
      </c>
      <c r="O35" s="198">
        <f>ROUND(N(data!AJ69), 0)</f>
        <v>14340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580</v>
      </c>
      <c r="X35" s="198">
        <f>ROUND(N(data!AJ78), 0)</f>
        <v>0</v>
      </c>
      <c r="Y35" s="198">
        <f>ROUND(N(data!AJ79), 0)</f>
        <v>0</v>
      </c>
      <c r="Z35" s="198">
        <f>ROUND(N(data!AJ80), 0)</f>
        <v>1450</v>
      </c>
      <c r="AA35" s="198">
        <f>ROUND(N(data!AJ81), 0)</f>
        <v>0</v>
      </c>
      <c r="AB35" s="198">
        <f>ROUND(N(data!AJ82), 0)</f>
        <v>0</v>
      </c>
      <c r="AC35" s="198">
        <f>ROUND(N(data!AJ83), 0)</f>
        <v>12310</v>
      </c>
      <c r="AD35" s="198">
        <f>ROUND(N(data!AJ84), 0)</f>
        <v>0</v>
      </c>
      <c r="AE35" s="198">
        <f>ROUND(N(data!AJ89), 0)</f>
        <v>831832</v>
      </c>
      <c r="AF35" s="198">
        <f>ROUND(N(data!AJ87), 0)</f>
        <v>0</v>
      </c>
      <c r="AG35" s="198">
        <f>ROUND(N(data!AJ90), 0)</f>
        <v>6781</v>
      </c>
      <c r="AH35" s="198">
        <f>ROUND(N(data!AJ91), 0)</f>
        <v>0</v>
      </c>
      <c r="AI35" s="198">
        <f>ROUND(N(data!AJ92), 0)</f>
        <v>298</v>
      </c>
      <c r="AJ35" s="198">
        <f>ROUND(N(data!AJ93), 0)</f>
        <v>337</v>
      </c>
      <c r="AK35" s="271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107</v>
      </c>
      <c r="B36" s="200" t="str">
        <f>RIGHT(data!$C$96,4)</f>
        <v>2024</v>
      </c>
      <c r="C36" s="12" t="str">
        <f>data!AK$55</f>
        <v>7310</v>
      </c>
      <c r="D36" s="12" t="s">
        <v>1162</v>
      </c>
      <c r="E36" s="198">
        <f>ROUND(N(data!AK59), 0)</f>
        <v>6282</v>
      </c>
      <c r="F36" s="271">
        <f>ROUND(N(data!AK60), 2)</f>
        <v>1.73</v>
      </c>
      <c r="G36" s="198">
        <f>ROUND(N(data!AK61), 0)</f>
        <v>211338</v>
      </c>
      <c r="H36" s="198">
        <f>ROUND(N(data!AK62), 0)</f>
        <v>47306</v>
      </c>
      <c r="I36" s="198">
        <f>ROUND(N(data!AK63), 0)</f>
        <v>0</v>
      </c>
      <c r="J36" s="198">
        <f>ROUND(N(data!AK64), 0)</f>
        <v>2710</v>
      </c>
      <c r="K36" s="198">
        <f>ROUND(N(data!AK65), 0)</f>
        <v>0</v>
      </c>
      <c r="L36" s="198">
        <f>ROUND(N(data!AK66), 0)</f>
        <v>3107</v>
      </c>
      <c r="M36" s="198">
        <f>ROUND(N(data!AK67), 0)</f>
        <v>0</v>
      </c>
      <c r="N36" s="198">
        <f>ROUND(N(data!AK68), 0)</f>
        <v>0</v>
      </c>
      <c r="O36" s="198">
        <f>ROUND(N(data!AK69), 0)</f>
        <v>1085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210</v>
      </c>
      <c r="X36" s="198">
        <f>ROUND(N(data!AK78), 0)</f>
        <v>0</v>
      </c>
      <c r="Y36" s="198">
        <f>ROUND(N(data!AK79), 0)</f>
        <v>0</v>
      </c>
      <c r="Z36" s="198">
        <f>ROUND(N(data!AK80), 0)</f>
        <v>60</v>
      </c>
      <c r="AA36" s="198">
        <f>ROUND(N(data!AK81), 0)</f>
        <v>0</v>
      </c>
      <c r="AB36" s="198">
        <f>ROUND(N(data!AK82), 0)</f>
        <v>0</v>
      </c>
      <c r="AC36" s="198">
        <f>ROUND(N(data!AK83), 0)</f>
        <v>815</v>
      </c>
      <c r="AD36" s="198">
        <f>ROUND(N(data!AK84), 0)</f>
        <v>0</v>
      </c>
      <c r="AE36" s="198">
        <f>ROUND(N(data!AK89), 0)</f>
        <v>981221</v>
      </c>
      <c r="AF36" s="198">
        <f>ROUND(N(data!AK87), 0)</f>
        <v>357955</v>
      </c>
      <c r="AG36" s="198">
        <f>ROUND(N(data!AK90), 0)</f>
        <v>0</v>
      </c>
      <c r="AH36" s="198">
        <f>ROUND(N(data!AK91), 0)</f>
        <v>0</v>
      </c>
      <c r="AI36" s="198">
        <f>ROUND(N(data!AK92), 0)</f>
        <v>75</v>
      </c>
      <c r="AJ36" s="198">
        <f>ROUND(N(data!AK93), 0)</f>
        <v>1400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107</v>
      </c>
      <c r="B37" s="200" t="str">
        <f>RIGHT(data!$C$96,4)</f>
        <v>2024</v>
      </c>
      <c r="C37" s="12" t="str">
        <f>data!AL$55</f>
        <v>7320</v>
      </c>
      <c r="D37" s="12" t="s">
        <v>1162</v>
      </c>
      <c r="E37" s="198">
        <f>ROUND(N(data!AL59), 0)</f>
        <v>1702</v>
      </c>
      <c r="F37" s="271">
        <f>ROUND(N(data!AL60), 2)</f>
        <v>1.38</v>
      </c>
      <c r="G37" s="198">
        <f>ROUND(N(data!AL61), 0)</f>
        <v>168302</v>
      </c>
      <c r="H37" s="198">
        <f>ROUND(N(data!AL62), 0)</f>
        <v>37673</v>
      </c>
      <c r="I37" s="198">
        <f>ROUND(N(data!AL63), 0)</f>
        <v>0</v>
      </c>
      <c r="J37" s="198">
        <f>ROUND(N(data!AL64), 0)</f>
        <v>1090</v>
      </c>
      <c r="K37" s="198">
        <f>ROUND(N(data!AL65), 0)</f>
        <v>0</v>
      </c>
      <c r="L37" s="198">
        <f>ROUND(N(data!AL66), 0)</f>
        <v>2493</v>
      </c>
      <c r="M37" s="198">
        <f>ROUND(N(data!AL67), 0)</f>
        <v>0</v>
      </c>
      <c r="N37" s="198">
        <f>ROUND(N(data!AL68), 0)</f>
        <v>0</v>
      </c>
      <c r="O37" s="198">
        <f>ROUND(N(data!AL69), 0)</f>
        <v>1663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1663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381491</v>
      </c>
      <c r="AF37" s="198">
        <f>ROUND(N(data!AL87), 0)</f>
        <v>34630</v>
      </c>
      <c r="AG37" s="198">
        <f>ROUND(N(data!AL90), 0)</f>
        <v>0</v>
      </c>
      <c r="AH37" s="198">
        <f>ROUND(N(data!AL91), 0)</f>
        <v>0</v>
      </c>
      <c r="AI37" s="198">
        <f>ROUND(N(data!AL92), 0)</f>
        <v>75</v>
      </c>
      <c r="AJ37" s="198">
        <f>ROUND(N(data!AL93), 0)</f>
        <v>1400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107</v>
      </c>
      <c r="B38" s="200" t="str">
        <f>RIGHT(data!$C$96,4)</f>
        <v>2024</v>
      </c>
      <c r="C38" s="12" t="str">
        <f>data!AM$55</f>
        <v>7330</v>
      </c>
      <c r="D38" s="12" t="s">
        <v>1162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107</v>
      </c>
      <c r="B39" s="200" t="str">
        <f>RIGHT(data!$C$96,4)</f>
        <v>2024</v>
      </c>
      <c r="C39" s="12" t="str">
        <f>data!AN$55</f>
        <v>7340</v>
      </c>
      <c r="D39" s="12" t="s">
        <v>1162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107</v>
      </c>
      <c r="B40" s="200" t="str">
        <f>RIGHT(data!$C$96,4)</f>
        <v>2024</v>
      </c>
      <c r="C40" s="12" t="str">
        <f>data!AO$55</f>
        <v>7350</v>
      </c>
      <c r="D40" s="12" t="s">
        <v>1162</v>
      </c>
      <c r="E40" s="198">
        <f>ROUND(N(data!AO59), 0)</f>
        <v>9204</v>
      </c>
      <c r="F40" s="271">
        <f>ROUND(N(data!AO60), 2)</f>
        <v>2.56</v>
      </c>
      <c r="G40" s="198">
        <f>ROUND(N(data!AO61), 0)</f>
        <v>294906</v>
      </c>
      <c r="H40" s="198">
        <f>ROUND(N(data!AO62), 0)</f>
        <v>66011</v>
      </c>
      <c r="I40" s="198">
        <f>ROUND(N(data!AO63), 0)</f>
        <v>0</v>
      </c>
      <c r="J40" s="198">
        <f>ROUND(N(data!AO64), 0)</f>
        <v>6009</v>
      </c>
      <c r="K40" s="198">
        <f>ROUND(N(data!AO65), 0)</f>
        <v>0</v>
      </c>
      <c r="L40" s="198">
        <f>ROUND(N(data!AO66), 0)</f>
        <v>202922</v>
      </c>
      <c r="M40" s="198">
        <f>ROUND(N(data!AO67), 0)</f>
        <v>16642</v>
      </c>
      <c r="N40" s="198">
        <f>ROUND(N(data!AO68), 0)</f>
        <v>2105</v>
      </c>
      <c r="O40" s="198">
        <f>ROUND(N(data!AO69), 0)</f>
        <v>8341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3670</v>
      </c>
      <c r="X40" s="198">
        <f>ROUND(N(data!AO78), 0)</f>
        <v>0</v>
      </c>
      <c r="Y40" s="198">
        <f>ROUND(N(data!AO79), 0)</f>
        <v>0</v>
      </c>
      <c r="Z40" s="198">
        <f>ROUND(N(data!AO80), 0)</f>
        <v>3853</v>
      </c>
      <c r="AA40" s="198">
        <f>ROUND(N(data!AO81), 0)</f>
        <v>0</v>
      </c>
      <c r="AB40" s="198">
        <f>ROUND(N(data!AO82), 0)</f>
        <v>0</v>
      </c>
      <c r="AC40" s="198">
        <f>ROUND(N(data!AO83), 0)</f>
        <v>818</v>
      </c>
      <c r="AD40" s="198">
        <f>ROUND(N(data!AO84), 0)</f>
        <v>0</v>
      </c>
      <c r="AE40" s="198">
        <f>ROUND(N(data!AO89), 0)</f>
        <v>833205</v>
      </c>
      <c r="AF40" s="198">
        <f>ROUND(N(data!AO87), 0)</f>
        <v>0</v>
      </c>
      <c r="AG40" s="198">
        <f>ROUND(N(data!AO90), 0)</f>
        <v>1019</v>
      </c>
      <c r="AH40" s="198">
        <f>ROUND(N(data!AO91), 0)</f>
        <v>1384</v>
      </c>
      <c r="AI40" s="198">
        <f>ROUND(N(data!AO92), 0)</f>
        <v>332</v>
      </c>
      <c r="AJ40" s="198">
        <f>ROUND(N(data!AO93), 0)</f>
        <v>6203</v>
      </c>
      <c r="AK40" s="271">
        <f>ROUND(N(data!AO94), 2)</f>
        <v>2.17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107</v>
      </c>
      <c r="B41" s="200" t="str">
        <f>RIGHT(data!$C$96,4)</f>
        <v>2024</v>
      </c>
      <c r="C41" s="12" t="str">
        <f>data!AP$55</f>
        <v>7380</v>
      </c>
      <c r="D41" s="12" t="s">
        <v>1162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107</v>
      </c>
      <c r="B42" s="200" t="str">
        <f>RIGHT(data!$C$96,4)</f>
        <v>2024</v>
      </c>
      <c r="C42" s="12" t="str">
        <f>data!AQ$55</f>
        <v>7390</v>
      </c>
      <c r="D42" s="12" t="s">
        <v>1162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107</v>
      </c>
      <c r="B43" s="200" t="str">
        <f>RIGHT(data!$C$96,4)</f>
        <v>2024</v>
      </c>
      <c r="C43" s="12" t="str">
        <f>data!AR$55</f>
        <v>7400</v>
      </c>
      <c r="D43" s="12" t="s">
        <v>1162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107</v>
      </c>
      <c r="B44" s="200" t="str">
        <f>RIGHT(data!$C$96,4)</f>
        <v>2024</v>
      </c>
      <c r="C44" s="12" t="str">
        <f>data!AS$55</f>
        <v>7410</v>
      </c>
      <c r="D44" s="12" t="s">
        <v>1162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107</v>
      </c>
      <c r="B45" s="200" t="str">
        <f>RIGHT(data!$C$96,4)</f>
        <v>2024</v>
      </c>
      <c r="C45" s="12" t="str">
        <f>data!AT$55</f>
        <v>7420</v>
      </c>
      <c r="D45" s="12" t="s">
        <v>1162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107</v>
      </c>
      <c r="B46" s="200" t="str">
        <f>RIGHT(data!$C$96,4)</f>
        <v>2024</v>
      </c>
      <c r="C46" s="12" t="str">
        <f>data!AU$55</f>
        <v>7430</v>
      </c>
      <c r="D46" s="12" t="s">
        <v>1162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107</v>
      </c>
      <c r="B47" s="200" t="str">
        <f>RIGHT(data!$C$96,4)</f>
        <v>2024</v>
      </c>
      <c r="C47" s="12" t="str">
        <f>data!AV$55</f>
        <v>7490</v>
      </c>
      <c r="D47" s="12" t="s">
        <v>1162</v>
      </c>
      <c r="E47" s="198">
        <f>ROUND(N(data!AV59), 0)</f>
        <v>0</v>
      </c>
      <c r="F47" s="271">
        <f>ROUND(N(data!AV60), 2)</f>
        <v>0.34</v>
      </c>
      <c r="G47" s="198">
        <f>ROUND(N(data!AV61), 0)</f>
        <v>38702</v>
      </c>
      <c r="H47" s="198">
        <f>ROUND(N(data!AV62), 0)</f>
        <v>8663</v>
      </c>
      <c r="I47" s="198">
        <f>ROUND(N(data!AV63), 0)</f>
        <v>0</v>
      </c>
      <c r="J47" s="198">
        <f>ROUND(N(data!AV64), 0)</f>
        <v>9005</v>
      </c>
      <c r="K47" s="198">
        <f>ROUND(N(data!AV65), 0)</f>
        <v>0</v>
      </c>
      <c r="L47" s="198">
        <f>ROUND(N(data!AV66), 0)</f>
        <v>133717</v>
      </c>
      <c r="M47" s="198">
        <f>ROUND(N(data!AV67), 0)</f>
        <v>14601</v>
      </c>
      <c r="N47" s="198">
        <f>ROUND(N(data!AV68), 0)</f>
        <v>0</v>
      </c>
      <c r="O47" s="198">
        <f>ROUND(N(data!AV69), 0)</f>
        <v>1096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141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955</v>
      </c>
      <c r="AD47" s="198">
        <f>ROUND(N(data!AV84), 0)</f>
        <v>0</v>
      </c>
      <c r="AE47" s="198">
        <f>ROUND(N(data!AV89), 0)</f>
        <v>1054857</v>
      </c>
      <c r="AF47" s="198">
        <f>ROUND(N(data!AV87), 0)</f>
        <v>0</v>
      </c>
      <c r="AG47" s="198">
        <f>ROUND(N(data!AV90), 0)</f>
        <v>894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107</v>
      </c>
      <c r="B48" s="200" t="str">
        <f>RIGHT(data!$C$96,4)</f>
        <v>2024</v>
      </c>
      <c r="C48" s="12" t="str">
        <f>data!AW$55</f>
        <v>8200</v>
      </c>
      <c r="D48" s="12" t="s">
        <v>1162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107</v>
      </c>
      <c r="B49" s="200" t="str">
        <f>RIGHT(data!$C$96,4)</f>
        <v>2024</v>
      </c>
      <c r="C49" s="12" t="str">
        <f>data!AX$55</f>
        <v>8310</v>
      </c>
      <c r="D49" s="12" t="s">
        <v>1162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107</v>
      </c>
      <c r="B50" s="200" t="str">
        <f>RIGHT(data!$C$96,4)</f>
        <v>2024</v>
      </c>
      <c r="C50" s="12" t="str">
        <f>data!AY$55</f>
        <v>8320</v>
      </c>
      <c r="D50" s="12" t="s">
        <v>1162</v>
      </c>
      <c r="E50" s="198">
        <f>ROUND(N(data!AY59), 0)</f>
        <v>49809</v>
      </c>
      <c r="F50" s="271">
        <f>ROUND(N(data!AY60), 2)</f>
        <v>12.58</v>
      </c>
      <c r="G50" s="198">
        <f>ROUND(N(data!AY61), 0)</f>
        <v>722919</v>
      </c>
      <c r="H50" s="198">
        <f>ROUND(N(data!AY62), 0)</f>
        <v>161817</v>
      </c>
      <c r="I50" s="198">
        <f>ROUND(N(data!AY63), 0)</f>
        <v>0</v>
      </c>
      <c r="J50" s="198">
        <f>ROUND(N(data!AY64), 0)</f>
        <v>403412</v>
      </c>
      <c r="K50" s="198">
        <f>ROUND(N(data!AY65), 0)</f>
        <v>9600</v>
      </c>
      <c r="L50" s="198">
        <f>ROUND(N(data!AY66), 0)</f>
        <v>14973</v>
      </c>
      <c r="M50" s="198">
        <f>ROUND(N(data!AY67), 0)</f>
        <v>61064</v>
      </c>
      <c r="N50" s="198">
        <f>ROUND(N(data!AY68), 0)</f>
        <v>4624</v>
      </c>
      <c r="O50" s="198">
        <f>ROUND(N(data!AY69), 0)</f>
        <v>3264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3264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0</v>
      </c>
      <c r="AD50" s="198">
        <f>ROUND(N(data!AY84), 0)</f>
        <v>265142</v>
      </c>
      <c r="AE50" s="198">
        <f>ROUND(N(data!AY89), 0)</f>
        <v>0</v>
      </c>
      <c r="AF50" s="198">
        <f>ROUND(N(data!AY87), 0)</f>
        <v>0</v>
      </c>
      <c r="AG50" s="198">
        <f>ROUND(N(data!AY90), 0)</f>
        <v>3739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107</v>
      </c>
      <c r="B51" s="200" t="str">
        <f>RIGHT(data!$C$96,4)</f>
        <v>2024</v>
      </c>
      <c r="C51" s="12" t="str">
        <f>data!AZ$55</f>
        <v>8330</v>
      </c>
      <c r="D51" s="12" t="s">
        <v>1162</v>
      </c>
      <c r="E51" s="198">
        <f>ROUND(N(data!AZ59), 0)</f>
        <v>0</v>
      </c>
      <c r="F51" s="271">
        <f>ROUND(N(data!AZ60), 2)</f>
        <v>2.4900000000000002</v>
      </c>
      <c r="G51" s="198">
        <f>ROUND(N(data!AZ61), 0)</f>
        <v>116164</v>
      </c>
      <c r="H51" s="198">
        <f>ROUND(N(data!AZ62), 0)</f>
        <v>26002</v>
      </c>
      <c r="I51" s="198">
        <f>ROUND(N(data!AZ63), 0)</f>
        <v>0</v>
      </c>
      <c r="J51" s="198">
        <f>ROUND(N(data!AZ64), 0)</f>
        <v>83932</v>
      </c>
      <c r="K51" s="198">
        <f>ROUND(N(data!AZ65), 0)</f>
        <v>0</v>
      </c>
      <c r="L51" s="198">
        <f>ROUND(N(data!AZ66), 0)</f>
        <v>3295</v>
      </c>
      <c r="M51" s="198">
        <f>ROUND(N(data!AZ67), 0)</f>
        <v>0</v>
      </c>
      <c r="N51" s="198">
        <f>ROUND(N(data!AZ68), 0)</f>
        <v>6744</v>
      </c>
      <c r="O51" s="198">
        <f>ROUND(N(data!AZ69), 0)</f>
        <v>1385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1385</v>
      </c>
      <c r="AD51" s="198">
        <f>ROUND(N(data!AZ84), 0)</f>
        <v>154247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905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107</v>
      </c>
      <c r="B52" s="200" t="str">
        <f>RIGHT(data!$C$96,4)</f>
        <v>2024</v>
      </c>
      <c r="C52" s="12" t="str">
        <f>data!BA$55</f>
        <v>8350</v>
      </c>
      <c r="D52" s="12" t="s">
        <v>1162</v>
      </c>
      <c r="E52" s="198">
        <f>ROUND(N(data!BA59), 0)</f>
        <v>0</v>
      </c>
      <c r="F52" s="271">
        <f>ROUND(N(data!BA60), 2)</f>
        <v>6.15</v>
      </c>
      <c r="G52" s="198">
        <f>ROUND(N(data!BA61), 0)</f>
        <v>356416</v>
      </c>
      <c r="H52" s="198">
        <f>ROUND(N(data!BA62), 0)</f>
        <v>79780</v>
      </c>
      <c r="I52" s="198">
        <f>ROUND(N(data!BA63), 0)</f>
        <v>0</v>
      </c>
      <c r="J52" s="198">
        <f>ROUND(N(data!BA64), 0)</f>
        <v>19519</v>
      </c>
      <c r="K52" s="198">
        <f>ROUND(N(data!BA65), 0)</f>
        <v>31560</v>
      </c>
      <c r="L52" s="198">
        <f>ROUND(N(data!BA66), 0)</f>
        <v>5021</v>
      </c>
      <c r="M52" s="198">
        <f>ROUND(N(data!BA67), 0)</f>
        <v>33856</v>
      </c>
      <c r="N52" s="198">
        <f>ROUND(N(data!BA68), 0)</f>
        <v>0</v>
      </c>
      <c r="O52" s="198">
        <f>ROUND(N(data!BA69), 0)</f>
        <v>492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492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399291</v>
      </c>
      <c r="AE52" s="198">
        <f>ROUND(N(data!BA89), 0)</f>
        <v>0</v>
      </c>
      <c r="AF52" s="198">
        <f>ROUND(N(data!BA87), 0)</f>
        <v>0</v>
      </c>
      <c r="AG52" s="198">
        <f>ROUND(N(data!BA90), 0)</f>
        <v>2073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107</v>
      </c>
      <c r="B53" s="200" t="str">
        <f>RIGHT(data!$C$96,4)</f>
        <v>2024</v>
      </c>
      <c r="C53" s="12" t="str">
        <f>data!BB$55</f>
        <v>8360</v>
      </c>
      <c r="D53" s="12" t="s">
        <v>1162</v>
      </c>
      <c r="E53" s="198">
        <f>ROUND(N(data!BB59), 0)</f>
        <v>0</v>
      </c>
      <c r="F53" s="271">
        <f>ROUND(N(data!BB60), 2)</f>
        <v>0.82</v>
      </c>
      <c r="G53" s="198">
        <f>ROUND(N(data!BB61), 0)</f>
        <v>85559</v>
      </c>
      <c r="H53" s="198">
        <f>ROUND(N(data!BB62), 0)</f>
        <v>19151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1174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107</v>
      </c>
      <c r="B54" s="200" t="str">
        <f>RIGHT(data!$C$96,4)</f>
        <v>2024</v>
      </c>
      <c r="C54" s="12" t="str">
        <f>data!BC$55</f>
        <v>8370</v>
      </c>
      <c r="D54" s="12" t="s">
        <v>1162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107</v>
      </c>
      <c r="B55" s="200" t="str">
        <f>RIGHT(data!$C$96,4)</f>
        <v>2024</v>
      </c>
      <c r="C55" s="12" t="str">
        <f>data!BD$55</f>
        <v>8420</v>
      </c>
      <c r="D55" s="12" t="s">
        <v>1162</v>
      </c>
      <c r="E55" s="198">
        <f>ROUND(N(data!BD59), 0)</f>
        <v>0</v>
      </c>
      <c r="F55" s="271">
        <f>ROUND(N(data!BD60), 2)</f>
        <v>0.85</v>
      </c>
      <c r="G55" s="198">
        <f>ROUND(N(data!BD61), 0)</f>
        <v>51277</v>
      </c>
      <c r="H55" s="198">
        <f>ROUND(N(data!BD62), 0)</f>
        <v>11478</v>
      </c>
      <c r="I55" s="198">
        <f>ROUND(N(data!BD63), 0)</f>
        <v>0</v>
      </c>
      <c r="J55" s="198">
        <f>ROUND(N(data!BD64), 0)</f>
        <v>237535</v>
      </c>
      <c r="K55" s="198">
        <f>ROUND(N(data!BD65), 0)</f>
        <v>0</v>
      </c>
      <c r="L55" s="198">
        <f>ROUND(N(data!BD66), 0)</f>
        <v>1389</v>
      </c>
      <c r="M55" s="198">
        <f>ROUND(N(data!BD67), 0)</f>
        <v>0</v>
      </c>
      <c r="N55" s="198">
        <f>ROUND(N(data!BD68), 0)</f>
        <v>0</v>
      </c>
      <c r="O55" s="198">
        <f>ROUND(N(data!BD69), 0)</f>
        <v>3376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3376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107</v>
      </c>
      <c r="B56" s="200" t="str">
        <f>RIGHT(data!$C$96,4)</f>
        <v>2024</v>
      </c>
      <c r="C56" s="12" t="str">
        <f>data!BE$55</f>
        <v>8430</v>
      </c>
      <c r="D56" s="12" t="s">
        <v>1162</v>
      </c>
      <c r="E56" s="198">
        <f>ROUND(N(data!BE59), 0)</f>
        <v>95103</v>
      </c>
      <c r="F56" s="271">
        <f>ROUND(N(data!BE60), 2)</f>
        <v>4.99</v>
      </c>
      <c r="G56" s="198">
        <f>ROUND(N(data!BE61), 0)</f>
        <v>380060</v>
      </c>
      <c r="H56" s="198">
        <f>ROUND(N(data!BE62), 0)</f>
        <v>85072</v>
      </c>
      <c r="I56" s="198">
        <f>ROUND(N(data!BE63), 0)</f>
        <v>0</v>
      </c>
      <c r="J56" s="198">
        <f>ROUND(N(data!BE64), 0)</f>
        <v>18848</v>
      </c>
      <c r="K56" s="198">
        <f>ROUND(N(data!BE65), 0)</f>
        <v>293236</v>
      </c>
      <c r="L56" s="198">
        <f>ROUND(N(data!BE66), 0)</f>
        <v>30319</v>
      </c>
      <c r="M56" s="198">
        <f>ROUND(N(data!BE67), 0)</f>
        <v>153387</v>
      </c>
      <c r="N56" s="198">
        <f>ROUND(N(data!BE68), 0)</f>
        <v>1610</v>
      </c>
      <c r="O56" s="198">
        <f>ROUND(N(data!BE69), 0)</f>
        <v>211254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204535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6719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9392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107</v>
      </c>
      <c r="B57" s="200" t="str">
        <f>RIGHT(data!$C$96,4)</f>
        <v>2024</v>
      </c>
      <c r="C57" s="12" t="str">
        <f>data!BF$55</f>
        <v>8460</v>
      </c>
      <c r="D57" s="12" t="s">
        <v>1162</v>
      </c>
      <c r="E57" s="198">
        <f>ROUND(N(data!BF59), 0)</f>
        <v>0</v>
      </c>
      <c r="F57" s="271">
        <f>ROUND(N(data!BF60), 2)</f>
        <v>6.58</v>
      </c>
      <c r="G57" s="198">
        <f>ROUND(N(data!BF61), 0)</f>
        <v>403219</v>
      </c>
      <c r="H57" s="198">
        <f>ROUND(N(data!BF62), 0)</f>
        <v>90256</v>
      </c>
      <c r="I57" s="198">
        <f>ROUND(N(data!BF63), 0)</f>
        <v>0</v>
      </c>
      <c r="J57" s="198">
        <f>ROUND(N(data!BF64), 0)</f>
        <v>74488</v>
      </c>
      <c r="K57" s="198">
        <f>ROUND(N(data!BF65), 0)</f>
        <v>0</v>
      </c>
      <c r="L57" s="198">
        <f>ROUND(N(data!BF66), 0)</f>
        <v>25055</v>
      </c>
      <c r="M57" s="198">
        <f>ROUND(N(data!BF67), 0)</f>
        <v>24432</v>
      </c>
      <c r="N57" s="198">
        <f>ROUND(N(data!BF68), 0)</f>
        <v>0</v>
      </c>
      <c r="O57" s="198">
        <f>ROUND(N(data!BF69), 0)</f>
        <v>824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824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1496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107</v>
      </c>
      <c r="B58" s="200" t="str">
        <f>RIGHT(data!$C$96,4)</f>
        <v>2024</v>
      </c>
      <c r="C58" s="12" t="str">
        <f>data!BG$55</f>
        <v>8470</v>
      </c>
      <c r="D58" s="12" t="s">
        <v>1162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2243</v>
      </c>
      <c r="K58" s="198">
        <f>ROUND(N(data!BG65), 0)</f>
        <v>33210</v>
      </c>
      <c r="L58" s="198">
        <f>ROUND(N(data!BG66), 0)</f>
        <v>7947</v>
      </c>
      <c r="M58" s="198">
        <f>ROUND(N(data!BG67), 0)</f>
        <v>11400</v>
      </c>
      <c r="N58" s="198">
        <f>ROUND(N(data!BG68), 0)</f>
        <v>1106</v>
      </c>
      <c r="O58" s="198">
        <f>ROUND(N(data!BG69), 0)</f>
        <v>5157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5143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14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698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107</v>
      </c>
      <c r="B59" s="200" t="str">
        <f>RIGHT(data!$C$96,4)</f>
        <v>2024</v>
      </c>
      <c r="C59" s="12" t="str">
        <f>data!BH$55</f>
        <v>8480</v>
      </c>
      <c r="D59" s="12" t="s">
        <v>1162</v>
      </c>
      <c r="E59" s="198">
        <f>ROUND(N(data!BH59), 0)</f>
        <v>0</v>
      </c>
      <c r="F59" s="271">
        <f>ROUND(N(data!BH60), 2)</f>
        <v>1.79</v>
      </c>
      <c r="G59" s="198">
        <f>ROUND(N(data!BH61), 0)</f>
        <v>214638</v>
      </c>
      <c r="H59" s="198">
        <f>ROUND(N(data!BH62), 0)</f>
        <v>48044</v>
      </c>
      <c r="I59" s="198">
        <f>ROUND(N(data!BH63), 0)</f>
        <v>143412</v>
      </c>
      <c r="J59" s="198">
        <f>ROUND(N(data!BH64), 0)</f>
        <v>21154</v>
      </c>
      <c r="K59" s="198">
        <f>ROUND(N(data!BH65), 0)</f>
        <v>0</v>
      </c>
      <c r="L59" s="198">
        <f>ROUND(N(data!BH66), 0)</f>
        <v>504546</v>
      </c>
      <c r="M59" s="198">
        <f>ROUND(N(data!BH67), 0)</f>
        <v>24596</v>
      </c>
      <c r="N59" s="198">
        <f>ROUND(N(data!BH68), 0)</f>
        <v>0</v>
      </c>
      <c r="O59" s="198">
        <f>ROUND(N(data!BH69), 0)</f>
        <v>51493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10028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41465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1506</v>
      </c>
      <c r="AH59" s="198">
        <f>ROUND(N(data!BH91), 0)</f>
        <v>0</v>
      </c>
      <c r="AI59" s="198">
        <f>ROUND(N(data!BH92), 0)</f>
        <v>70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107</v>
      </c>
      <c r="B60" s="200" t="str">
        <f>RIGHT(data!$C$96,4)</f>
        <v>2024</v>
      </c>
      <c r="C60" s="12" t="str">
        <f>data!BI$55</f>
        <v>8490</v>
      </c>
      <c r="D60" s="12" t="s">
        <v>1162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107</v>
      </c>
      <c r="B61" s="200" t="str">
        <f>RIGHT(data!$C$96,4)</f>
        <v>2024</v>
      </c>
      <c r="C61" s="12" t="str">
        <f>data!BJ$55</f>
        <v>8510</v>
      </c>
      <c r="D61" s="12" t="s">
        <v>1162</v>
      </c>
      <c r="E61" s="198">
        <f>ROUND(N(data!BJ59), 0)</f>
        <v>0</v>
      </c>
      <c r="F61" s="271">
        <f>ROUND(N(data!BJ60), 2)</f>
        <v>5.32</v>
      </c>
      <c r="G61" s="198">
        <f>ROUND(N(data!BJ61), 0)</f>
        <v>513250</v>
      </c>
      <c r="H61" s="198">
        <f>ROUND(N(data!BJ62), 0)</f>
        <v>114885</v>
      </c>
      <c r="I61" s="198">
        <f>ROUND(N(data!BJ63), 0)</f>
        <v>117201</v>
      </c>
      <c r="J61" s="198">
        <f>ROUND(N(data!BJ64), 0)</f>
        <v>2884</v>
      </c>
      <c r="K61" s="198">
        <f>ROUND(N(data!BJ65), 0)</f>
        <v>0</v>
      </c>
      <c r="L61" s="198">
        <f>ROUND(N(data!BJ66), 0)</f>
        <v>8047</v>
      </c>
      <c r="M61" s="198">
        <f>ROUND(N(data!BJ67), 0)</f>
        <v>55969</v>
      </c>
      <c r="N61" s="198">
        <f>ROUND(N(data!BJ68), 0)</f>
        <v>0</v>
      </c>
      <c r="O61" s="198">
        <f>ROUND(N(data!BJ69), 0)</f>
        <v>105839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1962</v>
      </c>
      <c r="AA61" s="198">
        <f>ROUND(N(data!BJ81), 0)</f>
        <v>0</v>
      </c>
      <c r="AB61" s="198">
        <f>ROUND(N(data!BJ82), 0)</f>
        <v>0</v>
      </c>
      <c r="AC61" s="198">
        <f>ROUND(N(data!BJ83), 0)</f>
        <v>103877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3427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107</v>
      </c>
      <c r="B62" s="200" t="str">
        <f>RIGHT(data!$C$96,4)</f>
        <v>2024</v>
      </c>
      <c r="C62" s="12" t="str">
        <f>data!BK$55</f>
        <v>8530</v>
      </c>
      <c r="D62" s="12" t="s">
        <v>1162</v>
      </c>
      <c r="E62" s="198">
        <f>ROUND(N(data!BK59), 0)</f>
        <v>0</v>
      </c>
      <c r="F62" s="271">
        <f>ROUND(N(data!BK60), 2)</f>
        <v>8.33</v>
      </c>
      <c r="G62" s="198">
        <f>ROUND(N(data!BK61), 0)</f>
        <v>540411</v>
      </c>
      <c r="H62" s="198">
        <f>ROUND(N(data!BK62), 0)</f>
        <v>120965</v>
      </c>
      <c r="I62" s="198">
        <f>ROUND(N(data!BK63), 0)</f>
        <v>0</v>
      </c>
      <c r="J62" s="198">
        <f>ROUND(N(data!BK64), 0)</f>
        <v>13621</v>
      </c>
      <c r="K62" s="198">
        <f>ROUND(N(data!BK65), 0)</f>
        <v>0</v>
      </c>
      <c r="L62" s="198">
        <f>ROUND(N(data!BK66), 0)</f>
        <v>126420</v>
      </c>
      <c r="M62" s="198">
        <f>ROUND(N(data!BK67), 0)</f>
        <v>0</v>
      </c>
      <c r="N62" s="198">
        <f>ROUND(N(data!BK68), 0)</f>
        <v>0</v>
      </c>
      <c r="O62" s="198">
        <f>ROUND(N(data!BK69), 0)</f>
        <v>3989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509</v>
      </c>
      <c r="AA62" s="198">
        <f>ROUND(N(data!BK81), 0)</f>
        <v>0</v>
      </c>
      <c r="AB62" s="198">
        <f>ROUND(N(data!BK82), 0)</f>
        <v>0</v>
      </c>
      <c r="AC62" s="198">
        <f>ROUND(N(data!BK83), 0)</f>
        <v>3480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107</v>
      </c>
      <c r="B63" s="200" t="str">
        <f>RIGHT(data!$C$96,4)</f>
        <v>2024</v>
      </c>
      <c r="C63" s="12" t="str">
        <f>data!BL$55</f>
        <v>8560</v>
      </c>
      <c r="D63" s="12" t="s">
        <v>1162</v>
      </c>
      <c r="E63" s="198">
        <f>ROUND(N(data!BL59), 0)</f>
        <v>0</v>
      </c>
      <c r="F63" s="271">
        <f>ROUND(N(data!BL60), 2)</f>
        <v>8.89</v>
      </c>
      <c r="G63" s="198">
        <f>ROUND(N(data!BL61), 0)</f>
        <v>473885</v>
      </c>
      <c r="H63" s="198">
        <f>ROUND(N(data!BL62), 0)</f>
        <v>106074</v>
      </c>
      <c r="I63" s="198">
        <f>ROUND(N(data!BL63), 0)</f>
        <v>0</v>
      </c>
      <c r="J63" s="198">
        <f>ROUND(N(data!BL64), 0)</f>
        <v>5321</v>
      </c>
      <c r="K63" s="198">
        <f>ROUND(N(data!BL65), 0)</f>
        <v>0</v>
      </c>
      <c r="L63" s="198">
        <f>ROUND(N(data!BL66), 0)</f>
        <v>6470</v>
      </c>
      <c r="M63" s="198">
        <f>ROUND(N(data!BL67), 0)</f>
        <v>37204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2278</v>
      </c>
      <c r="AH63" s="198">
        <f>ROUND(N(data!BL91), 0)</f>
        <v>0</v>
      </c>
      <c r="AI63" s="198">
        <f>ROUND(N(data!BL92), 0)</f>
        <v>266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107</v>
      </c>
      <c r="B64" s="200" t="str">
        <f>RIGHT(data!$C$96,4)</f>
        <v>2024</v>
      </c>
      <c r="C64" s="12" t="str">
        <f>data!BM$55</f>
        <v>8590</v>
      </c>
      <c r="D64" s="12" t="s">
        <v>1162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107</v>
      </c>
      <c r="B65" s="200" t="str">
        <f>RIGHT(data!$C$96,4)</f>
        <v>2024</v>
      </c>
      <c r="C65" s="12" t="str">
        <f>data!BN$55</f>
        <v>8610</v>
      </c>
      <c r="D65" s="12" t="s">
        <v>1162</v>
      </c>
      <c r="E65" s="198">
        <f>ROUND(N(data!BN59), 0)</f>
        <v>0</v>
      </c>
      <c r="F65" s="271">
        <f>ROUND(N(data!BN60), 2)</f>
        <v>1.82</v>
      </c>
      <c r="G65" s="198">
        <f>ROUND(N(data!BN61), 0)</f>
        <v>548834</v>
      </c>
      <c r="H65" s="198">
        <f>ROUND(N(data!BN62), 0)</f>
        <v>122850</v>
      </c>
      <c r="I65" s="198">
        <f>ROUND(N(data!BN63), 0)</f>
        <v>38496</v>
      </c>
      <c r="J65" s="198">
        <f>ROUND(N(data!BN64), 0)</f>
        <v>-1833</v>
      </c>
      <c r="K65" s="198">
        <f>ROUND(N(data!BN65), 0)</f>
        <v>4262</v>
      </c>
      <c r="L65" s="198">
        <f>ROUND(N(data!BN66), 0)</f>
        <v>236725</v>
      </c>
      <c r="M65" s="198">
        <f>ROUND(N(data!BN67), 0)</f>
        <v>49991</v>
      </c>
      <c r="N65" s="198">
        <f>ROUND(N(data!BN68), 0)</f>
        <v>164525</v>
      </c>
      <c r="O65" s="198">
        <f>ROUND(N(data!BN69), 0)</f>
        <v>122833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2165</v>
      </c>
      <c r="X65" s="198">
        <f>ROUND(N(data!BN78), 0)</f>
        <v>0</v>
      </c>
      <c r="Y65" s="198">
        <f>ROUND(N(data!BN79), 0)</f>
        <v>0</v>
      </c>
      <c r="Z65" s="198">
        <f>ROUND(N(data!BN80), 0)</f>
        <v>6531</v>
      </c>
      <c r="AA65" s="198">
        <f>ROUND(N(data!BN81), 0)</f>
        <v>0</v>
      </c>
      <c r="AB65" s="198">
        <f>ROUND(N(data!BN82), 0)</f>
        <v>0</v>
      </c>
      <c r="AC65" s="198">
        <f>ROUND(N(data!BN83), 0)</f>
        <v>114137</v>
      </c>
      <c r="AD65" s="198">
        <f>ROUND(N(data!BN84), 0)</f>
        <v>19799</v>
      </c>
      <c r="AE65" s="198">
        <f>ROUND(N(data!BN89), 0)</f>
        <v>0</v>
      </c>
      <c r="AF65" s="198">
        <f>ROUND(N(data!BN87), 0)</f>
        <v>0</v>
      </c>
      <c r="AG65" s="198">
        <f>ROUND(N(data!BN90), 0)</f>
        <v>3061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107</v>
      </c>
      <c r="B66" s="200" t="str">
        <f>RIGHT(data!$C$96,4)</f>
        <v>2024</v>
      </c>
      <c r="C66" s="12" t="str">
        <f>data!BO$55</f>
        <v>8620</v>
      </c>
      <c r="D66" s="12" t="s">
        <v>1162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107</v>
      </c>
      <c r="B67" s="200" t="str">
        <f>RIGHT(data!$C$96,4)</f>
        <v>2024</v>
      </c>
      <c r="C67" s="12" t="str">
        <f>data!BP$55</f>
        <v>8630</v>
      </c>
      <c r="D67" s="12" t="s">
        <v>1162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107</v>
      </c>
      <c r="B68" s="200" t="str">
        <f>RIGHT(data!$C$96,4)</f>
        <v>2024</v>
      </c>
      <c r="C68" s="12" t="str">
        <f>data!BQ$55</f>
        <v>8640</v>
      </c>
      <c r="D68" s="12" t="s">
        <v>1162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107</v>
      </c>
      <c r="B69" s="200" t="str">
        <f>RIGHT(data!$C$96,4)</f>
        <v>2024</v>
      </c>
      <c r="C69" s="12" t="str">
        <f>data!BR$55</f>
        <v>8650</v>
      </c>
      <c r="D69" s="12" t="s">
        <v>1162</v>
      </c>
      <c r="E69" s="198">
        <f>ROUND(N(data!BR59), 0)</f>
        <v>0</v>
      </c>
      <c r="F69" s="271">
        <f>ROUND(N(data!BR60), 2)</f>
        <v>2.54</v>
      </c>
      <c r="G69" s="198">
        <f>ROUND(N(data!BR61), 0)</f>
        <v>285214</v>
      </c>
      <c r="H69" s="198">
        <f>ROUND(N(data!BR62), 0)</f>
        <v>63842</v>
      </c>
      <c r="I69" s="198">
        <f>ROUND(N(data!BR63), 0)</f>
        <v>2227</v>
      </c>
      <c r="J69" s="198">
        <f>ROUND(N(data!BR64), 0)</f>
        <v>27670</v>
      </c>
      <c r="K69" s="198">
        <f>ROUND(N(data!BR65), 0)</f>
        <v>0</v>
      </c>
      <c r="L69" s="198">
        <f>ROUND(N(data!BR66), 0)</f>
        <v>16116</v>
      </c>
      <c r="M69" s="198">
        <f>ROUND(N(data!BR67), 0)</f>
        <v>51265</v>
      </c>
      <c r="N69" s="198">
        <f>ROUND(N(data!BR68), 0)</f>
        <v>0</v>
      </c>
      <c r="O69" s="198">
        <f>ROUND(N(data!BR69), 0)</f>
        <v>63786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58265</v>
      </c>
      <c r="Z69" s="198">
        <f>ROUND(N(data!BR80), 0)</f>
        <v>1204</v>
      </c>
      <c r="AA69" s="198">
        <f>ROUND(N(data!BR81), 0)</f>
        <v>0</v>
      </c>
      <c r="AB69" s="198">
        <f>ROUND(N(data!BR82), 0)</f>
        <v>0</v>
      </c>
      <c r="AC69" s="198">
        <f>ROUND(N(data!BR83), 0)</f>
        <v>4317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3139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107</v>
      </c>
      <c r="B70" s="200" t="str">
        <f>RIGHT(data!$C$96,4)</f>
        <v>2024</v>
      </c>
      <c r="C70" s="12" t="str">
        <f>data!BS$55</f>
        <v>8660</v>
      </c>
      <c r="D70" s="12" t="s">
        <v>1162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107</v>
      </c>
      <c r="B71" s="200" t="str">
        <f>RIGHT(data!$C$96,4)</f>
        <v>2024</v>
      </c>
      <c r="C71" s="12" t="str">
        <f>data!BT$55</f>
        <v>8670</v>
      </c>
      <c r="D71" s="12" t="s">
        <v>1162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107</v>
      </c>
      <c r="B72" s="200" t="str">
        <f>RIGHT(data!$C$96,4)</f>
        <v>2024</v>
      </c>
      <c r="C72" s="12" t="str">
        <f>data!BU$55</f>
        <v>8680</v>
      </c>
      <c r="D72" s="12" t="s">
        <v>1162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107</v>
      </c>
      <c r="B73" s="200" t="str">
        <f>RIGHT(data!$C$96,4)</f>
        <v>2024</v>
      </c>
      <c r="C73" s="12" t="str">
        <f>data!BV$55</f>
        <v>8690</v>
      </c>
      <c r="D73" s="12" t="s">
        <v>1162</v>
      </c>
      <c r="E73" s="198">
        <f>ROUND(N(data!BV59), 0)</f>
        <v>0</v>
      </c>
      <c r="F73" s="271">
        <f>ROUND(N(data!BV60), 2)</f>
        <v>10.37</v>
      </c>
      <c r="G73" s="198">
        <f>ROUND(N(data!BV61), 0)</f>
        <v>593210</v>
      </c>
      <c r="H73" s="198">
        <f>ROUND(N(data!BV62), 0)</f>
        <v>132783</v>
      </c>
      <c r="I73" s="198">
        <f>ROUND(N(data!BV63), 0)</f>
        <v>77091</v>
      </c>
      <c r="J73" s="198">
        <f>ROUND(N(data!BV64), 0)</f>
        <v>1329</v>
      </c>
      <c r="K73" s="198">
        <f>ROUND(N(data!BV65), 0)</f>
        <v>0</v>
      </c>
      <c r="L73" s="198">
        <f>ROUND(N(data!BV66), 0)</f>
        <v>41893</v>
      </c>
      <c r="M73" s="198">
        <f>ROUND(N(data!BV67), 0)</f>
        <v>21199</v>
      </c>
      <c r="N73" s="198">
        <f>ROUND(N(data!BV68), 0)</f>
        <v>14624</v>
      </c>
      <c r="O73" s="198">
        <f>ROUND(N(data!BV69), 0)</f>
        <v>11741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6418</v>
      </c>
      <c r="AA73" s="198">
        <f>ROUND(N(data!BV81), 0)</f>
        <v>0</v>
      </c>
      <c r="AB73" s="198">
        <f>ROUND(N(data!BV82), 0)</f>
        <v>0</v>
      </c>
      <c r="AC73" s="198">
        <f>ROUND(N(data!BV83), 0)</f>
        <v>5323</v>
      </c>
      <c r="AD73" s="198">
        <f>ROUND(N(data!BV84), 0)</f>
        <v>17166</v>
      </c>
      <c r="AE73" s="198">
        <f>ROUND(N(data!BV89), 0)</f>
        <v>0</v>
      </c>
      <c r="AF73" s="198">
        <f>ROUND(N(data!BV87), 0)</f>
        <v>0</v>
      </c>
      <c r="AG73" s="198">
        <f>ROUND(N(data!BV90), 0)</f>
        <v>1298</v>
      </c>
      <c r="AH73" s="198">
        <f>ROUND(N(data!BV91), 0)</f>
        <v>0</v>
      </c>
      <c r="AI73" s="198">
        <f>ROUND(N(data!BV92), 0)</f>
        <v>46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107</v>
      </c>
      <c r="B74" s="200" t="str">
        <f>RIGHT(data!$C$96,4)</f>
        <v>2024</v>
      </c>
      <c r="C74" s="12" t="str">
        <f>data!BW$55</f>
        <v>8700</v>
      </c>
      <c r="D74" s="12" t="s">
        <v>1162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107</v>
      </c>
      <c r="B75" s="200" t="str">
        <f>RIGHT(data!$C$96,4)</f>
        <v>2024</v>
      </c>
      <c r="C75" s="12" t="str">
        <f>data!BX$55</f>
        <v>8710</v>
      </c>
      <c r="D75" s="12" t="s">
        <v>1162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107</v>
      </c>
      <c r="B76" s="200" t="str">
        <f>RIGHT(data!$C$96,4)</f>
        <v>2024</v>
      </c>
      <c r="C76" s="12" t="str">
        <f>data!BY$55</f>
        <v>8720</v>
      </c>
      <c r="D76" s="12" t="s">
        <v>1162</v>
      </c>
      <c r="E76" s="198">
        <f>ROUND(N(data!BY59), 0)</f>
        <v>0</v>
      </c>
      <c r="F76" s="271">
        <f>ROUND(N(data!BY60), 2)</f>
        <v>2.0699999999999998</v>
      </c>
      <c r="G76" s="198">
        <f>ROUND(N(data!BY61), 0)</f>
        <v>352777</v>
      </c>
      <c r="H76" s="198">
        <f>ROUND(N(data!BY62), 0)</f>
        <v>78965</v>
      </c>
      <c r="I76" s="198">
        <f>ROUND(N(data!BY63), 0)</f>
        <v>0</v>
      </c>
      <c r="J76" s="198">
        <f>ROUND(N(data!BY64), 0)</f>
        <v>2975</v>
      </c>
      <c r="K76" s="198">
        <f>ROUND(N(data!BY65), 0)</f>
        <v>0</v>
      </c>
      <c r="L76" s="198">
        <f>ROUND(N(data!BY66), 0)</f>
        <v>14422</v>
      </c>
      <c r="M76" s="198">
        <f>ROUND(N(data!BY67), 0)</f>
        <v>11596</v>
      </c>
      <c r="N76" s="198">
        <f>ROUND(N(data!BY68), 0)</f>
        <v>0</v>
      </c>
      <c r="O76" s="198">
        <f>ROUND(N(data!BY69), 0)</f>
        <v>53894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19050</v>
      </c>
      <c r="AA76" s="198">
        <f>ROUND(N(data!BY81), 0)</f>
        <v>0</v>
      </c>
      <c r="AB76" s="198">
        <f>ROUND(N(data!BY82), 0)</f>
        <v>0</v>
      </c>
      <c r="AC76" s="198">
        <f>ROUND(N(data!BY83), 0)</f>
        <v>34844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710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107</v>
      </c>
      <c r="B77" s="200" t="str">
        <f>RIGHT(data!$C$96,4)</f>
        <v>2024</v>
      </c>
      <c r="C77" s="12" t="str">
        <f>data!BZ$55</f>
        <v>8730</v>
      </c>
      <c r="D77" s="12" t="s">
        <v>1162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107</v>
      </c>
      <c r="B78" s="200" t="str">
        <f>RIGHT(data!$C$96,4)</f>
        <v>2024</v>
      </c>
      <c r="C78" s="12" t="str">
        <f>data!CA$55</f>
        <v>8740</v>
      </c>
      <c r="D78" s="12" t="s">
        <v>1162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107</v>
      </c>
      <c r="B79" s="200" t="str">
        <f>RIGHT(data!$C$96,4)</f>
        <v>2024</v>
      </c>
      <c r="C79" s="12" t="str">
        <f>data!CB$55</f>
        <v>8770</v>
      </c>
      <c r="D79" s="12" t="s">
        <v>1162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107</v>
      </c>
      <c r="B80" s="200" t="str">
        <f>RIGHT(data!$C$96,4)</f>
        <v>2024</v>
      </c>
      <c r="C80" s="12" t="str">
        <f>data!CC$55</f>
        <v>8790</v>
      </c>
      <c r="D80" s="12" t="s">
        <v>1162</v>
      </c>
      <c r="E80" s="198">
        <f>ROUND(N(data!CC59), 0)</f>
        <v>0</v>
      </c>
      <c r="F80" s="271">
        <f>ROUND(N(data!CC60), 2)</f>
        <v>0</v>
      </c>
      <c r="G80" s="198">
        <f>ROUND(N(data!CC61), 0)</f>
        <v>0</v>
      </c>
      <c r="H80" s="198">
        <f>ROUND(N(data!CC62), 0)</f>
        <v>0</v>
      </c>
      <c r="I80" s="198">
        <f>ROUND(N(data!CC63), 0)</f>
        <v>0</v>
      </c>
      <c r="J80" s="198">
        <f>ROUND(N(data!CC64), 0)</f>
        <v>0</v>
      </c>
      <c r="K80" s="198">
        <f>ROUND(N(data!CC65), 0)</f>
        <v>0</v>
      </c>
      <c r="L80" s="198">
        <f>ROUND(N(data!CC66), 0)</f>
        <v>0</v>
      </c>
      <c r="M80" s="198">
        <f>ROUND(N(data!CC67), 0)</f>
        <v>0</v>
      </c>
      <c r="N80" s="198">
        <f>ROUND(N(data!CC68), 0)</f>
        <v>0</v>
      </c>
      <c r="O80" s="198">
        <f>ROUND(N(data!CC69), 0)</f>
        <v>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customProperties>
    <customPr name="OrphanNamesChecke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P19" sqref="P19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696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697</v>
      </c>
      <c r="G3" s="10"/>
      <c r="J3" s="99"/>
    </row>
    <row r="4" spans="2:10" x14ac:dyDescent="0.25">
      <c r="B4" s="98"/>
      <c r="F4" s="10" t="s">
        <v>698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699</v>
      </c>
      <c r="G8" s="10"/>
      <c r="J8" s="99"/>
    </row>
    <row r="9" spans="2:10" x14ac:dyDescent="0.25">
      <c r="B9" s="95"/>
      <c r="C9" s="96"/>
      <c r="D9" s="96"/>
      <c r="E9" s="96"/>
      <c r="F9" s="103" t="s">
        <v>700</v>
      </c>
      <c r="G9" s="103"/>
      <c r="H9" s="96"/>
      <c r="I9" s="96"/>
      <c r="J9" s="97"/>
    </row>
    <row r="10" spans="2:10" x14ac:dyDescent="0.25">
      <c r="B10" s="98"/>
      <c r="F10" s="10" t="s">
        <v>701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702</v>
      </c>
      <c r="G12" s="10"/>
      <c r="J12" s="99"/>
    </row>
    <row r="13" spans="2:10" x14ac:dyDescent="0.25">
      <c r="B13" s="98"/>
      <c r="F13" s="10" t="s">
        <v>703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704</v>
      </c>
      <c r="J16" s="99"/>
    </row>
    <row r="17" spans="2:10" x14ac:dyDescent="0.25">
      <c r="B17" s="95"/>
      <c r="C17" s="104" t="s">
        <v>705</v>
      </c>
      <c r="D17" s="104"/>
      <c r="E17" s="96" t="str">
        <f>+data!C98</f>
        <v>NORTH VALLEY HOSPITAL OCPHD#4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706</v>
      </c>
      <c r="D18" s="53"/>
      <c r="E18" s="11" t="str">
        <f>+"H-"&amp;data!C97</f>
        <v>H-107</v>
      </c>
      <c r="F18" s="10"/>
      <c r="G18" s="10"/>
      <c r="J18" s="99"/>
    </row>
    <row r="19" spans="2:10" x14ac:dyDescent="0.25">
      <c r="B19" s="98"/>
      <c r="C19" s="53" t="s">
        <v>707</v>
      </c>
      <c r="D19" s="53"/>
      <c r="E19" s="11" t="str">
        <f>+data!C99</f>
        <v>203 S WESTERN AVE</v>
      </c>
      <c r="F19" s="10"/>
      <c r="G19" s="10"/>
      <c r="J19" s="99"/>
    </row>
    <row r="20" spans="2:10" x14ac:dyDescent="0.25">
      <c r="B20" s="98"/>
      <c r="C20" s="53" t="s">
        <v>708</v>
      </c>
      <c r="D20" s="53"/>
      <c r="E20" s="11" t="str">
        <f>+data!C99</f>
        <v>203 S WESTERN AVE</v>
      </c>
      <c r="F20" s="10"/>
      <c r="G20" s="10"/>
      <c r="J20" s="99"/>
    </row>
    <row r="21" spans="2:10" x14ac:dyDescent="0.25">
      <c r="B21" s="98"/>
      <c r="C21" s="53" t="s">
        <v>709</v>
      </c>
      <c r="D21" s="53"/>
      <c r="E21" s="11" t="str">
        <f>CONCATENATE(+data!C100,", ",+data!C101)</f>
        <v>TONASKET, WA 98855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710</v>
      </c>
      <c r="G26" s="106"/>
      <c r="H26" s="106"/>
      <c r="I26" s="106"/>
      <c r="J26" s="108"/>
    </row>
    <row r="27" spans="2:10" x14ac:dyDescent="0.25">
      <c r="B27" s="109" t="s">
        <v>711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712</v>
      </c>
      <c r="J29" s="99"/>
    </row>
    <row r="30" spans="2:10" x14ac:dyDescent="0.25">
      <c r="B30" s="112" t="s">
        <v>713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714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715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716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717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715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716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fGWgZ+BUsC5jSmxspmdhXP3Tb5RzsWCFBbN0N+XOVDHoTCQfKXqUA1MuLnxjucLQU6jvFjYZNVF5xkrxJnJcOA==" saltValue="OD31/lvL/9ehlpyt+QiH+Q==" spinCount="100000" sheet="1" objects="1" scenarios="1"/>
  <pageMargins left="0.75" right="0.75" top="1" bottom="1" header="0.5" footer="0.5"/>
  <pageSetup scale="87" orientation="portrait"/>
  <headerFooter alignWithMargins="0"/>
  <customProperties>
    <customPr name="OrphanNamesChecke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43" zoomScale="85" zoomScaleNormal="85" workbookViewId="0">
      <selection activeCell="E48" sqref="E48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718</v>
      </c>
    </row>
    <row r="3" spans="1:13" x14ac:dyDescent="0.25">
      <c r="A3" s="54"/>
    </row>
    <row r="4" spans="1:13" x14ac:dyDescent="0.25">
      <c r="A4" s="149" t="s">
        <v>719</v>
      </c>
    </row>
    <row r="5" spans="1:13" x14ac:dyDescent="0.25">
      <c r="A5" s="149" t="s">
        <v>720</v>
      </c>
    </row>
    <row r="6" spans="1:13" x14ac:dyDescent="0.25">
      <c r="A6" s="149" t="s">
        <v>721</v>
      </c>
    </row>
    <row r="7" spans="1:13" x14ac:dyDescent="0.25">
      <c r="A7" s="149"/>
    </row>
    <row r="8" spans="1:13" x14ac:dyDescent="0.25">
      <c r="A8" s="2" t="s">
        <v>722</v>
      </c>
    </row>
    <row r="9" spans="1:13" x14ac:dyDescent="0.25">
      <c r="A9" s="149" t="s">
        <v>26</v>
      </c>
    </row>
    <row r="12" spans="1:13" x14ac:dyDescent="0.25">
      <c r="A12" s="1" t="str">
        <f>data!C97</f>
        <v>107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723</v>
      </c>
      <c r="C13" s="228" t="s">
        <v>723</v>
      </c>
      <c r="D13" s="5" t="s">
        <v>724</v>
      </c>
      <c r="E13" s="5" t="s">
        <v>724</v>
      </c>
      <c r="F13" s="3" t="s">
        <v>725</v>
      </c>
      <c r="G13" s="3" t="s">
        <v>725</v>
      </c>
      <c r="H13" s="3" t="s">
        <v>726</v>
      </c>
    </row>
    <row r="14" spans="1:13" x14ac:dyDescent="0.25">
      <c r="A14" s="1" t="s">
        <v>727</v>
      </c>
      <c r="B14" s="228" t="s">
        <v>360</v>
      </c>
      <c r="C14" s="228" t="s">
        <v>360</v>
      </c>
      <c r="D14" s="4" t="s">
        <v>728</v>
      </c>
      <c r="E14" s="4" t="s">
        <v>728</v>
      </c>
      <c r="F14" s="3" t="s">
        <v>729</v>
      </c>
      <c r="G14" s="3" t="s">
        <v>729</v>
      </c>
      <c r="H14" s="3" t="s">
        <v>730</v>
      </c>
      <c r="I14" s="8" t="s">
        <v>731</v>
      </c>
      <c r="J14" s="55" t="s">
        <v>732</v>
      </c>
    </row>
    <row r="15" spans="1:13" x14ac:dyDescent="0.25">
      <c r="A15" s="1" t="s">
        <v>733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734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735</v>
      </c>
      <c r="B17" s="228">
        <f>ROUND(N('Prior Year'!E85), 0)</f>
        <v>1287525</v>
      </c>
      <c r="C17" s="228">
        <f>data!E85</f>
        <v>1078695</v>
      </c>
      <c r="D17" s="228">
        <f>ROUND(N('Prior Year'!E59), 0)</f>
        <v>971</v>
      </c>
      <c r="E17" s="1">
        <f>data!E59</f>
        <v>665</v>
      </c>
      <c r="F17" s="205">
        <f t="shared" si="0"/>
        <v>1325.9783728115344</v>
      </c>
      <c r="G17" s="205">
        <f t="shared" si="1"/>
        <v>1622.0977443609022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736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737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738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739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740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741</v>
      </c>
      <c r="B23" s="228">
        <f>ROUND(N('Prior Year'!K85), 0)</f>
        <v>3587530</v>
      </c>
      <c r="C23" s="228">
        <f>data!K85</f>
        <v>4541966</v>
      </c>
      <c r="D23" s="228">
        <f>ROUND(N('Prior Year'!K59), 0)</f>
        <v>12951</v>
      </c>
      <c r="E23" s="1">
        <f>data!K59</f>
        <v>13849</v>
      </c>
      <c r="F23" s="205">
        <f t="shared" si="0"/>
        <v>277.00795305381826</v>
      </c>
      <c r="G23" s="205">
        <f t="shared" si="1"/>
        <v>327.96346306592534</v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742</v>
      </c>
      <c r="B24" s="228">
        <f>ROUND(N('Prior Year'!L85), 0)</f>
        <v>2076472</v>
      </c>
      <c r="C24" s="228">
        <f>data!L85</f>
        <v>2939232</v>
      </c>
      <c r="D24" s="228">
        <f>ROUND(N('Prior Year'!L59), 0)</f>
        <v>1566</v>
      </c>
      <c r="E24" s="1">
        <f>data!L59</f>
        <v>1812</v>
      </c>
      <c r="F24" s="205">
        <f t="shared" si="0"/>
        <v>1325.9719029374203</v>
      </c>
      <c r="G24" s="205">
        <f t="shared" si="1"/>
        <v>1622.0927152317881</v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743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744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745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746</v>
      </c>
      <c r="B28" s="228">
        <f>ROUND(N('Prior Year'!P85), 0)</f>
        <v>812781</v>
      </c>
      <c r="C28" s="228">
        <f>data!P85</f>
        <v>856750</v>
      </c>
      <c r="D28" s="228">
        <f>ROUND(N('Prior Year'!P59), 0)</f>
        <v>6031</v>
      </c>
      <c r="E28" s="1">
        <f>data!P59</f>
        <v>6483</v>
      </c>
      <c r="F28" s="205">
        <f t="shared" si="0"/>
        <v>134.76720278560768</v>
      </c>
      <c r="G28" s="205">
        <f t="shared" si="1"/>
        <v>132.15332407835879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747</v>
      </c>
      <c r="B29" s="228">
        <f>ROUND(N('Prior Year'!Q85), 0)</f>
        <v>21691</v>
      </c>
      <c r="C29" s="228">
        <f>data!Q85</f>
        <v>17202</v>
      </c>
      <c r="D29" s="228">
        <f>ROUND(N('Prior Year'!Q59), 0)</f>
        <v>1721</v>
      </c>
      <c r="E29" s="1">
        <f>data!Q59</f>
        <v>329</v>
      </c>
      <c r="F29" s="205">
        <f t="shared" si="0"/>
        <v>12.603718768158048</v>
      </c>
      <c r="G29" s="205">
        <f t="shared" si="1"/>
        <v>52.285714285714285</v>
      </c>
      <c r="H29" s="6">
        <f t="shared" si="2"/>
        <v>3.1484354933250787</v>
      </c>
      <c r="I29" s="228" t="s">
        <v>1405</v>
      </c>
      <c r="M29" s="7"/>
    </row>
    <row r="30" spans="1:13" x14ac:dyDescent="0.25">
      <c r="A30" s="1" t="s">
        <v>748</v>
      </c>
      <c r="B30" s="228">
        <f>ROUND(N('Prior Year'!R85), 0)</f>
        <v>107990</v>
      </c>
      <c r="C30" s="228">
        <f>data!R85</f>
        <v>81683</v>
      </c>
      <c r="D30" s="228">
        <f>ROUND(N('Prior Year'!R59), 0)</f>
        <v>1169</v>
      </c>
      <c r="E30" s="1">
        <f>data!R59</f>
        <v>545</v>
      </c>
      <c r="F30" s="205">
        <f t="shared" si="0"/>
        <v>92.378100940975187</v>
      </c>
      <c r="G30" s="205">
        <f>IFERROR(IF(C30=0,"",IF(E30=0,"",C30/E30)),"")</f>
        <v>149.87706422018348</v>
      </c>
      <c r="H30" s="6">
        <f t="shared" si="2"/>
        <v>0.62243067018607734</v>
      </c>
      <c r="I30" s="228" t="s">
        <v>1405</v>
      </c>
      <c r="M30" s="7"/>
    </row>
    <row r="31" spans="1:13" x14ac:dyDescent="0.25">
      <c r="A31" s="1" t="s">
        <v>749</v>
      </c>
      <c r="B31" s="228">
        <f>ROUND(N('Prior Year'!S85), 0)</f>
        <v>63706</v>
      </c>
      <c r="C31" s="228">
        <f>data!S85</f>
        <v>71220</v>
      </c>
      <c r="D31" s="228" t="s">
        <v>750</v>
      </c>
      <c r="E31" s="4" t="s">
        <v>750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751</v>
      </c>
      <c r="B32" s="228">
        <f>ROUND(N('Prior Year'!T85), 0)</f>
        <v>0</v>
      </c>
      <c r="C32" s="228">
        <f>data!T85</f>
        <v>0</v>
      </c>
      <c r="D32" s="228" t="s">
        <v>750</v>
      </c>
      <c r="E32" s="4" t="s">
        <v>750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752</v>
      </c>
      <c r="B33" s="228">
        <f>ROUND(N('Prior Year'!U85), 0)</f>
        <v>1485545</v>
      </c>
      <c r="C33" s="228">
        <f>data!U85</f>
        <v>1602850</v>
      </c>
      <c r="D33" s="228">
        <f>ROUND(N('Prior Year'!U59), 0)</f>
        <v>42988</v>
      </c>
      <c r="E33" s="1">
        <f>data!U59</f>
        <v>42279</v>
      </c>
      <c r="F33" s="205">
        <f t="shared" si="0"/>
        <v>34.557202009863218</v>
      </c>
      <c r="G33" s="205">
        <f t="shared" ref="G33:G69" si="4">IF(C33=0,"",IF(E33=0,"",C33/E33))</f>
        <v>37.911256179190616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753</v>
      </c>
      <c r="B34" s="228">
        <f>ROUND(N('Prior Year'!V85), 0)</f>
        <v>0</v>
      </c>
      <c r="C34" s="228">
        <f>data!V85</f>
        <v>0</v>
      </c>
      <c r="D34" s="228">
        <f>ROUND(N('Prior Year'!V59), 0)</f>
        <v>2814</v>
      </c>
      <c r="E34" s="1">
        <f>data!V59</f>
        <v>2886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754</v>
      </c>
      <c r="B35" s="228">
        <f>ROUND(N('Prior Year'!W85), 0)</f>
        <v>130521</v>
      </c>
      <c r="C35" s="228">
        <f>data!W85</f>
        <v>112776</v>
      </c>
      <c r="D35" s="228">
        <f>ROUND(N('Prior Year'!W59), 0)</f>
        <v>506</v>
      </c>
      <c r="E35" s="1">
        <f>data!W59</f>
        <v>421</v>
      </c>
      <c r="F35" s="205">
        <f t="shared" si="0"/>
        <v>257.94664031620556</v>
      </c>
      <c r="G35" s="205">
        <f t="shared" si="4"/>
        <v>267.87648456057008</v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755</v>
      </c>
      <c r="B36" s="228">
        <f>ROUND(N('Prior Year'!X85), 0)</f>
        <v>676595</v>
      </c>
      <c r="C36" s="228">
        <f>data!X85</f>
        <v>735362</v>
      </c>
      <c r="D36" s="228">
        <f>ROUND(N('Prior Year'!X59), 0)</f>
        <v>2623</v>
      </c>
      <c r="E36" s="1">
        <f>data!X59</f>
        <v>2745</v>
      </c>
      <c r="F36" s="205">
        <f t="shared" si="0"/>
        <v>257.94700724361417</v>
      </c>
      <c r="G36" s="205">
        <f t="shared" si="4"/>
        <v>267.8914389799636</v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756</v>
      </c>
      <c r="B37" s="228">
        <f>ROUND(N('Prior Year'!Y85), 0)</f>
        <v>1638494</v>
      </c>
      <c r="C37" s="228">
        <f>data!Y85</f>
        <v>1780116</v>
      </c>
      <c r="D37" s="228">
        <f>ROUND(N('Prior Year'!Y59), 0)</f>
        <v>6352</v>
      </c>
      <c r="E37" s="1">
        <f>data!Y59</f>
        <v>6645</v>
      </c>
      <c r="F37" s="205">
        <f t="shared" si="0"/>
        <v>257.94930730478592</v>
      </c>
      <c r="G37" s="205">
        <f t="shared" si="4"/>
        <v>267.88803611738149</v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757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758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759</v>
      </c>
      <c r="B40" s="228">
        <f>ROUND(N('Prior Year'!AB85), 0)</f>
        <v>2302025</v>
      </c>
      <c r="C40" s="228">
        <f>data!AB85</f>
        <v>1710290</v>
      </c>
      <c r="D40" s="228" t="s">
        <v>750</v>
      </c>
      <c r="E40" s="4" t="s">
        <v>750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760</v>
      </c>
      <c r="B41" s="228">
        <f>ROUND(N('Prior Year'!AC85), 0)</f>
        <v>193681</v>
      </c>
      <c r="C41" s="228">
        <f>data!AC85</f>
        <v>223141</v>
      </c>
      <c r="D41" s="228">
        <f>ROUND(N('Prior Year'!AC59), 0)</f>
        <v>1325</v>
      </c>
      <c r="E41" s="1">
        <f>data!AC59</f>
        <v>1656</v>
      </c>
      <c r="F41" s="205">
        <f t="shared" si="0"/>
        <v>146.1743396226415</v>
      </c>
      <c r="G41" s="205">
        <f t="shared" si="4"/>
        <v>134.74698067632849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761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762</v>
      </c>
      <c r="B43" s="228">
        <f>ROUND(N('Prior Year'!AE85), 0)</f>
        <v>1396170</v>
      </c>
      <c r="C43" s="228">
        <f>data!AE85</f>
        <v>1507876</v>
      </c>
      <c r="D43" s="228">
        <f>ROUND(N('Prior Year'!AE59), 0)</f>
        <v>19702</v>
      </c>
      <c r="E43" s="1">
        <f>data!AE59</f>
        <v>20189</v>
      </c>
      <c r="F43" s="205">
        <f t="shared" si="0"/>
        <v>70.864379250837473</v>
      </c>
      <c r="G43" s="205">
        <f t="shared" si="4"/>
        <v>74.687998414978452</v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763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data!AF60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764</v>
      </c>
      <c r="B45" s="228">
        <f>ROUND(N('Prior Year'!AG85), 0)</f>
        <v>4590856</v>
      </c>
      <c r="C45" s="228">
        <f>data!AG85</f>
        <v>4497480</v>
      </c>
      <c r="D45" s="228">
        <f>ROUND(N('Prior Year'!AG59), 0)</f>
        <v>5149</v>
      </c>
      <c r="E45" s="1">
        <f>data!AG59</f>
        <v>5522</v>
      </c>
      <c r="F45" s="205">
        <f t="shared" si="0"/>
        <v>891.60147601476012</v>
      </c>
      <c r="G45" s="205">
        <f t="shared" si="4"/>
        <v>814.46577327055411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765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766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767</v>
      </c>
      <c r="B48" s="228">
        <f>ROUND(N('Prior Year'!AJ85), 0)</f>
        <v>1518762</v>
      </c>
      <c r="C48" s="228">
        <f>data!AJ85</f>
        <v>1617684</v>
      </c>
      <c r="D48" s="228">
        <f>ROUND(N('Prior Year'!AJ59), 0)</f>
        <v>2974</v>
      </c>
      <c r="E48" s="1">
        <f>data!AJ59</f>
        <v>3911</v>
      </c>
      <c r="F48" s="205">
        <f t="shared" si="0"/>
        <v>510.67989240080698</v>
      </c>
      <c r="G48" s="205">
        <f t="shared" si="4"/>
        <v>413.62413704934801</v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768</v>
      </c>
      <c r="B49" s="228">
        <f>ROUND(N('Prior Year'!AK85), 0)</f>
        <v>299385</v>
      </c>
      <c r="C49" s="228">
        <f>data!AK85</f>
        <v>265546</v>
      </c>
      <c r="D49" s="228">
        <f>ROUND(N('Prior Year'!AK59), 0)</f>
        <v>6378</v>
      </c>
      <c r="E49" s="1">
        <f>data!AK59</f>
        <v>6282</v>
      </c>
      <c r="F49" s="205">
        <f t="shared" si="0"/>
        <v>46.940263405456257</v>
      </c>
      <c r="G49" s="205">
        <f t="shared" si="4"/>
        <v>42.270932823941422</v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769</v>
      </c>
      <c r="B50" s="228">
        <f>ROUND(N('Prior Year'!AL85), 0)</f>
        <v>225550</v>
      </c>
      <c r="C50" s="228">
        <f>data!AL85</f>
        <v>211221</v>
      </c>
      <c r="D50" s="228">
        <f>ROUND(N('Prior Year'!AL59), 0)</f>
        <v>2129</v>
      </c>
      <c r="E50" s="1">
        <f>data!AL59</f>
        <v>1702</v>
      </c>
      <c r="F50" s="205">
        <f t="shared" si="0"/>
        <v>105.94175669328324</v>
      </c>
      <c r="G50" s="205">
        <f t="shared" si="4"/>
        <v>124.10164512338426</v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770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771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772</v>
      </c>
      <c r="B53" s="228">
        <f>ROUND(N('Prior Year'!AO85), 0)</f>
        <v>283760</v>
      </c>
      <c r="C53" s="228">
        <f>data!AO85</f>
        <v>596936</v>
      </c>
      <c r="D53" s="228">
        <f>ROUND(N('Prior Year'!AO59), 0)</f>
        <v>5148</v>
      </c>
      <c r="E53" s="1">
        <f>data!AO59</f>
        <v>9204</v>
      </c>
      <c r="F53" s="205">
        <f t="shared" si="0"/>
        <v>55.120435120435118</v>
      </c>
      <c r="G53" s="205">
        <f t="shared" si="4"/>
        <v>64.856149500217299</v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773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774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775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776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777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778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779</v>
      </c>
      <c r="B60" s="228">
        <f>ROUND(N('Prior Year'!AV85), 0)</f>
        <v>124387</v>
      </c>
      <c r="C60" s="228">
        <f>data!AV85</f>
        <v>205784</v>
      </c>
      <c r="D60" s="228" t="s">
        <v>750</v>
      </c>
      <c r="E60" s="4" t="s">
        <v>750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780</v>
      </c>
      <c r="B61" s="228">
        <f>ROUND(N('Prior Year'!AW85), 0)</f>
        <v>0</v>
      </c>
      <c r="C61" s="228">
        <f>data!AW85</f>
        <v>0</v>
      </c>
      <c r="D61" s="228" t="s">
        <v>750</v>
      </c>
      <c r="E61" s="4" t="s">
        <v>750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781</v>
      </c>
      <c r="B62" s="228">
        <f>ROUND(N('Prior Year'!AX85), 0)</f>
        <v>0</v>
      </c>
      <c r="C62" s="228">
        <f>data!AX85</f>
        <v>0</v>
      </c>
      <c r="D62" s="228" t="s">
        <v>750</v>
      </c>
      <c r="E62" s="4" t="s">
        <v>750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782</v>
      </c>
      <c r="B63" s="228">
        <f>ROUND(N('Prior Year'!AY85), 0)</f>
        <v>828301</v>
      </c>
      <c r="C63" s="228">
        <f>data!AY85</f>
        <v>1116531</v>
      </c>
      <c r="D63" s="228">
        <f>ROUND(N('Prior Year'!AY59), 0)</f>
        <v>46661</v>
      </c>
      <c r="E63" s="1">
        <f>data!AY59</f>
        <v>49809</v>
      </c>
      <c r="F63" s="205">
        <f>IF(B63=0,"",IF(D63=0,"",B63/D63))</f>
        <v>17.751462677610853</v>
      </c>
      <c r="G63" s="205">
        <f t="shared" si="4"/>
        <v>22.4162500752876</v>
      </c>
      <c r="H63" s="6">
        <f>IF(B63 = 0, "", IF(C63 = 0, "", IF(D63 = 0, "", IF(E63 = 0, "", IF(G63 / F63 - 1 &lt; -0.25, G63 / F63 - 1, IF(G63 / F63 - 1 &gt; 0.25, G63 / F63 - 1, ""))))))</f>
        <v>0.2627832693223775</v>
      </c>
      <c r="I63" s="228" t="s">
        <v>1406</v>
      </c>
      <c r="M63" s="7"/>
    </row>
    <row r="64" spans="1:13" x14ac:dyDescent="0.25">
      <c r="A64" s="1" t="s">
        <v>783</v>
      </c>
      <c r="B64" s="228">
        <f>ROUND(N('Prior Year'!AZ85), 0)</f>
        <v>77131</v>
      </c>
      <c r="C64" s="228">
        <f>data!AZ85</f>
        <v>83275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784</v>
      </c>
      <c r="B65" s="228">
        <f>ROUND(N('Prior Year'!BA85), 0)</f>
        <v>90179</v>
      </c>
      <c r="C65" s="228">
        <f>data!BA85</f>
        <v>127353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785</v>
      </c>
      <c r="B66" s="228">
        <f>ROUND(N('Prior Year'!BB85), 0)</f>
        <v>89711</v>
      </c>
      <c r="C66" s="228">
        <f>data!BB85</f>
        <v>105884</v>
      </c>
      <c r="D66" s="228" t="s">
        <v>750</v>
      </c>
      <c r="E66" s="4" t="s">
        <v>750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786</v>
      </c>
      <c r="B67" s="228">
        <f>ROUND(N('Prior Year'!BC85), 0)</f>
        <v>0</v>
      </c>
      <c r="C67" s="228">
        <f>data!BC85</f>
        <v>0</v>
      </c>
      <c r="D67" s="228" t="s">
        <v>750</v>
      </c>
      <c r="E67" s="4" t="s">
        <v>750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787</v>
      </c>
      <c r="B68" s="228">
        <f>ROUND(N('Prior Year'!BD85), 0)</f>
        <v>332590</v>
      </c>
      <c r="C68" s="228">
        <f>data!BD85</f>
        <v>305055</v>
      </c>
      <c r="D68" s="228" t="s">
        <v>750</v>
      </c>
      <c r="E68" s="4" t="s">
        <v>750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788</v>
      </c>
      <c r="B69" s="228">
        <f>ROUND(N('Prior Year'!BE85), 0)</f>
        <v>1078674</v>
      </c>
      <c r="C69" s="228">
        <f>data!BE85</f>
        <v>1173786</v>
      </c>
      <c r="D69" s="228">
        <f>ROUND(N('Prior Year'!BE59), 0)</f>
        <v>92174</v>
      </c>
      <c r="E69" s="1">
        <f>data!BE59</f>
        <v>95103</v>
      </c>
      <c r="F69" s="205">
        <f>IF(B69=0,"",IF(D69=0,"",B69/D69))</f>
        <v>11.702584242845054</v>
      </c>
      <c r="G69" s="205">
        <f t="shared" si="4"/>
        <v>12.342260496514305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789</v>
      </c>
      <c r="B70" s="228">
        <f>ROUND(N('Prior Year'!BF85), 0)</f>
        <v>561710</v>
      </c>
      <c r="C70" s="228">
        <f>data!BF85</f>
        <v>618274</v>
      </c>
      <c r="D70" s="228" t="s">
        <v>750</v>
      </c>
      <c r="E70" s="4" t="s">
        <v>750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790</v>
      </c>
      <c r="B71" s="228">
        <f>ROUND(N('Prior Year'!BG85), 0)</f>
        <v>58116</v>
      </c>
      <c r="C71" s="228">
        <f>data!BG85</f>
        <v>61063</v>
      </c>
      <c r="D71" s="228" t="s">
        <v>750</v>
      </c>
      <c r="E71" s="4" t="s">
        <v>750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791</v>
      </c>
      <c r="B72" s="228">
        <f>ROUND(N('Prior Year'!BH85), 0)</f>
        <v>919140</v>
      </c>
      <c r="C72" s="228">
        <f>data!BH85</f>
        <v>1007883</v>
      </c>
      <c r="D72" s="228" t="s">
        <v>750</v>
      </c>
      <c r="E72" s="4" t="s">
        <v>750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792</v>
      </c>
      <c r="B73" s="228">
        <f>ROUND(N('Prior Year'!BI85), 0)</f>
        <v>0</v>
      </c>
      <c r="C73" s="228">
        <f>data!BI85</f>
        <v>0</v>
      </c>
      <c r="D73" s="228" t="s">
        <v>750</v>
      </c>
      <c r="E73" s="4" t="s">
        <v>750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793</v>
      </c>
      <c r="B74" s="228">
        <f>ROUND(N('Prior Year'!BJ85), 0)</f>
        <v>809312</v>
      </c>
      <c r="C74" s="228">
        <f>data!BJ85</f>
        <v>918075</v>
      </c>
      <c r="D74" s="228" t="s">
        <v>750</v>
      </c>
      <c r="E74" s="4" t="s">
        <v>750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794</v>
      </c>
      <c r="B75" s="228">
        <f>ROUND(N('Prior Year'!BK85), 0)</f>
        <v>629763</v>
      </c>
      <c r="C75" s="228">
        <f>data!BK85</f>
        <v>805406</v>
      </c>
      <c r="D75" s="228" t="s">
        <v>750</v>
      </c>
      <c r="E75" s="4" t="s">
        <v>750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795</v>
      </c>
      <c r="B76" s="228">
        <f>ROUND(N('Prior Year'!BL85), 0)</f>
        <v>549182</v>
      </c>
      <c r="C76" s="228">
        <f>data!BL85</f>
        <v>628954</v>
      </c>
      <c r="D76" s="228" t="s">
        <v>750</v>
      </c>
      <c r="E76" s="4" t="s">
        <v>750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796</v>
      </c>
      <c r="B77" s="228">
        <f>ROUND(N('Prior Year'!BM85), 0)</f>
        <v>0</v>
      </c>
      <c r="C77" s="228">
        <f>data!BM85</f>
        <v>0</v>
      </c>
      <c r="D77" s="228" t="s">
        <v>750</v>
      </c>
      <c r="E77" s="4" t="s">
        <v>750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797</v>
      </c>
      <c r="B78" s="228">
        <f>ROUND(N('Prior Year'!BN85), 0)</f>
        <v>2905154</v>
      </c>
      <c r="C78" s="228">
        <f>data!BN85</f>
        <v>1266884</v>
      </c>
      <c r="D78" s="228" t="s">
        <v>750</v>
      </c>
      <c r="E78" s="4" t="s">
        <v>750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798</v>
      </c>
      <c r="B79" s="228">
        <f>ROUND(N('Prior Year'!BO85), 0)</f>
        <v>0</v>
      </c>
      <c r="C79" s="228">
        <f>data!BO85</f>
        <v>0</v>
      </c>
      <c r="D79" s="228" t="s">
        <v>750</v>
      </c>
      <c r="E79" s="4" t="s">
        <v>750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799</v>
      </c>
      <c r="B80" s="228">
        <f>ROUND(N('Prior Year'!BP85), 0)</f>
        <v>0</v>
      </c>
      <c r="C80" s="228">
        <f>data!BP85</f>
        <v>0</v>
      </c>
      <c r="D80" s="228" t="s">
        <v>750</v>
      </c>
      <c r="E80" s="4" t="s">
        <v>750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800</v>
      </c>
      <c r="B81" s="228">
        <f>ROUND(N('Prior Year'!BQ85), 0)</f>
        <v>0</v>
      </c>
      <c r="C81" s="228">
        <f>data!BQ85</f>
        <v>0</v>
      </c>
      <c r="D81" s="228" t="s">
        <v>750</v>
      </c>
      <c r="E81" s="4" t="s">
        <v>750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801</v>
      </c>
      <c r="B82" s="228">
        <f>ROUND(N('Prior Year'!BR85), 0)</f>
        <v>503518</v>
      </c>
      <c r="C82" s="228">
        <f>data!BR85</f>
        <v>510120</v>
      </c>
      <c r="D82" s="228" t="s">
        <v>750</v>
      </c>
      <c r="E82" s="4" t="s">
        <v>750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802</v>
      </c>
      <c r="B83" s="228">
        <f>ROUND(N('Prior Year'!BS85), 0)</f>
        <v>0</v>
      </c>
      <c r="C83" s="228">
        <f>data!BS85</f>
        <v>0</v>
      </c>
      <c r="D83" s="228" t="s">
        <v>750</v>
      </c>
      <c r="E83" s="4" t="s">
        <v>750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803</v>
      </c>
      <c r="B84" s="228">
        <f>ROUND(N('Prior Year'!BT85), 0)</f>
        <v>0</v>
      </c>
      <c r="C84" s="228">
        <f>data!BT85</f>
        <v>0</v>
      </c>
      <c r="D84" s="228" t="s">
        <v>750</v>
      </c>
      <c r="E84" s="4" t="s">
        <v>750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804</v>
      </c>
      <c r="B85" s="228">
        <f>ROUND(N('Prior Year'!BU85), 0)</f>
        <v>0</v>
      </c>
      <c r="C85" s="228">
        <f>data!BU85</f>
        <v>0</v>
      </c>
      <c r="D85" s="228" t="s">
        <v>750</v>
      </c>
      <c r="E85" s="4" t="s">
        <v>750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805</v>
      </c>
      <c r="B86" s="228">
        <f>ROUND(N('Prior Year'!BV85), 0)</f>
        <v>790204</v>
      </c>
      <c r="C86" s="228">
        <f>data!BV85</f>
        <v>876704</v>
      </c>
      <c r="D86" s="228" t="s">
        <v>750</v>
      </c>
      <c r="E86" s="4" t="s">
        <v>750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806</v>
      </c>
      <c r="B87" s="228">
        <f>ROUND(N('Prior Year'!BW85), 0)</f>
        <v>0</v>
      </c>
      <c r="C87" s="228">
        <f>data!BW85</f>
        <v>0</v>
      </c>
      <c r="D87" s="228" t="s">
        <v>750</v>
      </c>
      <c r="E87" s="4" t="s">
        <v>750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807</v>
      </c>
      <c r="B88" s="228">
        <f>ROUND(N('Prior Year'!BX85), 0)</f>
        <v>0</v>
      </c>
      <c r="C88" s="228">
        <f>data!BX85</f>
        <v>0</v>
      </c>
      <c r="D88" s="228" t="s">
        <v>750</v>
      </c>
      <c r="E88" s="4" t="s">
        <v>750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808</v>
      </c>
      <c r="B89" s="228">
        <f>ROUND(N('Prior Year'!BY85), 0)</f>
        <v>455264</v>
      </c>
      <c r="C89" s="228">
        <f>data!BY85</f>
        <v>514629</v>
      </c>
      <c r="D89" s="228" t="s">
        <v>750</v>
      </c>
      <c r="E89" s="4" t="s">
        <v>750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809</v>
      </c>
      <c r="B90" s="228">
        <f>ROUND(N('Prior Year'!BZ85), 0)</f>
        <v>0</v>
      </c>
      <c r="C90" s="228">
        <f>data!BZ85</f>
        <v>0</v>
      </c>
      <c r="D90" s="228" t="s">
        <v>750</v>
      </c>
      <c r="E90" s="4" t="s">
        <v>750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810</v>
      </c>
      <c r="B91" s="228">
        <f>ROUND(N('Prior Year'!CA85), 0)</f>
        <v>0</v>
      </c>
      <c r="C91" s="228">
        <f>data!CA85</f>
        <v>0</v>
      </c>
      <c r="D91" s="228" t="s">
        <v>750</v>
      </c>
      <c r="E91" s="4" t="s">
        <v>750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811</v>
      </c>
      <c r="B92" s="228">
        <f>ROUND(N('Prior Year'!CB85), 0)</f>
        <v>0</v>
      </c>
      <c r="C92" s="228">
        <f>data!CB85</f>
        <v>0</v>
      </c>
      <c r="D92" s="228" t="s">
        <v>750</v>
      </c>
      <c r="E92" s="4" t="s">
        <v>750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812</v>
      </c>
      <c r="B93" s="228">
        <f>ROUND(N('Prior Year'!CC85), 0)</f>
        <v>0</v>
      </c>
      <c r="C93" s="228">
        <f>data!CC85</f>
        <v>0</v>
      </c>
      <c r="D93" s="228" t="s">
        <v>750</v>
      </c>
      <c r="E93" s="4" t="s">
        <v>750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813</v>
      </c>
      <c r="B94" s="228">
        <f>ROUND(N('Prior Year'!CD85), 0)</f>
        <v>495811</v>
      </c>
      <c r="C94" s="228">
        <f>data!CD85</f>
        <v>907193</v>
      </c>
      <c r="D94" s="228" t="s">
        <v>750</v>
      </c>
      <c r="E94" s="4" t="s">
        <v>750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nSzsFxM7XOme1SN6mpgPb2lcG2233/jvIxmbuIsk5ZNKHbmhQdE3fsCTErfb+ZwDIVMGPBW+jh2j7jDJpjzEew==" saltValue="M9Vx6HNylNxfHlA3jTCFWA==" spinCount="100000" sheet="1" objects="1" scenarios="1"/>
  <pageMargins left="0.7" right="0.7" top="0.75" bottom="0.75" header="0.3" footer="0.3"/>
  <pageSetup orientation="portrait"/>
  <customProperties>
    <customPr name="OrphanNamesChecke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43"/>
  <sheetViews>
    <sheetView topLeftCell="A32" workbookViewId="0">
      <selection activeCell="D11" sqref="D11"/>
    </sheetView>
  </sheetViews>
  <sheetFormatPr defaultRowHeight="15" x14ac:dyDescent="0.2"/>
  <cols>
    <col min="1" max="1" width="18.5546875" customWidth="1"/>
    <col min="2" max="2" width="10.109375" bestFit="1" customWidth="1"/>
    <col min="3" max="3" width="28.77734375" bestFit="1" customWidth="1"/>
    <col min="4" max="5" width="13.44140625" bestFit="1" customWidth="1"/>
  </cols>
  <sheetData>
    <row r="1" spans="1:4" ht="15.75" x14ac:dyDescent="0.25">
      <c r="A1" s="268" t="s">
        <v>814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815</v>
      </c>
      <c r="B3" s="267"/>
      <c r="C3" s="267"/>
      <c r="D3" s="267"/>
    </row>
    <row r="4" spans="1:4" ht="15.75" x14ac:dyDescent="0.25">
      <c r="A4" s="267" t="s">
        <v>816</v>
      </c>
      <c r="B4" s="267"/>
      <c r="C4" s="267"/>
      <c r="D4" s="267"/>
    </row>
    <row r="5" spans="1:4" ht="15.75" x14ac:dyDescent="0.25">
      <c r="A5" s="1" t="s">
        <v>817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818</v>
      </c>
      <c r="B7" s="267"/>
      <c r="C7" s="267"/>
      <c r="D7" s="267"/>
    </row>
    <row r="8" spans="1:4" ht="15.75" x14ac:dyDescent="0.25">
      <c r="A8" s="309" t="s">
        <v>819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820</v>
      </c>
      <c r="B11" s="267"/>
      <c r="C11" s="267"/>
      <c r="D11" s="267">
        <f>N(data!C380)</f>
        <v>725564</v>
      </c>
    </row>
    <row r="12" spans="1:4" ht="15.75" x14ac:dyDescent="0.25">
      <c r="A12" s="269" t="s">
        <v>821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822</v>
      </c>
      <c r="B14" s="267"/>
      <c r="C14" s="267"/>
    </row>
    <row r="15" spans="1:4" ht="15.75" x14ac:dyDescent="0.25">
      <c r="A15" s="344" t="s">
        <v>1369</v>
      </c>
      <c r="B15" s="344" t="s">
        <v>236</v>
      </c>
      <c r="C15" s="344" t="s">
        <v>1370</v>
      </c>
      <c r="D15" s="344" t="s">
        <v>1371</v>
      </c>
    </row>
    <row r="16" spans="1:4" ht="15.75" x14ac:dyDescent="0.25">
      <c r="A16" s="342" t="s">
        <v>1372</v>
      </c>
      <c r="B16" s="342" t="s">
        <v>297</v>
      </c>
      <c r="C16" s="342" t="s">
        <v>1373</v>
      </c>
      <c r="D16" s="341"/>
    </row>
    <row r="17" spans="1:4" ht="15.75" x14ac:dyDescent="0.25">
      <c r="A17" s="343" t="s">
        <v>297</v>
      </c>
      <c r="B17" s="343" t="s">
        <v>297</v>
      </c>
      <c r="C17" s="343" t="s">
        <v>297</v>
      </c>
      <c r="D17" s="345"/>
    </row>
    <row r="18" spans="1:4" ht="15.75" x14ac:dyDescent="0.25">
      <c r="A18" s="343" t="s">
        <v>1374</v>
      </c>
      <c r="B18" s="343" t="s">
        <v>297</v>
      </c>
      <c r="C18" s="343" t="s">
        <v>1375</v>
      </c>
      <c r="D18" s="346"/>
    </row>
    <row r="19" spans="1:4" ht="15.75" x14ac:dyDescent="0.25">
      <c r="A19" s="343" t="s">
        <v>297</v>
      </c>
      <c r="B19" s="343" t="s">
        <v>1376</v>
      </c>
      <c r="C19" s="343" t="s">
        <v>1377</v>
      </c>
      <c r="D19" s="346">
        <v>10786</v>
      </c>
    </row>
    <row r="20" spans="1:4" ht="15.75" x14ac:dyDescent="0.25">
      <c r="A20" s="343" t="s">
        <v>297</v>
      </c>
      <c r="B20" s="343" t="s">
        <v>1378</v>
      </c>
      <c r="C20" s="343" t="s">
        <v>1379</v>
      </c>
      <c r="D20" s="346">
        <v>-24151</v>
      </c>
    </row>
    <row r="21" spans="1:4" ht="15.75" x14ac:dyDescent="0.25">
      <c r="A21" s="343" t="s">
        <v>297</v>
      </c>
      <c r="B21" s="343" t="s">
        <v>1380</v>
      </c>
      <c r="C21" s="343" t="s">
        <v>1381</v>
      </c>
      <c r="D21" s="346">
        <v>-30585</v>
      </c>
    </row>
    <row r="22" spans="1:4" ht="15.75" x14ac:dyDescent="0.25">
      <c r="A22" s="343" t="s">
        <v>297</v>
      </c>
      <c r="B22" s="343" t="s">
        <v>1382</v>
      </c>
      <c r="C22" s="343" t="s">
        <v>1383</v>
      </c>
      <c r="D22" s="346">
        <v>-3</v>
      </c>
    </row>
    <row r="23" spans="1:4" ht="15.75" x14ac:dyDescent="0.25">
      <c r="A23" s="343" t="s">
        <v>1384</v>
      </c>
      <c r="B23" s="343" t="s">
        <v>297</v>
      </c>
      <c r="C23" s="343" t="s">
        <v>297</v>
      </c>
      <c r="D23" s="346">
        <f>SUM(D19:D22)</f>
        <v>-43953</v>
      </c>
    </row>
    <row r="24" spans="1:4" ht="15.75" x14ac:dyDescent="0.25">
      <c r="A24" s="343" t="s">
        <v>297</v>
      </c>
      <c r="B24" s="343" t="s">
        <v>297</v>
      </c>
      <c r="C24" s="343" t="s">
        <v>297</v>
      </c>
      <c r="D24" s="346"/>
    </row>
    <row r="25" spans="1:4" ht="15.75" x14ac:dyDescent="0.25">
      <c r="A25" s="343" t="s">
        <v>1385</v>
      </c>
      <c r="B25" s="343" t="s">
        <v>297</v>
      </c>
      <c r="C25" s="343" t="s">
        <v>599</v>
      </c>
      <c r="D25" s="346"/>
    </row>
    <row r="26" spans="1:4" ht="15.75" x14ac:dyDescent="0.25">
      <c r="A26" s="343" t="s">
        <v>297</v>
      </c>
      <c r="B26" s="343" t="s">
        <v>1386</v>
      </c>
      <c r="C26" s="343" t="s">
        <v>1387</v>
      </c>
      <c r="D26" s="346">
        <v>-17166</v>
      </c>
    </row>
    <row r="27" spans="1:4" ht="15.75" x14ac:dyDescent="0.25">
      <c r="A27" s="343" t="s">
        <v>1388</v>
      </c>
      <c r="B27" s="343" t="s">
        <v>297</v>
      </c>
      <c r="C27" s="343" t="s">
        <v>297</v>
      </c>
      <c r="D27" s="346">
        <v>-17166</v>
      </c>
    </row>
    <row r="28" spans="1:4" ht="15.75" x14ac:dyDescent="0.25">
      <c r="A28" s="343" t="s">
        <v>297</v>
      </c>
      <c r="B28" s="343" t="s">
        <v>297</v>
      </c>
      <c r="C28" s="343" t="s">
        <v>297</v>
      </c>
      <c r="D28" s="346"/>
    </row>
    <row r="29" spans="1:4" ht="15.75" x14ac:dyDescent="0.25">
      <c r="A29" s="343" t="s">
        <v>1392</v>
      </c>
      <c r="B29" s="343" t="s">
        <v>297</v>
      </c>
      <c r="C29" s="343" t="s">
        <v>1393</v>
      </c>
      <c r="D29" s="346"/>
    </row>
    <row r="30" spans="1:4" ht="15.75" x14ac:dyDescent="0.25">
      <c r="A30" s="343" t="s">
        <v>297</v>
      </c>
      <c r="B30" s="343" t="s">
        <v>1394</v>
      </c>
      <c r="C30" s="343" t="s">
        <v>1395</v>
      </c>
      <c r="D30" s="346">
        <v>0</v>
      </c>
    </row>
    <row r="31" spans="1:4" ht="15.75" x14ac:dyDescent="0.25">
      <c r="A31" s="343" t="s">
        <v>297</v>
      </c>
      <c r="B31" s="343" t="s">
        <v>1396</v>
      </c>
      <c r="C31" s="343" t="s">
        <v>1397</v>
      </c>
      <c r="D31" s="346">
        <v>-12</v>
      </c>
    </row>
    <row r="32" spans="1:4" ht="15.75" x14ac:dyDescent="0.25">
      <c r="A32" s="343" t="s">
        <v>1398</v>
      </c>
      <c r="B32" s="343" t="s">
        <v>297</v>
      </c>
      <c r="C32" s="343" t="s">
        <v>297</v>
      </c>
      <c r="D32" s="346">
        <v>-12</v>
      </c>
    </row>
    <row r="33" spans="1:4" ht="15.75" x14ac:dyDescent="0.25">
      <c r="A33" s="343" t="s">
        <v>297</v>
      </c>
      <c r="B33" s="343" t="s">
        <v>297</v>
      </c>
      <c r="C33" s="343" t="s">
        <v>297</v>
      </c>
      <c r="D33" s="346"/>
    </row>
    <row r="34" spans="1:4" ht="15.75" x14ac:dyDescent="0.25">
      <c r="A34" s="343" t="s">
        <v>1389</v>
      </c>
      <c r="B34" s="343" t="s">
        <v>297</v>
      </c>
      <c r="C34" s="343" t="s">
        <v>1390</v>
      </c>
      <c r="D34" s="346"/>
    </row>
    <row r="35" spans="1:4" ht="15.75" x14ac:dyDescent="0.25">
      <c r="A35" s="343" t="s">
        <v>297</v>
      </c>
      <c r="B35" s="343" t="s">
        <v>1399</v>
      </c>
      <c r="C35" s="343" t="s">
        <v>1400</v>
      </c>
      <c r="D35" s="346">
        <v>-265142</v>
      </c>
    </row>
    <row r="36" spans="1:4" ht="15.75" x14ac:dyDescent="0.25">
      <c r="A36" s="343" t="s">
        <v>297</v>
      </c>
      <c r="B36" s="343" t="s">
        <v>1401</v>
      </c>
      <c r="C36" s="343" t="s">
        <v>1402</v>
      </c>
      <c r="D36" s="346">
        <v>-399291</v>
      </c>
    </row>
    <row r="37" spans="1:4" ht="15.75" x14ac:dyDescent="0.25">
      <c r="A37" s="343" t="s">
        <v>1391</v>
      </c>
      <c r="B37" s="343" t="s">
        <v>297</v>
      </c>
      <c r="C37" s="343" t="s">
        <v>297</v>
      </c>
      <c r="D37" s="346">
        <v>-664433</v>
      </c>
    </row>
    <row r="38" spans="1:4" ht="15.75" x14ac:dyDescent="0.25">
      <c r="A38" s="267"/>
      <c r="B38" s="267"/>
      <c r="C38" s="1" t="s">
        <v>232</v>
      </c>
      <c r="D38" s="346">
        <f>SUM(D19:D37)/2</f>
        <v>-725564</v>
      </c>
    </row>
    <row r="39" spans="1:4" ht="15.75" x14ac:dyDescent="0.25">
      <c r="A39" s="267"/>
      <c r="B39" s="267"/>
      <c r="C39" s="267"/>
      <c r="D39" s="267"/>
    </row>
    <row r="40" spans="1:4" ht="15.75" x14ac:dyDescent="0.25">
      <c r="A40" s="267"/>
      <c r="B40" s="267"/>
      <c r="C40" s="267"/>
      <c r="D40" s="267"/>
    </row>
    <row r="41" spans="1:4" ht="15.75" x14ac:dyDescent="0.25">
      <c r="A41" s="269" t="s">
        <v>823</v>
      </c>
      <c r="B41" s="267"/>
      <c r="C41" s="267"/>
      <c r="D41" s="267">
        <f>N(data!C414)</f>
        <v>354718</v>
      </c>
    </row>
    <row r="42" spans="1:4" ht="15.75" x14ac:dyDescent="0.25">
      <c r="A42" s="269" t="s">
        <v>821</v>
      </c>
      <c r="B42" s="267"/>
      <c r="C42" s="267"/>
      <c r="D42" s="267" t="str">
        <f>IF(OR(N(data!C414)&gt;1000000,N(data!C414)/(N(data!D416))&gt;0.01),"Yes","No")</f>
        <v>No</v>
      </c>
    </row>
    <row r="43" spans="1:4" ht="15.75" x14ac:dyDescent="0.25">
      <c r="A43" s="267"/>
      <c r="B43" s="267"/>
      <c r="C43" s="267"/>
      <c r="D43" s="267"/>
    </row>
  </sheetData>
  <sheetProtection algorithmName="SHA-512" hashValue="XLcXliP58u301qSLpx5+134ulhI04grnrcpc7q++/Ls524gzLsIOjAxeLROCDCDO91zfj9Sn97DFZk0+MF0Sug==" saltValue="IVsyZkNZ9MrAIlgvm7jUiA==" spinCount="100000" sheet="1" objects="1" scenarios="1"/>
  <pageMargins left="0.7" right="0.7" top="0.75" bottom="0.75" header="0.3" footer="0.3"/>
  <pageSetup orientation="portrait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11" workbookViewId="0">
      <selection activeCell="D40" sqref="D40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824</v>
      </c>
    </row>
    <row r="2" spans="1:7" ht="20.100000000000001" customHeight="1" x14ac:dyDescent="0.25">
      <c r="A2" s="62" t="s">
        <v>825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H-107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NORTH VALLEY HOSPITAL OCPHD#4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OKANOGAN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826</v>
      </c>
      <c r="C7" s="67"/>
      <c r="D7" s="64" t="str">
        <f>"  "&amp;data!C104</f>
        <v xml:space="preserve">  John McReynolds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827</v>
      </c>
      <c r="C8" s="67"/>
      <c r="D8" s="64" t="str">
        <f>"  "&amp;data!C105</f>
        <v xml:space="preserve">  Melissa Thompson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828</v>
      </c>
      <c r="C9" s="67"/>
      <c r="D9" s="64" t="str">
        <f>"  "&amp;data!C106</f>
        <v xml:space="preserve">  Adam Tibbs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829</v>
      </c>
      <c r="C10" s="67"/>
      <c r="D10" s="64" t="str">
        <f>"  "&amp;data!C107</f>
        <v xml:space="preserve">  509-486-2151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830</v>
      </c>
      <c r="C11" s="67"/>
      <c r="D11" s="64" t="str">
        <f>"  "&amp;data!C108</f>
        <v xml:space="preserve">  509-486-4637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831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832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408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833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 xml:space="preserve"> X</v>
      </c>
      <c r="B19" s="80" t="s">
        <v>834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835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836</v>
      </c>
      <c r="C23" s="64"/>
      <c r="D23" s="64"/>
      <c r="E23" s="64"/>
      <c r="F23" s="63">
        <f>data!C127</f>
        <v>186</v>
      </c>
      <c r="G23" s="67">
        <f>data!D127</f>
        <v>665</v>
      </c>
    </row>
    <row r="24" spans="1:7" ht="20.100000000000001" customHeight="1" x14ac:dyDescent="0.25">
      <c r="A24" s="63"/>
      <c r="B24" s="64" t="s">
        <v>837</v>
      </c>
      <c r="C24" s="64"/>
      <c r="D24" s="64"/>
      <c r="E24" s="64"/>
      <c r="F24" s="63">
        <f>data!C128</f>
        <v>141</v>
      </c>
      <c r="G24" s="67">
        <f>data!D128</f>
        <v>15661</v>
      </c>
    </row>
    <row r="25" spans="1:7" ht="20.100000000000001" customHeight="1" x14ac:dyDescent="0.25">
      <c r="A25" s="63"/>
      <c r="B25" s="64" t="s">
        <v>838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839</v>
      </c>
      <c r="C29" s="67"/>
      <c r="D29" s="79" t="s">
        <v>193</v>
      </c>
      <c r="E29" s="83" t="s">
        <v>839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0</v>
      </c>
      <c r="E30" s="64" t="s">
        <v>344</v>
      </c>
      <c r="F30" s="67"/>
      <c r="G30" s="67">
        <f>data!C139</f>
        <v>42</v>
      </c>
    </row>
    <row r="31" spans="1:7" ht="20.100000000000001" customHeight="1" x14ac:dyDescent="0.25">
      <c r="A31" s="63"/>
      <c r="B31" s="83" t="s">
        <v>840</v>
      </c>
      <c r="C31" s="67"/>
      <c r="D31" s="67">
        <f>data!C133</f>
        <v>0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841</v>
      </c>
      <c r="C32" s="67"/>
      <c r="D32" s="67">
        <f>data!C134</f>
        <v>18</v>
      </c>
      <c r="E32" s="64" t="s">
        <v>842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843</v>
      </c>
      <c r="C33" s="67"/>
      <c r="D33" s="67">
        <f>data!C135</f>
        <v>0</v>
      </c>
      <c r="E33" s="64" t="s">
        <v>844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845</v>
      </c>
      <c r="C34" s="67"/>
      <c r="D34" s="67">
        <f>data!C136</f>
        <v>0</v>
      </c>
      <c r="E34" s="64" t="s">
        <v>347</v>
      </c>
      <c r="F34" s="67"/>
      <c r="G34" s="67">
        <f>data!E143</f>
        <v>60</v>
      </c>
    </row>
    <row r="35" spans="1:7" ht="20.100000000000001" customHeight="1" x14ac:dyDescent="0.25">
      <c r="A35" s="63"/>
      <c r="B35" s="83" t="s">
        <v>846</v>
      </c>
      <c r="C35" s="67"/>
      <c r="D35" s="67">
        <f>data!C137</f>
        <v>0</v>
      </c>
      <c r="E35" s="64" t="s">
        <v>847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67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848</v>
      </c>
      <c r="C40" s="91" t="s">
        <v>299</v>
      </c>
      <c r="D40" s="72">
        <f>data!C147</f>
        <v>482096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  <customProperties>
    <customPr name="OrphanNamesChecke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I16" sqref="I16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849</v>
      </c>
      <c r="G1" s="61" t="s">
        <v>850</v>
      </c>
    </row>
    <row r="2" spans="1:7" ht="20.100000000000001" customHeight="1" x14ac:dyDescent="0.25">
      <c r="A2" s="1" t="str">
        <f>"Hospital: "&amp;data!C98</f>
        <v>Hospital: NORTH VALLEY HOSPITAL OCPHD#4</v>
      </c>
      <c r="G2" s="4" t="s">
        <v>851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852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853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854</v>
      </c>
      <c r="B6" s="79" t="s">
        <v>332</v>
      </c>
      <c r="C6" s="79" t="s">
        <v>855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149</v>
      </c>
      <c r="C7" s="127">
        <f>data!B155</f>
        <v>477</v>
      </c>
      <c r="D7" s="127">
        <f>data!B156</f>
        <v>9073</v>
      </c>
      <c r="E7" s="127">
        <f>data!B157</f>
        <v>3221779</v>
      </c>
      <c r="F7" s="127">
        <f>data!B158</f>
        <v>19284899</v>
      </c>
      <c r="G7" s="127">
        <f>data!B157+data!B158</f>
        <v>22506678</v>
      </c>
    </row>
    <row r="8" spans="1:7" ht="20.100000000000001" customHeight="1" x14ac:dyDescent="0.25">
      <c r="A8" s="63" t="s">
        <v>354</v>
      </c>
      <c r="B8" s="127">
        <f>data!C154</f>
        <v>14</v>
      </c>
      <c r="C8" s="127">
        <f>data!C155</f>
        <v>74</v>
      </c>
      <c r="D8" s="127">
        <f>data!C156</f>
        <v>6070</v>
      </c>
      <c r="E8" s="127">
        <f>data!C157</f>
        <v>499815</v>
      </c>
      <c r="F8" s="127">
        <f>data!C158</f>
        <v>12586906</v>
      </c>
      <c r="G8" s="127">
        <f>data!C157+data!C158</f>
        <v>13086721</v>
      </c>
    </row>
    <row r="9" spans="1:7" ht="20.100000000000001" customHeight="1" x14ac:dyDescent="0.25">
      <c r="A9" s="63" t="s">
        <v>856</v>
      </c>
      <c r="B9" s="127">
        <f>data!D154</f>
        <v>23</v>
      </c>
      <c r="C9" s="127">
        <f>data!D155</f>
        <v>114</v>
      </c>
      <c r="D9" s="127">
        <f>data!D156</f>
        <v>7148</v>
      </c>
      <c r="E9" s="127">
        <f>data!D157</f>
        <v>769985</v>
      </c>
      <c r="F9" s="127">
        <f>data!D158</f>
        <v>8782667</v>
      </c>
      <c r="G9" s="127">
        <f>data!D157+data!D158</f>
        <v>9552652</v>
      </c>
    </row>
    <row r="10" spans="1:7" ht="20.100000000000001" customHeight="1" x14ac:dyDescent="0.25">
      <c r="A10" s="78" t="s">
        <v>229</v>
      </c>
      <c r="B10" s="127">
        <f>data!E154</f>
        <v>186</v>
      </c>
      <c r="C10" s="127">
        <f>data!E155</f>
        <v>665</v>
      </c>
      <c r="D10" s="127">
        <f>data!E156</f>
        <v>22291</v>
      </c>
      <c r="E10" s="127">
        <f>data!E157</f>
        <v>4491579</v>
      </c>
      <c r="F10" s="127">
        <f>data!E158</f>
        <v>40654472</v>
      </c>
      <c r="G10" s="127">
        <f>E10+F10</f>
        <v>45146051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857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853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854</v>
      </c>
      <c r="B15" s="79" t="s">
        <v>332</v>
      </c>
      <c r="C15" s="79" t="s">
        <v>855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113</v>
      </c>
      <c r="C16" s="127">
        <f>data!B161</f>
        <v>1580</v>
      </c>
      <c r="D16" s="127">
        <f>data!B162</f>
        <v>0</v>
      </c>
      <c r="E16" s="127">
        <f>data!B163</f>
        <v>2007651</v>
      </c>
      <c r="F16" s="127">
        <f>data!B164</f>
        <v>0</v>
      </c>
      <c r="G16" s="127">
        <f>data!B163+data!B164</f>
        <v>2007651</v>
      </c>
    </row>
    <row r="17" spans="1:7" ht="20.100000000000001" customHeight="1" x14ac:dyDescent="0.25">
      <c r="A17" s="63" t="s">
        <v>354</v>
      </c>
      <c r="B17" s="127">
        <f>data!C160</f>
        <v>8</v>
      </c>
      <c r="C17" s="127">
        <f>data!C161</f>
        <v>9554</v>
      </c>
      <c r="D17" s="127">
        <f>data!C162</f>
        <v>0</v>
      </c>
      <c r="E17" s="127">
        <f>data!C163</f>
        <v>2953227</v>
      </c>
      <c r="F17" s="127">
        <f>data!C164</f>
        <v>0</v>
      </c>
      <c r="G17" s="127">
        <f>data!C163+data!C164</f>
        <v>2953227</v>
      </c>
    </row>
    <row r="18" spans="1:7" ht="20.100000000000001" customHeight="1" x14ac:dyDescent="0.25">
      <c r="A18" s="63" t="s">
        <v>856</v>
      </c>
      <c r="B18" s="127">
        <f>data!D160</f>
        <v>20</v>
      </c>
      <c r="C18" s="127">
        <f>data!D161</f>
        <v>4527</v>
      </c>
      <c r="D18" s="127">
        <f>data!D162</f>
        <v>0</v>
      </c>
      <c r="E18" s="127">
        <f>data!D163</f>
        <v>2267231</v>
      </c>
      <c r="F18" s="127">
        <f>data!D164</f>
        <v>0</v>
      </c>
      <c r="G18" s="127">
        <f>data!D163+data!D164</f>
        <v>2267231</v>
      </c>
    </row>
    <row r="19" spans="1:7" ht="20.100000000000001" customHeight="1" x14ac:dyDescent="0.25">
      <c r="A19" s="78" t="s">
        <v>229</v>
      </c>
      <c r="B19" s="127">
        <f>data!E160</f>
        <v>141</v>
      </c>
      <c r="C19" s="127">
        <f>data!E161</f>
        <v>15661</v>
      </c>
      <c r="D19" s="127">
        <f>data!E162</f>
        <v>0</v>
      </c>
      <c r="E19" s="127">
        <f>data!E163</f>
        <v>7228109</v>
      </c>
      <c r="F19" s="127">
        <f>data!E164</f>
        <v>0</v>
      </c>
      <c r="G19" s="127">
        <f>data!E163+data!E164</f>
        <v>7228109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858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853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854</v>
      </c>
      <c r="B24" s="79" t="s">
        <v>332</v>
      </c>
      <c r="C24" s="79" t="s">
        <v>855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856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859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860</v>
      </c>
      <c r="C32" s="139">
        <f>data!B173</f>
        <v>5263255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861</v>
      </c>
      <c r="C33" s="135">
        <f>data!C173</f>
        <v>1938442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  <customProperties>
    <customPr name="OrphanNamesChecke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7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862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NORTH VALLEY HOSPITAL OCPHD#4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863</v>
      </c>
      <c r="C6" s="63">
        <f>data!C181</f>
        <v>963255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149179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149774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2001797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247940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132367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864</v>
      </c>
      <c r="C14" s="63">
        <f>data!D189</f>
        <v>3644312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865</v>
      </c>
      <c r="C18" s="63">
        <f>data!C191</f>
        <v>23035</v>
      </c>
    </row>
    <row r="19" spans="1:3" ht="20.100000000000001" customHeight="1" x14ac:dyDescent="0.25">
      <c r="A19" s="63">
        <v>13</v>
      </c>
      <c r="B19" s="64" t="s">
        <v>866</v>
      </c>
      <c r="C19" s="63">
        <f>data!C192</f>
        <v>478255</v>
      </c>
    </row>
    <row r="20" spans="1:3" ht="20.100000000000001" customHeight="1" x14ac:dyDescent="0.25">
      <c r="A20" s="63">
        <v>14</v>
      </c>
      <c r="B20" s="64" t="s">
        <v>867</v>
      </c>
      <c r="C20" s="63">
        <f>data!D193</f>
        <v>501290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868</v>
      </c>
      <c r="C24" s="148"/>
    </row>
    <row r="25" spans="1:3" ht="20.100000000000001" customHeight="1" x14ac:dyDescent="0.25">
      <c r="A25" s="63">
        <v>17</v>
      </c>
      <c r="B25" s="64" t="s">
        <v>869</v>
      </c>
      <c r="C25" s="63">
        <f>data!C195</f>
        <v>273112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187663</v>
      </c>
    </row>
    <row r="27" spans="1:3" ht="20.100000000000001" customHeight="1" x14ac:dyDescent="0.25">
      <c r="A27" s="63">
        <v>19</v>
      </c>
      <c r="B27" s="64" t="s">
        <v>870</v>
      </c>
      <c r="C27" s="63">
        <f>data!D197</f>
        <v>460775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871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86971</v>
      </c>
    </row>
    <row r="32" spans="1:3" ht="20.100000000000001" customHeight="1" x14ac:dyDescent="0.25">
      <c r="A32" s="63">
        <v>22</v>
      </c>
      <c r="B32" s="64" t="s">
        <v>872</v>
      </c>
      <c r="C32" s="63">
        <f>data!C200</f>
        <v>128234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873</v>
      </c>
      <c r="C34" s="63">
        <f>data!D202</f>
        <v>215205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874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365138</v>
      </c>
    </row>
    <row r="40" spans="1:3" ht="20.100000000000001" customHeight="1" x14ac:dyDescent="0.25">
      <c r="A40" s="63">
        <v>28</v>
      </c>
      <c r="B40" s="64" t="s">
        <v>875</v>
      </c>
      <c r="C40" s="63">
        <f>data!D206</f>
        <v>365138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  <customProperties>
    <customPr name="OrphanNamesChecke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9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876</v>
      </c>
    </row>
    <row r="3" spans="1:6" ht="20.100000000000001" customHeight="1" x14ac:dyDescent="0.25">
      <c r="A3" s="120" t="str">
        <f>"Hospital: "&amp;data!C98</f>
        <v>Hospital: NORTH VALLEY HOSPITAL OCPHD#4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877</v>
      </c>
      <c r="D5" s="151"/>
      <c r="E5" s="151"/>
      <c r="F5" s="151" t="s">
        <v>878</v>
      </c>
    </row>
    <row r="6" spans="1:6" ht="20.100000000000001" customHeight="1" x14ac:dyDescent="0.25">
      <c r="A6" s="152"/>
      <c r="B6" s="70"/>
      <c r="C6" s="153" t="s">
        <v>879</v>
      </c>
      <c r="D6" s="153" t="s">
        <v>386</v>
      </c>
      <c r="E6" s="153" t="s">
        <v>880</v>
      </c>
      <c r="F6" s="153" t="s">
        <v>879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358540</v>
      </c>
      <c r="D7" s="67">
        <f>data!C211</f>
        <v>0</v>
      </c>
      <c r="E7" s="67">
        <f>data!D211</f>
        <v>0</v>
      </c>
      <c r="F7" s="67">
        <f>data!E211</f>
        <v>358540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719936</v>
      </c>
      <c r="D8" s="67">
        <f>data!C212</f>
        <v>0</v>
      </c>
      <c r="E8" s="67">
        <f>data!D212</f>
        <v>0</v>
      </c>
      <c r="F8" s="67">
        <f>data!E212</f>
        <v>719936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14473214</v>
      </c>
      <c r="D9" s="67">
        <f>data!C213</f>
        <v>226937</v>
      </c>
      <c r="E9" s="67">
        <f>data!D213</f>
        <v>0</v>
      </c>
      <c r="F9" s="67">
        <f>data!E213</f>
        <v>14700151</v>
      </c>
    </row>
    <row r="10" spans="1:6" ht="20.100000000000001" customHeight="1" x14ac:dyDescent="0.25">
      <c r="A10" s="63">
        <v>4</v>
      </c>
      <c r="B10" s="67" t="s">
        <v>881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882</v>
      </c>
      <c r="C11" s="67">
        <f>data!B215</f>
        <v>7373508</v>
      </c>
      <c r="D11" s="67">
        <f>data!C215</f>
        <v>42352</v>
      </c>
      <c r="E11" s="67">
        <f>data!D215</f>
        <v>0</v>
      </c>
      <c r="F11" s="67">
        <f>data!E215</f>
        <v>7415860</v>
      </c>
    </row>
    <row r="12" spans="1:6" ht="20.100000000000001" customHeight="1" x14ac:dyDescent="0.25">
      <c r="A12" s="63">
        <v>6</v>
      </c>
      <c r="B12" s="67" t="s">
        <v>883</v>
      </c>
      <c r="C12" s="67">
        <f>data!B216</f>
        <v>9389639</v>
      </c>
      <c r="D12" s="67">
        <f>data!C216</f>
        <v>111745</v>
      </c>
      <c r="E12" s="67">
        <f>data!D216</f>
        <v>0</v>
      </c>
      <c r="F12" s="67">
        <f>data!E216</f>
        <v>9501384</v>
      </c>
    </row>
    <row r="13" spans="1:6" ht="20.100000000000001" customHeight="1" x14ac:dyDescent="0.25">
      <c r="A13" s="63">
        <v>7</v>
      </c>
      <c r="B13" s="67" t="s">
        <v>884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397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885</v>
      </c>
      <c r="C15" s="67">
        <f>data!B219</f>
        <v>3560648</v>
      </c>
      <c r="D15" s="67">
        <f>data!C219</f>
        <v>4920184</v>
      </c>
      <c r="E15" s="67" t="str">
        <f>data!D219</f>
        <v xml:space="preserve"> </v>
      </c>
      <c r="F15" s="67">
        <f>data!E219</f>
        <v>8480832</v>
      </c>
    </row>
    <row r="16" spans="1:6" ht="20.100000000000001" customHeight="1" x14ac:dyDescent="0.25">
      <c r="A16" s="63">
        <v>10</v>
      </c>
      <c r="B16" s="67" t="s">
        <v>612</v>
      </c>
      <c r="C16" s="67">
        <f>data!B220</f>
        <v>35875485</v>
      </c>
      <c r="D16" s="67">
        <f>data!C220</f>
        <v>5301218</v>
      </c>
      <c r="E16" s="67">
        <f>data!D220</f>
        <v>0</v>
      </c>
      <c r="F16" s="67">
        <f>data!E220</f>
        <v>41176703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399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877</v>
      </c>
      <c r="D21" s="4" t="s">
        <v>229</v>
      </c>
      <c r="E21" s="153"/>
      <c r="F21" s="153" t="s">
        <v>878</v>
      </c>
    </row>
    <row r="22" spans="1:6" ht="20.100000000000001" customHeight="1" x14ac:dyDescent="0.25">
      <c r="A22" s="154"/>
      <c r="B22" s="146"/>
      <c r="C22" s="153" t="s">
        <v>879</v>
      </c>
      <c r="D22" s="153" t="s">
        <v>886</v>
      </c>
      <c r="E22" s="153" t="s">
        <v>880</v>
      </c>
      <c r="F22" s="153" t="s">
        <v>879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717974</v>
      </c>
      <c r="D24" s="67">
        <f>data!C225</f>
        <v>366</v>
      </c>
      <c r="E24" s="67">
        <f>data!D225</f>
        <v>0</v>
      </c>
      <c r="F24" s="67">
        <f>data!E225</f>
        <v>718340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7827442</v>
      </c>
      <c r="D25" s="67">
        <f>data!C226</f>
        <v>760580</v>
      </c>
      <c r="E25" s="67">
        <f>data!D226</f>
        <v>0</v>
      </c>
      <c r="F25" s="67">
        <f>data!E226</f>
        <v>8588022</v>
      </c>
    </row>
    <row r="26" spans="1:6" ht="20.100000000000001" customHeight="1" x14ac:dyDescent="0.25">
      <c r="A26" s="63">
        <v>14</v>
      </c>
      <c r="B26" s="67" t="s">
        <v>881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882</v>
      </c>
      <c r="C27" s="67">
        <f>data!B228</f>
        <v>5666987</v>
      </c>
      <c r="D27" s="67">
        <f>data!C228</f>
        <v>183771</v>
      </c>
      <c r="E27" s="67">
        <f>data!D228</f>
        <v>0</v>
      </c>
      <c r="F27" s="67">
        <f>data!E228</f>
        <v>5850758</v>
      </c>
    </row>
    <row r="28" spans="1:6" ht="20.100000000000001" customHeight="1" x14ac:dyDescent="0.25">
      <c r="A28" s="63">
        <v>16</v>
      </c>
      <c r="B28" s="67" t="s">
        <v>883</v>
      </c>
      <c r="C28" s="67">
        <f>data!B229</f>
        <v>7835116</v>
      </c>
      <c r="D28" s="67">
        <f>data!C229</f>
        <v>585054</v>
      </c>
      <c r="E28" s="67">
        <f>data!D229</f>
        <v>0</v>
      </c>
      <c r="F28" s="67">
        <f>data!E229</f>
        <v>8420170</v>
      </c>
    </row>
    <row r="29" spans="1:6" ht="20.100000000000001" customHeight="1" x14ac:dyDescent="0.25">
      <c r="A29" s="63">
        <v>17</v>
      </c>
      <c r="B29" s="67" t="s">
        <v>884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397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885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612</v>
      </c>
      <c r="C32" s="67">
        <f>data!B233</f>
        <v>22047519</v>
      </c>
      <c r="D32" s="67">
        <f>data!C233</f>
        <v>1529771</v>
      </c>
      <c r="E32" s="67">
        <f>data!D233</f>
        <v>0</v>
      </c>
      <c r="F32" s="67">
        <f>data!E233</f>
        <v>23577290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  <customProperties>
    <customPr name="OrphanNamesChecke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16" workbookViewId="0">
      <selection activeCell="G19" sqref="G19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887</v>
      </c>
      <c r="B1" s="62"/>
      <c r="C1" s="62"/>
      <c r="D1" s="61" t="s">
        <v>888</v>
      </c>
    </row>
    <row r="2" spans="1:4" ht="20.100000000000001" customHeight="1" x14ac:dyDescent="0.25">
      <c r="A2" s="120" t="str">
        <f>"Hospital: "&amp;data!C98</f>
        <v>Hospital: NORTH VALLEY HOSPITAL OCPHD#4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889</v>
      </c>
      <c r="C4" s="156" t="s">
        <v>890</v>
      </c>
      <c r="D4" s="157"/>
    </row>
    <row r="5" spans="1:4" ht="20.100000000000001" customHeight="1" x14ac:dyDescent="0.25">
      <c r="A5" s="124">
        <v>1</v>
      </c>
      <c r="B5" s="158"/>
      <c r="C5" s="80" t="s">
        <v>401</v>
      </c>
      <c r="D5" s="67">
        <f>data!D237</f>
        <v>2368570</v>
      </c>
    </row>
    <row r="6" spans="1:4" ht="20.100000000000001" customHeight="1" x14ac:dyDescent="0.25">
      <c r="A6" s="63">
        <v>2</v>
      </c>
      <c r="B6" s="69"/>
      <c r="C6" s="142" t="s">
        <v>497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2273100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10639478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406</v>
      </c>
      <c r="D10" s="67">
        <f>data!C242</f>
        <v>0</v>
      </c>
    </row>
    <row r="11" spans="1:4" ht="20.100000000000001" customHeight="1" x14ac:dyDescent="0.25">
      <c r="A11" s="63">
        <v>7</v>
      </c>
      <c r="B11" s="158">
        <v>5850</v>
      </c>
      <c r="C11" s="67" t="s">
        <v>891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5128564</v>
      </c>
    </row>
    <row r="13" spans="1:4" ht="20.100000000000001" customHeight="1" x14ac:dyDescent="0.25">
      <c r="A13" s="63">
        <v>9</v>
      </c>
      <c r="B13" s="67"/>
      <c r="C13" s="67" t="s">
        <v>892</v>
      </c>
      <c r="D13" s="67">
        <f>data!D245</f>
        <v>18041142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410</v>
      </c>
      <c r="D15" s="153"/>
    </row>
    <row r="16" spans="1:4" ht="20.100000000000001" customHeight="1" x14ac:dyDescent="0.25">
      <c r="A16" s="152">
        <v>12</v>
      </c>
      <c r="B16" s="79"/>
      <c r="C16" s="64" t="s">
        <v>893</v>
      </c>
      <c r="D16" s="63">
        <f>data!C247</f>
        <v>441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412</v>
      </c>
      <c r="D18" s="67">
        <f>data!C249</f>
        <v>193782</v>
      </c>
    </row>
    <row r="19" spans="1:4" ht="20.100000000000001" customHeight="1" x14ac:dyDescent="0.25">
      <c r="A19" s="161">
        <v>15</v>
      </c>
      <c r="B19" s="158">
        <v>5910</v>
      </c>
      <c r="C19" s="80" t="s">
        <v>894</v>
      </c>
      <c r="D19" s="67">
        <f>data!C250</f>
        <v>672211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895</v>
      </c>
      <c r="D22" s="67">
        <f>data!D252</f>
        <v>865993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416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896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897</v>
      </c>
      <c r="C27" s="79"/>
      <c r="D27" s="67">
        <f>data!D258</f>
        <v>21275705</v>
      </c>
    </row>
    <row r="28" spans="1:4" ht="20.100000000000001" customHeight="1" x14ac:dyDescent="0.25">
      <c r="A28" s="72">
        <v>24</v>
      </c>
      <c r="B28" s="138" t="s">
        <v>898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  <customProperties>
    <customPr name="OrphanNamesChecked" r:id="rId1"/>
  </customProperties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2025-07-29T20:39:43Z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000000N5B320250622003842.xlsx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