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"/>
    </mc:Choice>
  </mc:AlternateContent>
  <xr:revisionPtr revIDLastSave="0" documentId="8_{E882FB7E-03A9-4B20-BB49-A109C178368F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24" l="1"/>
  <c r="C414" i="24"/>
  <c r="BH77" i="24"/>
  <c r="BE77" i="24"/>
  <c r="BE83" i="24" s="1"/>
  <c r="AH77" i="24"/>
  <c r="AH83" i="24" s="1"/>
  <c r="C398" i="24"/>
  <c r="C218" i="24"/>
  <c r="C216" i="24"/>
  <c r="D161" i="24"/>
  <c r="D155" i="24"/>
  <c r="D128" i="24"/>
  <c r="E21" i="27"/>
  <c r="AO59" i="24"/>
  <c r="BY83" i="24"/>
  <c r="BN77" i="24"/>
  <c r="BN79" i="24"/>
  <c r="BN80" i="24"/>
  <c r="BN83" i="24" s="1"/>
  <c r="AY83" i="24"/>
  <c r="AJ83" i="24"/>
  <c r="AG83" i="24"/>
  <c r="AE80" i="24"/>
  <c r="AE83" i="24" s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Y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3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0" i="27"/>
  <c r="E19" i="27"/>
  <c r="E18" i="27"/>
  <c r="E17" i="27"/>
  <c r="D420" i="24"/>
  <c r="D415" i="24"/>
  <c r="D381" i="24"/>
  <c r="D366" i="24"/>
  <c r="C120" i="8" s="1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E218" i="24"/>
  <c r="E217" i="24"/>
  <c r="F13" i="6" s="1"/>
  <c r="E216" i="24"/>
  <c r="E215" i="24"/>
  <c r="E214" i="24"/>
  <c r="E213" i="24"/>
  <c r="E212" i="24"/>
  <c r="E211" i="24"/>
  <c r="C283" i="24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E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I371" i="36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CE64" i="24"/>
  <c r="CE63" i="24"/>
  <c r="I365" i="36" s="1"/>
  <c r="CE61" i="24"/>
  <c r="I363" i="36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G10" i="4" l="1"/>
  <c r="Q2" i="30"/>
  <c r="C25" i="8"/>
  <c r="F8" i="6"/>
  <c r="C284" i="24"/>
  <c r="F9" i="6"/>
  <c r="C285" i="24"/>
  <c r="F10" i="6"/>
  <c r="C286" i="24"/>
  <c r="F11" i="6"/>
  <c r="C287" i="24"/>
  <c r="F12" i="6"/>
  <c r="C288" i="24"/>
  <c r="F14" i="6"/>
  <c r="C289" i="24"/>
  <c r="F15" i="6"/>
  <c r="C290" i="24"/>
  <c r="C62" i="24"/>
  <c r="CE48" i="24"/>
  <c r="H3" i="31"/>
  <c r="D12" i="36"/>
  <c r="H4" i="31"/>
  <c r="E12" i="36"/>
  <c r="H5" i="31"/>
  <c r="F12" i="36"/>
  <c r="H6" i="31"/>
  <c r="G12" i="36"/>
  <c r="H7" i="31"/>
  <c r="H12" i="36"/>
  <c r="H8" i="31"/>
  <c r="I12" i="36"/>
  <c r="H9" i="31"/>
  <c r="C44" i="36"/>
  <c r="H10" i="31"/>
  <c r="D44" i="36"/>
  <c r="H11" i="31"/>
  <c r="E44" i="36"/>
  <c r="H12" i="31"/>
  <c r="F44" i="36"/>
  <c r="H13" i="31"/>
  <c r="G44" i="36"/>
  <c r="H14" i="31"/>
  <c r="H44" i="36"/>
  <c r="H15" i="31"/>
  <c r="I44" i="36"/>
  <c r="H16" i="31"/>
  <c r="C76" i="36"/>
  <c r="H17" i="31"/>
  <c r="D76" i="36"/>
  <c r="H18" i="31"/>
  <c r="E76" i="36"/>
  <c r="H19" i="31"/>
  <c r="F76" i="36"/>
  <c r="H20" i="31"/>
  <c r="G76" i="36"/>
  <c r="H21" i="31"/>
  <c r="H76" i="36"/>
  <c r="H22" i="31"/>
  <c r="I76" i="36"/>
  <c r="H23" i="31"/>
  <c r="C108" i="36"/>
  <c r="H24" i="31"/>
  <c r="D108" i="36"/>
  <c r="H25" i="31"/>
  <c r="E108" i="36"/>
  <c r="H26" i="31"/>
  <c r="F108" i="36"/>
  <c r="H27" i="31"/>
  <c r="G108" i="36"/>
  <c r="H28" i="31"/>
  <c r="H108" i="36"/>
  <c r="H29" i="31"/>
  <c r="I108" i="36"/>
  <c r="H30" i="31"/>
  <c r="C140" i="36"/>
  <c r="H31" i="31"/>
  <c r="D140" i="36"/>
  <c r="H32" i="31"/>
  <c r="E140" i="36"/>
  <c r="H33" i="31"/>
  <c r="F140" i="36"/>
  <c r="H34" i="31"/>
  <c r="G140" i="36"/>
  <c r="H35" i="31"/>
  <c r="H140" i="36"/>
  <c r="H36" i="31"/>
  <c r="I140" i="36"/>
  <c r="H37" i="31"/>
  <c r="C172" i="36"/>
  <c r="H38" i="31"/>
  <c r="D172" i="36"/>
  <c r="H39" i="31"/>
  <c r="E172" i="36"/>
  <c r="H40" i="31"/>
  <c r="F172" i="36"/>
  <c r="H41" i="31"/>
  <c r="G172" i="36"/>
  <c r="H42" i="31"/>
  <c r="H172" i="36"/>
  <c r="H43" i="31"/>
  <c r="I172" i="36"/>
  <c r="H44" i="31"/>
  <c r="C204" i="36"/>
  <c r="H45" i="31"/>
  <c r="D204" i="36"/>
  <c r="H46" i="31"/>
  <c r="E204" i="36"/>
  <c r="H47" i="31"/>
  <c r="F204" i="36"/>
  <c r="H48" i="31"/>
  <c r="G204" i="36"/>
  <c r="H49" i="31"/>
  <c r="H204" i="36"/>
  <c r="H50" i="31"/>
  <c r="I204" i="36"/>
  <c r="H51" i="31"/>
  <c r="C236" i="36"/>
  <c r="H52" i="31"/>
  <c r="D236" i="36"/>
  <c r="H53" i="31"/>
  <c r="E236" i="36"/>
  <c r="H54" i="31"/>
  <c r="F236" i="36"/>
  <c r="H55" i="31"/>
  <c r="G236" i="36"/>
  <c r="H56" i="31"/>
  <c r="H236" i="36"/>
  <c r="H57" i="31"/>
  <c r="I236" i="36"/>
  <c r="H58" i="31"/>
  <c r="C268" i="36"/>
  <c r="H59" i="31"/>
  <c r="D268" i="36"/>
  <c r="H60" i="31"/>
  <c r="E268" i="36"/>
  <c r="H61" i="31"/>
  <c r="F268" i="36"/>
  <c r="H62" i="31"/>
  <c r="G268" i="36"/>
  <c r="H63" i="31"/>
  <c r="H268" i="36"/>
  <c r="H64" i="31"/>
  <c r="I268" i="36"/>
  <c r="H65" i="31"/>
  <c r="C300" i="36"/>
  <c r="H66" i="31"/>
  <c r="D300" i="36"/>
  <c r="H67" i="31"/>
  <c r="E300" i="36"/>
  <c r="H68" i="31"/>
  <c r="F300" i="36"/>
  <c r="H69" i="31"/>
  <c r="G300" i="36"/>
  <c r="H70" i="31"/>
  <c r="H300" i="36"/>
  <c r="H71" i="31"/>
  <c r="I300" i="36"/>
  <c r="H72" i="31"/>
  <c r="C332" i="36"/>
  <c r="H73" i="31"/>
  <c r="D332" i="36"/>
  <c r="H74" i="31"/>
  <c r="E332" i="36"/>
  <c r="H75" i="31"/>
  <c r="F332" i="36"/>
  <c r="H76" i="31"/>
  <c r="G332" i="36"/>
  <c r="H77" i="31"/>
  <c r="H332" i="36"/>
  <c r="H78" i="31"/>
  <c r="I332" i="36"/>
  <c r="H79" i="31"/>
  <c r="C364" i="36"/>
  <c r="H80" i="31"/>
  <c r="D364" i="36"/>
  <c r="BK2" i="30"/>
  <c r="I362" i="36"/>
  <c r="H612" i="24"/>
  <c r="I366" i="36"/>
  <c r="F612" i="24"/>
  <c r="O2" i="31"/>
  <c r="C19" i="36"/>
  <c r="O3" i="31"/>
  <c r="D19" i="36"/>
  <c r="O4" i="31"/>
  <c r="E19" i="36"/>
  <c r="O5" i="31"/>
  <c r="F19" i="36"/>
  <c r="O6" i="31"/>
  <c r="G19" i="36"/>
  <c r="O7" i="31"/>
  <c r="H19" i="36"/>
  <c r="O8" i="31"/>
  <c r="I19" i="36"/>
  <c r="O9" i="31"/>
  <c r="C51" i="36"/>
  <c r="O10" i="31"/>
  <c r="D51" i="36"/>
  <c r="O11" i="31"/>
  <c r="E51" i="36"/>
  <c r="O12" i="31"/>
  <c r="F51" i="36"/>
  <c r="O13" i="31"/>
  <c r="G51" i="36"/>
  <c r="O14" i="31"/>
  <c r="H51" i="36"/>
  <c r="O15" i="31"/>
  <c r="I51" i="36"/>
  <c r="O16" i="31"/>
  <c r="C83" i="36"/>
  <c r="O17" i="31"/>
  <c r="D83" i="36"/>
  <c r="O18" i="31"/>
  <c r="E83" i="36"/>
  <c r="O19" i="31"/>
  <c r="F83" i="36"/>
  <c r="O20" i="31"/>
  <c r="G83" i="36"/>
  <c r="O21" i="31"/>
  <c r="H83" i="36"/>
  <c r="O22" i="31"/>
  <c r="I83" i="36"/>
  <c r="O23" i="31"/>
  <c r="C115" i="36"/>
  <c r="O24" i="31"/>
  <c r="D115" i="36"/>
  <c r="O25" i="31"/>
  <c r="E115" i="36"/>
  <c r="O26" i="31"/>
  <c r="F115" i="36"/>
  <c r="O27" i="31"/>
  <c r="G115" i="36"/>
  <c r="O28" i="31"/>
  <c r="H115" i="36"/>
  <c r="O29" i="31"/>
  <c r="I115" i="36"/>
  <c r="O30" i="31"/>
  <c r="C147" i="36"/>
  <c r="O31" i="31"/>
  <c r="D147" i="36"/>
  <c r="O32" i="31"/>
  <c r="E147" i="36"/>
  <c r="O33" i="31"/>
  <c r="F147" i="36"/>
  <c r="O34" i="31"/>
  <c r="G147" i="36"/>
  <c r="O35" i="31"/>
  <c r="H147" i="36"/>
  <c r="O36" i="31"/>
  <c r="I147" i="36"/>
  <c r="O37" i="31"/>
  <c r="C179" i="36"/>
  <c r="O38" i="31"/>
  <c r="D179" i="36"/>
  <c r="O39" i="31"/>
  <c r="E179" i="36"/>
  <c r="O40" i="31"/>
  <c r="F179" i="36"/>
  <c r="O41" i="31"/>
  <c r="G179" i="36"/>
  <c r="O42" i="31"/>
  <c r="H179" i="36"/>
  <c r="O43" i="31"/>
  <c r="I179" i="36"/>
  <c r="O44" i="31"/>
  <c r="C211" i="36"/>
  <c r="O45" i="31"/>
  <c r="D211" i="36"/>
  <c r="O46" i="31"/>
  <c r="E211" i="36"/>
  <c r="O47" i="31"/>
  <c r="F211" i="36"/>
  <c r="O48" i="31"/>
  <c r="G211" i="36"/>
  <c r="O49" i="31"/>
  <c r="H211" i="36"/>
  <c r="O50" i="31"/>
  <c r="I211" i="36"/>
  <c r="O51" i="31"/>
  <c r="C243" i="36"/>
  <c r="O52" i="31"/>
  <c r="D243" i="36"/>
  <c r="O53" i="31"/>
  <c r="E243" i="36"/>
  <c r="O54" i="31"/>
  <c r="F243" i="36"/>
  <c r="O55" i="31"/>
  <c r="G243" i="36"/>
  <c r="O56" i="31"/>
  <c r="H243" i="36"/>
  <c r="O57" i="31"/>
  <c r="I243" i="36"/>
  <c r="O58" i="31"/>
  <c r="C275" i="36"/>
  <c r="O59" i="31"/>
  <c r="D275" i="36"/>
  <c r="O60" i="31"/>
  <c r="E275" i="36"/>
  <c r="O61" i="31"/>
  <c r="F275" i="36"/>
  <c r="O62" i="31"/>
  <c r="G275" i="36"/>
  <c r="O63" i="31"/>
  <c r="H275" i="36"/>
  <c r="O64" i="31"/>
  <c r="I275" i="36"/>
  <c r="O65" i="31"/>
  <c r="C307" i="36"/>
  <c r="O66" i="31"/>
  <c r="D307" i="36"/>
  <c r="O67" i="31"/>
  <c r="E307" i="36"/>
  <c r="O68" i="31"/>
  <c r="F307" i="36"/>
  <c r="O69" i="31"/>
  <c r="G307" i="36"/>
  <c r="O70" i="31"/>
  <c r="H307" i="36"/>
  <c r="O71" i="31"/>
  <c r="I307" i="36"/>
  <c r="O72" i="31"/>
  <c r="C339" i="36"/>
  <c r="O73" i="31"/>
  <c r="D339" i="36"/>
  <c r="O74" i="31"/>
  <c r="E339" i="36"/>
  <c r="O75" i="31"/>
  <c r="F339" i="36"/>
  <c r="O76" i="31"/>
  <c r="G339" i="36"/>
  <c r="O77" i="31"/>
  <c r="H339" i="36"/>
  <c r="O78" i="31"/>
  <c r="I339" i="36"/>
  <c r="O79" i="31"/>
  <c r="C371" i="36"/>
  <c r="O80" i="31"/>
  <c r="D371" i="36"/>
  <c r="E371" i="36"/>
  <c r="C615" i="24"/>
  <c r="CD85" i="24"/>
  <c r="AE2" i="31"/>
  <c r="C26" i="36"/>
  <c r="CE89" i="24"/>
  <c r="AE3" i="31"/>
  <c r="D26" i="36"/>
  <c r="AE4" i="31"/>
  <c r="E26" i="36"/>
  <c r="AE5" i="31"/>
  <c r="F26" i="36"/>
  <c r="AE6" i="31"/>
  <c r="G26" i="36"/>
  <c r="AE7" i="31"/>
  <c r="H26" i="36"/>
  <c r="AE8" i="31"/>
  <c r="I26" i="36"/>
  <c r="AE9" i="31"/>
  <c r="C58" i="36"/>
  <c r="AE10" i="31"/>
  <c r="D58" i="36"/>
  <c r="AE11" i="31"/>
  <c r="E58" i="36"/>
  <c r="AE12" i="31"/>
  <c r="F58" i="36"/>
  <c r="AE13" i="31"/>
  <c r="G58" i="36"/>
  <c r="AE14" i="31"/>
  <c r="H58" i="36"/>
  <c r="AE15" i="31"/>
  <c r="I58" i="36"/>
  <c r="AE16" i="31"/>
  <c r="C90" i="36"/>
  <c r="AE17" i="31"/>
  <c r="D90" i="36"/>
  <c r="AE18" i="31"/>
  <c r="E90" i="36"/>
  <c r="AE19" i="31"/>
  <c r="F90" i="36"/>
  <c r="AE20" i="31"/>
  <c r="G90" i="36"/>
  <c r="AE21" i="31"/>
  <c r="H90" i="36"/>
  <c r="AE22" i="31"/>
  <c r="I90" i="36"/>
  <c r="AE23" i="31"/>
  <c r="C122" i="36"/>
  <c r="AE24" i="31"/>
  <c r="D122" i="36"/>
  <c r="AE25" i="31"/>
  <c r="E122" i="36"/>
  <c r="AE26" i="31"/>
  <c r="F122" i="36"/>
  <c r="AE27" i="31"/>
  <c r="G122" i="36"/>
  <c r="AE28" i="31"/>
  <c r="H122" i="36"/>
  <c r="AE29" i="31"/>
  <c r="I122" i="36"/>
  <c r="AE30" i="31"/>
  <c r="C154" i="36"/>
  <c r="AE31" i="31"/>
  <c r="D154" i="36"/>
  <c r="AE32" i="31"/>
  <c r="E154" i="36"/>
  <c r="AE33" i="31"/>
  <c r="F154" i="36"/>
  <c r="AE34" i="31"/>
  <c r="G154" i="36"/>
  <c r="AE35" i="31"/>
  <c r="H154" i="36"/>
  <c r="AE36" i="31"/>
  <c r="I154" i="36"/>
  <c r="AE37" i="31"/>
  <c r="C186" i="36"/>
  <c r="AE38" i="31"/>
  <c r="D186" i="36"/>
  <c r="AE39" i="31"/>
  <c r="E186" i="36"/>
  <c r="AE40" i="31"/>
  <c r="F186" i="36"/>
  <c r="AE41" i="31"/>
  <c r="G186" i="36"/>
  <c r="AE42" i="31"/>
  <c r="H186" i="36"/>
  <c r="AE43" i="31"/>
  <c r="I186" i="36"/>
  <c r="AE44" i="31"/>
  <c r="C218" i="36"/>
  <c r="AE45" i="31"/>
  <c r="D218" i="36"/>
  <c r="AE46" i="31"/>
  <c r="E218" i="36"/>
  <c r="AE47" i="31"/>
  <c r="F218" i="36"/>
  <c r="I380" i="36"/>
  <c r="D612" i="24"/>
  <c r="CF90" i="24"/>
  <c r="I381" i="36"/>
  <c r="G612" i="24"/>
  <c r="CF91" i="24"/>
  <c r="I382" i="36"/>
  <c r="I612" i="24"/>
  <c r="I383" i="36"/>
  <c r="J612" i="24"/>
  <c r="I384" i="36"/>
  <c r="L612" i="24"/>
  <c r="G19" i="4"/>
  <c r="E19" i="4"/>
  <c r="G28" i="4"/>
  <c r="E28" i="4"/>
  <c r="F7" i="6"/>
  <c r="E220" i="24"/>
  <c r="F24" i="6"/>
  <c r="E233" i="24"/>
  <c r="CF2" i="38"/>
  <c r="D5" i="7"/>
  <c r="D258" i="24"/>
  <c r="C16" i="8"/>
  <c r="C68" i="8"/>
  <c r="C85" i="8"/>
  <c r="D341" i="24"/>
  <c r="C113" i="8"/>
  <c r="D367" i="24"/>
  <c r="BQ2" i="30"/>
  <c r="D383" i="24"/>
  <c r="CP2" i="30"/>
  <c r="D416" i="24"/>
  <c r="DF2" i="30"/>
  <c r="C170" i="8"/>
  <c r="F420" i="24"/>
  <c r="H15" i="15"/>
  <c r="I15" i="15" s="1"/>
  <c r="F15" i="15"/>
  <c r="H16" i="15"/>
  <c r="I16" i="15" s="1"/>
  <c r="F16" i="15"/>
  <c r="F17" i="15"/>
  <c r="H18" i="15"/>
  <c r="I18" i="15" s="1"/>
  <c r="F18" i="15"/>
  <c r="H19" i="15"/>
  <c r="I19" i="15" s="1"/>
  <c r="F19" i="15"/>
  <c r="H20" i="15"/>
  <c r="I20" i="15" s="1"/>
  <c r="F20" i="15"/>
  <c r="H21" i="15"/>
  <c r="I21" i="15" s="1"/>
  <c r="F21" i="15"/>
  <c r="H22" i="15"/>
  <c r="I22" i="15" s="1"/>
  <c r="F22" i="15"/>
  <c r="H23" i="15"/>
  <c r="I23" i="15" s="1"/>
  <c r="F23" i="15"/>
  <c r="F24" i="15"/>
  <c r="H25" i="15"/>
  <c r="I25" i="15" s="1"/>
  <c r="F25" i="15"/>
  <c r="H26" i="15"/>
  <c r="I26" i="15" s="1"/>
  <c r="F26" i="15"/>
  <c r="H27" i="15"/>
  <c r="I27" i="15" s="1"/>
  <c r="F27" i="15"/>
  <c r="H28" i="15"/>
  <c r="I28" i="15" s="1"/>
  <c r="F28" i="15"/>
  <c r="H29" i="15"/>
  <c r="I29" i="15" s="1"/>
  <c r="F29" i="15"/>
  <c r="H30" i="15"/>
  <c r="I30" i="15" s="1"/>
  <c r="F30" i="15"/>
  <c r="F33" i="15"/>
  <c r="H34" i="15"/>
  <c r="I34" i="15" s="1"/>
  <c r="F34" i="15"/>
  <c r="F35" i="15"/>
  <c r="F36" i="15"/>
  <c r="F37" i="15"/>
  <c r="H38" i="15"/>
  <c r="I38" i="15" s="1"/>
  <c r="F38" i="15"/>
  <c r="H39" i="15"/>
  <c r="I39" i="15" s="1"/>
  <c r="F39" i="15"/>
  <c r="F41" i="15"/>
  <c r="H42" i="15"/>
  <c r="I42" i="15" s="1"/>
  <c r="F42" i="15"/>
  <c r="F43" i="15"/>
  <c r="H44" i="15"/>
  <c r="I44" i="15" s="1"/>
  <c r="F44" i="15"/>
  <c r="F45" i="15"/>
  <c r="F46" i="15"/>
  <c r="H47" i="15"/>
  <c r="I47" i="15" s="1"/>
  <c r="F47" i="15"/>
  <c r="F48" i="15"/>
  <c r="H49" i="15"/>
  <c r="I49" i="15" s="1"/>
  <c r="F49" i="15"/>
  <c r="H50" i="15"/>
  <c r="I50" i="15" s="1"/>
  <c r="F50" i="15"/>
  <c r="H51" i="15"/>
  <c r="I51" i="15" s="1"/>
  <c r="F51" i="15"/>
  <c r="H52" i="15"/>
  <c r="I52" i="15" s="1"/>
  <c r="F52" i="15"/>
  <c r="F53" i="15"/>
  <c r="H54" i="15"/>
  <c r="I54" i="15" s="1"/>
  <c r="F54" i="15"/>
  <c r="H55" i="15"/>
  <c r="I55" i="15" s="1"/>
  <c r="F55" i="15"/>
  <c r="H56" i="15"/>
  <c r="I56" i="15" s="1"/>
  <c r="F56" i="15"/>
  <c r="H57" i="15"/>
  <c r="I57" i="15" s="1"/>
  <c r="F57" i="15"/>
  <c r="H58" i="15"/>
  <c r="I58" i="15" s="1"/>
  <c r="F58" i="15"/>
  <c r="H59" i="15"/>
  <c r="I59" i="15" s="1"/>
  <c r="F59" i="15"/>
  <c r="F63" i="15"/>
  <c r="H64" i="15"/>
  <c r="I64" i="15" s="1"/>
  <c r="F64" i="15"/>
  <c r="F65" i="15"/>
  <c r="F69" i="15"/>
  <c r="C715" i="34"/>
  <c r="C648" i="34"/>
  <c r="M716" i="34" s="1"/>
  <c r="D615" i="34"/>
  <c r="F32" i="6" l="1"/>
  <c r="C292" i="24"/>
  <c r="X2" i="30"/>
  <c r="C32" i="8"/>
  <c r="W2" i="30"/>
  <c r="C31" i="8"/>
  <c r="V2" i="30"/>
  <c r="C30" i="8"/>
  <c r="U2" i="30"/>
  <c r="C29" i="8"/>
  <c r="T2" i="30"/>
  <c r="C28" i="8"/>
  <c r="S2" i="30"/>
  <c r="C27" i="8"/>
  <c r="R2" i="30"/>
  <c r="C26" i="8"/>
  <c r="D291" i="24"/>
  <c r="D293" i="24" s="1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D716" i="34"/>
  <c r="D713" i="34"/>
  <c r="D712" i="34"/>
  <c r="D711" i="34"/>
  <c r="D710" i="34"/>
  <c r="D709" i="34"/>
  <c r="D708" i="34"/>
  <c r="D707" i="34"/>
  <c r="D706" i="34"/>
  <c r="D705" i="34"/>
  <c r="D704" i="34"/>
  <c r="D703" i="34"/>
  <c r="D702" i="34"/>
  <c r="D701" i="34"/>
  <c r="D700" i="34"/>
  <c r="D699" i="34"/>
  <c r="D698" i="34"/>
  <c r="D697" i="34"/>
  <c r="D696" i="34"/>
  <c r="D695" i="34"/>
  <c r="D694" i="34"/>
  <c r="D693" i="34"/>
  <c r="D692" i="34"/>
  <c r="D691" i="34"/>
  <c r="D690" i="34"/>
  <c r="D689" i="34"/>
  <c r="D688" i="34"/>
  <c r="D687" i="34"/>
  <c r="D686" i="34"/>
  <c r="D685" i="34"/>
  <c r="D684" i="34"/>
  <c r="D683" i="34"/>
  <c r="D682" i="34"/>
  <c r="D681" i="34"/>
  <c r="D680" i="34"/>
  <c r="D679" i="34"/>
  <c r="D678" i="34"/>
  <c r="D677" i="34"/>
  <c r="D676" i="34"/>
  <c r="D675" i="34"/>
  <c r="D674" i="34"/>
  <c r="D673" i="34"/>
  <c r="D672" i="34"/>
  <c r="D671" i="34"/>
  <c r="D670" i="34"/>
  <c r="D669" i="34"/>
  <c r="D668" i="34"/>
  <c r="D647" i="34"/>
  <c r="D646" i="34"/>
  <c r="D64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9" i="34"/>
  <c r="D628" i="34"/>
  <c r="D627" i="34"/>
  <c r="D626" i="34"/>
  <c r="D625" i="34"/>
  <c r="D624" i="34"/>
  <c r="D623" i="34"/>
  <c r="D622" i="34"/>
  <c r="D621" i="34"/>
  <c r="D620" i="34"/>
  <c r="D619" i="34"/>
  <c r="D618" i="34"/>
  <c r="D617" i="34"/>
  <c r="D616" i="34"/>
  <c r="C167" i="8"/>
  <c r="D26" i="35"/>
  <c r="E414" i="24"/>
  <c r="C137" i="8"/>
  <c r="D12" i="35"/>
  <c r="E380" i="24"/>
  <c r="C121" i="8"/>
  <c r="D384" i="24"/>
  <c r="C87" i="8"/>
  <c r="D350" i="24"/>
  <c r="F16" i="6"/>
  <c r="F234" i="24"/>
  <c r="I378" i="36"/>
  <c r="K612" i="24"/>
  <c r="E373" i="36"/>
  <c r="C94" i="15"/>
  <c r="G94" i="15" s="1"/>
  <c r="H2" i="31"/>
  <c r="C12" i="36"/>
  <c r="CE62" i="24"/>
  <c r="I364" i="36" s="1"/>
  <c r="C35" i="8" l="1"/>
  <c r="D308" i="24"/>
  <c r="Z2" i="30"/>
  <c r="C34" i="8"/>
  <c r="C67" i="24"/>
  <c r="CE52" i="24"/>
  <c r="D85" i="24"/>
  <c r="M3" i="31"/>
  <c r="D17" i="36"/>
  <c r="E85" i="24"/>
  <c r="M4" i="31"/>
  <c r="E17" i="36"/>
  <c r="F85" i="24"/>
  <c r="M5" i="31"/>
  <c r="F17" i="36"/>
  <c r="G85" i="24"/>
  <c r="M6" i="31"/>
  <c r="G17" i="36"/>
  <c r="H85" i="24"/>
  <c r="M7" i="31"/>
  <c r="H17" i="36"/>
  <c r="I85" i="24"/>
  <c r="M8" i="31"/>
  <c r="I17" i="36"/>
  <c r="J85" i="24"/>
  <c r="M9" i="31"/>
  <c r="C49" i="36"/>
  <c r="K85" i="24"/>
  <c r="M10" i="31"/>
  <c r="D49" i="36"/>
  <c r="L85" i="24"/>
  <c r="M11" i="31"/>
  <c r="E49" i="36"/>
  <c r="M85" i="24"/>
  <c r="M12" i="31"/>
  <c r="F49" i="36"/>
  <c r="N85" i="24"/>
  <c r="M13" i="31"/>
  <c r="G49" i="36"/>
  <c r="O85" i="24"/>
  <c r="M14" i="31"/>
  <c r="H49" i="36"/>
  <c r="P85" i="24"/>
  <c r="M15" i="31"/>
  <c r="I49" i="36"/>
  <c r="Q85" i="24"/>
  <c r="M16" i="31"/>
  <c r="C81" i="36"/>
  <c r="R85" i="24"/>
  <c r="M17" i="31"/>
  <c r="D81" i="36"/>
  <c r="S85" i="24"/>
  <c r="M18" i="31"/>
  <c r="E81" i="36"/>
  <c r="T85" i="24"/>
  <c r="M19" i="31"/>
  <c r="F81" i="36"/>
  <c r="U85" i="24"/>
  <c r="M20" i="31"/>
  <c r="G81" i="36"/>
  <c r="V85" i="24"/>
  <c r="M21" i="31"/>
  <c r="H81" i="36"/>
  <c r="W85" i="24"/>
  <c r="M22" i="31"/>
  <c r="I81" i="36"/>
  <c r="X85" i="24"/>
  <c r="M23" i="31"/>
  <c r="C113" i="36"/>
  <c r="Y85" i="24"/>
  <c r="M24" i="31"/>
  <c r="D113" i="36"/>
  <c r="Z85" i="24"/>
  <c r="M25" i="31"/>
  <c r="E113" i="36"/>
  <c r="AA85" i="24"/>
  <c r="M26" i="31"/>
  <c r="F113" i="36"/>
  <c r="AB85" i="24"/>
  <c r="M27" i="31"/>
  <c r="G113" i="36"/>
  <c r="AC85" i="24"/>
  <c r="M28" i="31"/>
  <c r="H113" i="36"/>
  <c r="AD85" i="24"/>
  <c r="M29" i="31"/>
  <c r="I113" i="36"/>
  <c r="AE85" i="24"/>
  <c r="M30" i="31"/>
  <c r="C145" i="36"/>
  <c r="AF85" i="24"/>
  <c r="M31" i="31"/>
  <c r="D145" i="36"/>
  <c r="AG85" i="24"/>
  <c r="M32" i="31"/>
  <c r="E145" i="36"/>
  <c r="AH85" i="24"/>
  <c r="M33" i="31"/>
  <c r="F145" i="36"/>
  <c r="AI85" i="24"/>
  <c r="M34" i="31"/>
  <c r="G145" i="36"/>
  <c r="AJ85" i="24"/>
  <c r="M35" i="31"/>
  <c r="H145" i="36"/>
  <c r="AK85" i="24"/>
  <c r="M36" i="31"/>
  <c r="I145" i="36"/>
  <c r="AL85" i="24"/>
  <c r="M37" i="31"/>
  <c r="C177" i="36"/>
  <c r="AM85" i="24"/>
  <c r="M38" i="31"/>
  <c r="D177" i="36"/>
  <c r="AN85" i="24"/>
  <c r="M39" i="31"/>
  <c r="E177" i="36"/>
  <c r="AO85" i="24"/>
  <c r="M40" i="31"/>
  <c r="F177" i="36"/>
  <c r="AP85" i="24"/>
  <c r="M41" i="31"/>
  <c r="G177" i="36"/>
  <c r="AQ85" i="24"/>
  <c r="M42" i="31"/>
  <c r="H177" i="36"/>
  <c r="AR85" i="24"/>
  <c r="M43" i="31"/>
  <c r="I177" i="36"/>
  <c r="AS85" i="24"/>
  <c r="M44" i="31"/>
  <c r="C209" i="36"/>
  <c r="AT85" i="24"/>
  <c r="M45" i="31"/>
  <c r="D209" i="36"/>
  <c r="AU85" i="24"/>
  <c r="M46" i="31"/>
  <c r="E209" i="36"/>
  <c r="AV85" i="24"/>
  <c r="M47" i="31"/>
  <c r="F209" i="36"/>
  <c r="AW85" i="24"/>
  <c r="M48" i="31"/>
  <c r="G209" i="36"/>
  <c r="AX85" i="24"/>
  <c r="M49" i="31"/>
  <c r="H209" i="36"/>
  <c r="AY85" i="24"/>
  <c r="M50" i="31"/>
  <c r="I209" i="36"/>
  <c r="AZ85" i="24"/>
  <c r="M51" i="31"/>
  <c r="C241" i="36"/>
  <c r="BA85" i="24"/>
  <c r="M52" i="31"/>
  <c r="D241" i="36"/>
  <c r="BB85" i="24"/>
  <c r="M53" i="31"/>
  <c r="E241" i="36"/>
  <c r="BC85" i="24"/>
  <c r="M54" i="31"/>
  <c r="F241" i="36"/>
  <c r="BD85" i="24"/>
  <c r="M55" i="31"/>
  <c r="G241" i="36"/>
  <c r="BE85" i="24"/>
  <c r="M56" i="31"/>
  <c r="H241" i="36"/>
  <c r="BF85" i="24"/>
  <c r="M57" i="31"/>
  <c r="I241" i="36"/>
  <c r="BG85" i="24"/>
  <c r="M58" i="31"/>
  <c r="C273" i="36"/>
  <c r="BH85" i="24"/>
  <c r="M59" i="31"/>
  <c r="D273" i="36"/>
  <c r="BI85" i="24"/>
  <c r="M60" i="31"/>
  <c r="E273" i="36"/>
  <c r="BJ85" i="24"/>
  <c r="M61" i="31"/>
  <c r="F273" i="36"/>
  <c r="BK85" i="24"/>
  <c r="M62" i="31"/>
  <c r="G273" i="36"/>
  <c r="BL85" i="24"/>
  <c r="M63" i="31"/>
  <c r="H273" i="36"/>
  <c r="BM85" i="24"/>
  <c r="M64" i="31"/>
  <c r="I273" i="36"/>
  <c r="BN85" i="24"/>
  <c r="M65" i="31"/>
  <c r="C305" i="36"/>
  <c r="BO85" i="24"/>
  <c r="M66" i="31"/>
  <c r="D305" i="36"/>
  <c r="BP85" i="24"/>
  <c r="M67" i="31"/>
  <c r="E305" i="36"/>
  <c r="BQ85" i="24"/>
  <c r="M68" i="31"/>
  <c r="F305" i="36"/>
  <c r="BR85" i="24"/>
  <c r="M69" i="31"/>
  <c r="G305" i="36"/>
  <c r="BS85" i="24"/>
  <c r="M70" i="31"/>
  <c r="H305" i="36"/>
  <c r="BT85" i="24"/>
  <c r="M71" i="31"/>
  <c r="I305" i="36"/>
  <c r="BU85" i="24"/>
  <c r="M72" i="31"/>
  <c r="C337" i="36"/>
  <c r="BV85" i="24"/>
  <c r="M73" i="31"/>
  <c r="D337" i="36"/>
  <c r="BW85" i="24"/>
  <c r="M74" i="31"/>
  <c r="E337" i="36"/>
  <c r="BX85" i="24"/>
  <c r="M75" i="31"/>
  <c r="F337" i="36"/>
  <c r="BY85" i="24"/>
  <c r="M76" i="31"/>
  <c r="G337" i="36"/>
  <c r="BZ85" i="24"/>
  <c r="M77" i="31"/>
  <c r="H337" i="36"/>
  <c r="CA85" i="24"/>
  <c r="M78" i="31"/>
  <c r="I337" i="36"/>
  <c r="CB85" i="24"/>
  <c r="M79" i="31"/>
  <c r="C369" i="36"/>
  <c r="CC85" i="24"/>
  <c r="M80" i="31"/>
  <c r="D369" i="36"/>
  <c r="C138" i="8"/>
  <c r="D417" i="24"/>
  <c r="D715" i="34"/>
  <c r="E623" i="34"/>
  <c r="E612" i="34"/>
  <c r="C50" i="8" l="1"/>
  <c r="D352" i="24"/>
  <c r="C103" i="8" s="1"/>
  <c r="F309" i="24"/>
  <c r="D373" i="36"/>
  <c r="C93" i="15"/>
  <c r="G93" i="15" s="1"/>
  <c r="C620" i="24"/>
  <c r="C373" i="36"/>
  <c r="C92" i="15"/>
  <c r="G92" i="15" s="1"/>
  <c r="C622" i="24"/>
  <c r="I341" i="36"/>
  <c r="C91" i="15"/>
  <c r="G91" i="15" s="1"/>
  <c r="C647" i="24"/>
  <c r="H341" i="36"/>
  <c r="C90" i="15"/>
  <c r="G90" i="15" s="1"/>
  <c r="C646" i="24"/>
  <c r="G341" i="36"/>
  <c r="C89" i="15"/>
  <c r="G89" i="15" s="1"/>
  <c r="C645" i="24"/>
  <c r="F341" i="36"/>
  <c r="C88" i="15"/>
  <c r="G88" i="15" s="1"/>
  <c r="C644" i="24"/>
  <c r="E341" i="36"/>
  <c r="C87" i="15"/>
  <c r="G87" i="15" s="1"/>
  <c r="C643" i="24"/>
  <c r="D341" i="36"/>
  <c r="C86" i="15"/>
  <c r="G86" i="15" s="1"/>
  <c r="C642" i="24"/>
  <c r="C341" i="36"/>
  <c r="C85" i="15"/>
  <c r="G85" i="15" s="1"/>
  <c r="C641" i="24"/>
  <c r="I309" i="36"/>
  <c r="C84" i="15"/>
  <c r="G84" i="15" s="1"/>
  <c r="C640" i="24"/>
  <c r="H309" i="36"/>
  <c r="C83" i="15"/>
  <c r="G83" i="15" s="1"/>
  <c r="C639" i="24"/>
  <c r="G309" i="36"/>
  <c r="C82" i="15"/>
  <c r="G82" i="15" s="1"/>
  <c r="C626" i="24"/>
  <c r="F309" i="36"/>
  <c r="C81" i="15"/>
  <c r="G81" i="15" s="1"/>
  <c r="C623" i="24"/>
  <c r="E309" i="36"/>
  <c r="C80" i="15"/>
  <c r="G80" i="15" s="1"/>
  <c r="C621" i="24"/>
  <c r="D309" i="36"/>
  <c r="C79" i="15"/>
  <c r="G79" i="15" s="1"/>
  <c r="C627" i="24"/>
  <c r="C309" i="36"/>
  <c r="C78" i="15"/>
  <c r="G78" i="15" s="1"/>
  <c r="C619" i="24"/>
  <c r="I277" i="36"/>
  <c r="C77" i="15"/>
  <c r="G77" i="15" s="1"/>
  <c r="C638" i="24"/>
  <c r="H277" i="36"/>
  <c r="C76" i="15"/>
  <c r="G76" i="15" s="1"/>
  <c r="C637" i="24"/>
  <c r="G277" i="36"/>
  <c r="C75" i="15"/>
  <c r="G75" i="15" s="1"/>
  <c r="C635" i="24"/>
  <c r="F277" i="36"/>
  <c r="C74" i="15"/>
  <c r="G74" i="15" s="1"/>
  <c r="C617" i="24"/>
  <c r="E277" i="36"/>
  <c r="C73" i="15"/>
  <c r="G73" i="15" s="1"/>
  <c r="C634" i="24"/>
  <c r="D277" i="36"/>
  <c r="C72" i="15"/>
  <c r="G72" i="15" s="1"/>
  <c r="C636" i="24"/>
  <c r="C277" i="36"/>
  <c r="C71" i="15"/>
  <c r="G71" i="15" s="1"/>
  <c r="C618" i="24"/>
  <c r="I245" i="36"/>
  <c r="C70" i="15"/>
  <c r="G70" i="15" s="1"/>
  <c r="C629" i="24"/>
  <c r="H245" i="36"/>
  <c r="C69" i="15"/>
  <c r="C614" i="24"/>
  <c r="G245" i="36"/>
  <c r="C68" i="15"/>
  <c r="G68" i="15" s="1"/>
  <c r="C624" i="24"/>
  <c r="F245" i="36"/>
  <c r="C67" i="15"/>
  <c r="G67" i="15" s="1"/>
  <c r="C633" i="24"/>
  <c r="E245" i="36"/>
  <c r="C66" i="15"/>
  <c r="G66" i="15" s="1"/>
  <c r="C632" i="24"/>
  <c r="D245" i="36"/>
  <c r="C65" i="15"/>
  <c r="C630" i="24"/>
  <c r="C245" i="36"/>
  <c r="C64" i="15"/>
  <c r="G64" i="15" s="1"/>
  <c r="C628" i="24"/>
  <c r="I213" i="36"/>
  <c r="C63" i="15"/>
  <c r="C625" i="24"/>
  <c r="H213" i="36"/>
  <c r="C62" i="15"/>
  <c r="C616" i="24"/>
  <c r="G213" i="36"/>
  <c r="C61" i="15"/>
  <c r="C631" i="24"/>
  <c r="F213" i="36"/>
  <c r="C60" i="15"/>
  <c r="C713" i="24"/>
  <c r="E213" i="36"/>
  <c r="C59" i="15"/>
  <c r="G59" i="15" s="1"/>
  <c r="C712" i="24"/>
  <c r="D213" i="36"/>
  <c r="C58" i="15"/>
  <c r="G58" i="15" s="1"/>
  <c r="C711" i="24"/>
  <c r="C213" i="36"/>
  <c r="C57" i="15"/>
  <c r="G57" i="15" s="1"/>
  <c r="C710" i="24"/>
  <c r="I181" i="36"/>
  <c r="C56" i="15"/>
  <c r="G56" i="15" s="1"/>
  <c r="C709" i="24"/>
  <c r="H181" i="36"/>
  <c r="C55" i="15"/>
  <c r="G55" i="15" s="1"/>
  <c r="C708" i="24"/>
  <c r="G181" i="36"/>
  <c r="C54" i="15"/>
  <c r="G54" i="15" s="1"/>
  <c r="C707" i="24"/>
  <c r="F181" i="36"/>
  <c r="C53" i="15"/>
  <c r="C706" i="24"/>
  <c r="E181" i="36"/>
  <c r="C52" i="15"/>
  <c r="G52" i="15" s="1"/>
  <c r="C705" i="24"/>
  <c r="D181" i="36"/>
  <c r="C51" i="15"/>
  <c r="G51" i="15" s="1"/>
  <c r="C704" i="24"/>
  <c r="C181" i="36"/>
  <c r="C50" i="15"/>
  <c r="G50" i="15" s="1"/>
  <c r="C703" i="24"/>
  <c r="I149" i="36"/>
  <c r="C49" i="15"/>
  <c r="G49" i="15" s="1"/>
  <c r="C702" i="24"/>
  <c r="H149" i="36"/>
  <c r="C48" i="15"/>
  <c r="C701" i="24"/>
  <c r="G149" i="36"/>
  <c r="C47" i="15"/>
  <c r="G47" i="15" s="1"/>
  <c r="C700" i="24"/>
  <c r="F149" i="36"/>
  <c r="C46" i="15"/>
  <c r="C699" i="24"/>
  <c r="E149" i="36"/>
  <c r="C45" i="15"/>
  <c r="C698" i="24"/>
  <c r="D149" i="36"/>
  <c r="C44" i="15"/>
  <c r="G44" i="15" s="1"/>
  <c r="C697" i="24"/>
  <c r="C149" i="36"/>
  <c r="C43" i="15"/>
  <c r="C696" i="24"/>
  <c r="I117" i="36"/>
  <c r="C42" i="15"/>
  <c r="G42" i="15" s="1"/>
  <c r="C695" i="24"/>
  <c r="H117" i="36"/>
  <c r="C41" i="15"/>
  <c r="C694" i="24"/>
  <c r="G117" i="36"/>
  <c r="C40" i="15"/>
  <c r="G40" i="15" s="1"/>
  <c r="C693" i="24"/>
  <c r="F117" i="36"/>
  <c r="C39" i="15"/>
  <c r="G39" i="15" s="1"/>
  <c r="C692" i="24"/>
  <c r="E117" i="36"/>
  <c r="C38" i="15"/>
  <c r="G38" i="15" s="1"/>
  <c r="C691" i="24"/>
  <c r="D117" i="36"/>
  <c r="C37" i="15"/>
  <c r="C690" i="24"/>
  <c r="C117" i="36"/>
  <c r="C36" i="15"/>
  <c r="C689" i="24"/>
  <c r="I85" i="36"/>
  <c r="C35" i="15"/>
  <c r="C688" i="24"/>
  <c r="H85" i="36"/>
  <c r="C34" i="15"/>
  <c r="G34" i="15" s="1"/>
  <c r="C687" i="24"/>
  <c r="G85" i="36"/>
  <c r="C33" i="15"/>
  <c r="C686" i="24"/>
  <c r="F85" i="36"/>
  <c r="C32" i="15"/>
  <c r="G32" i="15" s="1"/>
  <c r="C685" i="24"/>
  <c r="E85" i="36"/>
  <c r="C31" i="15"/>
  <c r="G31" i="15" s="1"/>
  <c r="C684" i="24"/>
  <c r="D85" i="36"/>
  <c r="C30" i="15"/>
  <c r="G30" i="15" s="1"/>
  <c r="C683" i="24"/>
  <c r="C85" i="36"/>
  <c r="C29" i="15"/>
  <c r="G29" i="15" s="1"/>
  <c r="C682" i="24"/>
  <c r="I53" i="36"/>
  <c r="C28" i="15"/>
  <c r="G28" i="15" s="1"/>
  <c r="C681" i="24"/>
  <c r="H53" i="36"/>
  <c r="C27" i="15"/>
  <c r="G27" i="15" s="1"/>
  <c r="C680" i="24"/>
  <c r="G53" i="36"/>
  <c r="C26" i="15"/>
  <c r="G26" i="15" s="1"/>
  <c r="C679" i="24"/>
  <c r="F53" i="36"/>
  <c r="C25" i="15"/>
  <c r="G25" i="15" s="1"/>
  <c r="C678" i="24"/>
  <c r="E53" i="36"/>
  <c r="C24" i="15"/>
  <c r="C677" i="24"/>
  <c r="D53" i="36"/>
  <c r="C23" i="15"/>
  <c r="G23" i="15" s="1"/>
  <c r="C676" i="24"/>
  <c r="C53" i="36"/>
  <c r="C22" i="15"/>
  <c r="G22" i="15" s="1"/>
  <c r="C675" i="24"/>
  <c r="I21" i="36"/>
  <c r="C21" i="15"/>
  <c r="G21" i="15" s="1"/>
  <c r="C674" i="24"/>
  <c r="H21" i="36"/>
  <c r="C20" i="15"/>
  <c r="G20" i="15" s="1"/>
  <c r="C673" i="24"/>
  <c r="G21" i="36"/>
  <c r="C19" i="15"/>
  <c r="G19" i="15" s="1"/>
  <c r="C672" i="24"/>
  <c r="F21" i="36"/>
  <c r="C18" i="15"/>
  <c r="G18" i="15" s="1"/>
  <c r="C671" i="24"/>
  <c r="E21" i="36"/>
  <c r="C17" i="15"/>
  <c r="C670" i="24"/>
  <c r="D21" i="36"/>
  <c r="C16" i="15"/>
  <c r="G16" i="15" s="1"/>
  <c r="C669" i="24"/>
  <c r="M2" i="31"/>
  <c r="C17" i="36"/>
  <c r="CE67" i="24"/>
  <c r="I369" i="36" s="1"/>
  <c r="C85" i="24"/>
  <c r="E716" i="34"/>
  <c r="E713" i="34"/>
  <c r="E712" i="34"/>
  <c r="E711" i="34"/>
  <c r="E710" i="34"/>
  <c r="E709" i="34"/>
  <c r="E708" i="34"/>
  <c r="E707" i="34"/>
  <c r="E706" i="34"/>
  <c r="E705" i="34"/>
  <c r="E704" i="34"/>
  <c r="E703" i="34"/>
  <c r="E702" i="34"/>
  <c r="E701" i="34"/>
  <c r="E700" i="34"/>
  <c r="E699" i="34"/>
  <c r="E698" i="34"/>
  <c r="E697" i="34"/>
  <c r="E696" i="34"/>
  <c r="E695" i="34"/>
  <c r="E694" i="34"/>
  <c r="E693" i="34"/>
  <c r="E692" i="34"/>
  <c r="E691" i="34"/>
  <c r="E690" i="34"/>
  <c r="E689" i="34"/>
  <c r="E688" i="34"/>
  <c r="E687" i="34"/>
  <c r="E686" i="34"/>
  <c r="E685" i="34"/>
  <c r="E684" i="34"/>
  <c r="E683" i="34"/>
  <c r="E682" i="34"/>
  <c r="E681" i="34"/>
  <c r="E680" i="34"/>
  <c r="E679" i="34"/>
  <c r="E678" i="34"/>
  <c r="E677" i="34"/>
  <c r="E676" i="34"/>
  <c r="E675" i="34"/>
  <c r="E674" i="34"/>
  <c r="E673" i="34"/>
  <c r="E672" i="34"/>
  <c r="E671" i="34"/>
  <c r="E670" i="34"/>
  <c r="E669" i="34"/>
  <c r="E668" i="34"/>
  <c r="E647" i="34"/>
  <c r="E646" i="34"/>
  <c r="E64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9" i="34"/>
  <c r="E628" i="34"/>
  <c r="E627" i="34"/>
  <c r="E626" i="34"/>
  <c r="E625" i="34"/>
  <c r="E624" i="34"/>
  <c r="C168" i="8"/>
  <c r="D421" i="24"/>
  <c r="C21" i="36" l="1"/>
  <c r="C15" i="15"/>
  <c r="G15" i="15" s="1"/>
  <c r="C668" i="24"/>
  <c r="CE85" i="24"/>
  <c r="G17" i="15"/>
  <c r="H17" i="15"/>
  <c r="I17" i="15" s="1"/>
  <c r="G24" i="15"/>
  <c r="H24" i="15"/>
  <c r="I24" i="15" s="1"/>
  <c r="G33" i="15"/>
  <c r="H33" i="15"/>
  <c r="I33" i="15" s="1"/>
  <c r="G35" i="15"/>
  <c r="H35" i="15"/>
  <c r="I35" i="15" s="1"/>
  <c r="G36" i="15"/>
  <c r="H36" i="15"/>
  <c r="I36" i="15" s="1"/>
  <c r="G37" i="15"/>
  <c r="H37" i="15"/>
  <c r="I37" i="15" s="1"/>
  <c r="G41" i="15"/>
  <c r="H41" i="15"/>
  <c r="I41" i="15" s="1"/>
  <c r="G43" i="15"/>
  <c r="H43" i="15"/>
  <c r="G45" i="15"/>
  <c r="H45" i="15"/>
  <c r="I45" i="15" s="1"/>
  <c r="G46" i="15"/>
  <c r="H46" i="15"/>
  <c r="G48" i="15"/>
  <c r="H48" i="15"/>
  <c r="I48" i="15" s="1"/>
  <c r="G53" i="15"/>
  <c r="H53" i="15"/>
  <c r="I53" i="15" s="1"/>
  <c r="G63" i="15"/>
  <c r="H63" i="15"/>
  <c r="I63" i="15" s="1"/>
  <c r="G65" i="15"/>
  <c r="H65" i="15"/>
  <c r="I65" i="15" s="1"/>
  <c r="C715" i="24"/>
  <c r="C648" i="24"/>
  <c r="M716" i="24" s="1"/>
  <c r="D615" i="24"/>
  <c r="G69" i="15"/>
  <c r="H69" i="15"/>
  <c r="C172" i="8"/>
  <c r="D424" i="24"/>
  <c r="C177" i="8" s="1"/>
  <c r="E715" i="34"/>
  <c r="F624" i="34"/>
  <c r="D716" i="24" l="1"/>
  <c r="D713" i="24"/>
  <c r="D712" i="24"/>
  <c r="D711" i="24"/>
  <c r="D710" i="24"/>
  <c r="D709" i="24"/>
  <c r="D708" i="24"/>
  <c r="D707" i="24"/>
  <c r="D706" i="24"/>
  <c r="D705" i="24"/>
  <c r="D704" i="24"/>
  <c r="D703" i="24"/>
  <c r="D702" i="24"/>
  <c r="D701" i="24"/>
  <c r="D700" i="24"/>
  <c r="D699" i="24"/>
  <c r="D698" i="24"/>
  <c r="D697" i="24"/>
  <c r="D696" i="24"/>
  <c r="D695" i="24"/>
  <c r="D694" i="24"/>
  <c r="D693" i="24"/>
  <c r="D692" i="24"/>
  <c r="D691" i="24"/>
  <c r="D690" i="24"/>
  <c r="D689" i="24"/>
  <c r="D688" i="24"/>
  <c r="D687" i="24"/>
  <c r="D686" i="24"/>
  <c r="D685" i="24"/>
  <c r="D684" i="24"/>
  <c r="D683" i="24"/>
  <c r="D682" i="24"/>
  <c r="D681" i="24"/>
  <c r="D680" i="24"/>
  <c r="D679" i="24"/>
  <c r="D678" i="24"/>
  <c r="D677" i="24"/>
  <c r="D676" i="24"/>
  <c r="D675" i="24"/>
  <c r="D674" i="24"/>
  <c r="D673" i="24"/>
  <c r="D672" i="24"/>
  <c r="D671" i="24"/>
  <c r="D670" i="24"/>
  <c r="D669" i="24"/>
  <c r="D668" i="24"/>
  <c r="D647" i="24"/>
  <c r="D646" i="24"/>
  <c r="D64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9" i="24"/>
  <c r="D628" i="24"/>
  <c r="D627" i="24"/>
  <c r="D626" i="24"/>
  <c r="D625" i="24"/>
  <c r="D624" i="24"/>
  <c r="E612" i="24" s="1"/>
  <c r="D623" i="24"/>
  <c r="D622" i="24"/>
  <c r="D621" i="24"/>
  <c r="D620" i="24"/>
  <c r="D619" i="24"/>
  <c r="D618" i="24"/>
  <c r="D617" i="24"/>
  <c r="D616" i="24"/>
  <c r="I373" i="36"/>
  <c r="C716" i="24"/>
  <c r="F716" i="34"/>
  <c r="F713" i="34"/>
  <c r="F712" i="34"/>
  <c r="F711" i="34"/>
  <c r="F710" i="34"/>
  <c r="F709" i="34"/>
  <c r="F708" i="34"/>
  <c r="F707" i="34"/>
  <c r="F706" i="34"/>
  <c r="F705" i="34"/>
  <c r="F704" i="34"/>
  <c r="F703" i="34"/>
  <c r="F702" i="34"/>
  <c r="F701" i="34"/>
  <c r="F700" i="34"/>
  <c r="F699" i="34"/>
  <c r="F698" i="34"/>
  <c r="F697" i="34"/>
  <c r="F696" i="34"/>
  <c r="F695" i="34"/>
  <c r="F694" i="34"/>
  <c r="F693" i="34"/>
  <c r="F692" i="34"/>
  <c r="F691" i="34"/>
  <c r="F690" i="34"/>
  <c r="F689" i="34"/>
  <c r="F688" i="34"/>
  <c r="F687" i="34"/>
  <c r="F686" i="34"/>
  <c r="F685" i="34"/>
  <c r="F684" i="34"/>
  <c r="F683" i="34"/>
  <c r="F682" i="34"/>
  <c r="F681" i="34"/>
  <c r="F680" i="34"/>
  <c r="F679" i="34"/>
  <c r="F678" i="34"/>
  <c r="F677" i="34"/>
  <c r="F676" i="34"/>
  <c r="F675" i="34"/>
  <c r="F674" i="34"/>
  <c r="F673" i="34"/>
  <c r="F672" i="34"/>
  <c r="F671" i="34"/>
  <c r="F670" i="34"/>
  <c r="F669" i="34"/>
  <c r="F668" i="34"/>
  <c r="F647" i="34"/>
  <c r="F646" i="34"/>
  <c r="F64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9" i="34"/>
  <c r="F628" i="34"/>
  <c r="F627" i="34"/>
  <c r="F626" i="34"/>
  <c r="F625" i="34"/>
  <c r="D715" i="24" l="1"/>
  <c r="E623" i="24"/>
  <c r="F715" i="34"/>
  <c r="G625" i="34"/>
  <c r="E716" i="24" l="1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G716" i="34"/>
  <c r="G713" i="34"/>
  <c r="G712" i="34"/>
  <c r="G711" i="34"/>
  <c r="G710" i="34"/>
  <c r="G709" i="34"/>
  <c r="G708" i="34"/>
  <c r="G707" i="34"/>
  <c r="G706" i="34"/>
  <c r="G705" i="34"/>
  <c r="G704" i="34"/>
  <c r="G703" i="34"/>
  <c r="G702" i="34"/>
  <c r="G701" i="34"/>
  <c r="G700" i="34"/>
  <c r="G699" i="34"/>
  <c r="G698" i="34"/>
  <c r="G697" i="34"/>
  <c r="G696" i="34"/>
  <c r="G695" i="34"/>
  <c r="G694" i="34"/>
  <c r="G693" i="34"/>
  <c r="G692" i="34"/>
  <c r="G691" i="34"/>
  <c r="G690" i="34"/>
  <c r="G689" i="34"/>
  <c r="G688" i="34"/>
  <c r="G687" i="34"/>
  <c r="G686" i="34"/>
  <c r="G685" i="34"/>
  <c r="G684" i="34"/>
  <c r="G683" i="34"/>
  <c r="G682" i="34"/>
  <c r="G681" i="34"/>
  <c r="G680" i="34"/>
  <c r="G679" i="34"/>
  <c r="G678" i="34"/>
  <c r="G677" i="34"/>
  <c r="G676" i="34"/>
  <c r="G675" i="34"/>
  <c r="G674" i="34"/>
  <c r="G673" i="34"/>
  <c r="G672" i="34"/>
  <c r="G671" i="34"/>
  <c r="G670" i="34"/>
  <c r="G669" i="34"/>
  <c r="G668" i="34"/>
  <c r="G647" i="34"/>
  <c r="G646" i="34"/>
  <c r="G64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29" i="34"/>
  <c r="G628" i="34"/>
  <c r="G627" i="34"/>
  <c r="G626" i="34"/>
  <c r="E715" i="24" l="1"/>
  <c r="F624" i="24"/>
  <c r="G715" i="34"/>
  <c r="H628" i="34"/>
  <c r="F716" i="24" l="1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H716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F715" i="24" l="1"/>
  <c r="G625" i="24"/>
  <c r="H715" i="34"/>
  <c r="I629" i="34"/>
  <c r="G716" i="24" l="1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I716" i="34"/>
  <c r="I713" i="34"/>
  <c r="I712" i="34"/>
  <c r="I711" i="34"/>
  <c r="I710" i="34"/>
  <c r="I709" i="34"/>
  <c r="I708" i="34"/>
  <c r="I707" i="34"/>
  <c r="I706" i="34"/>
  <c r="I705" i="34"/>
  <c r="I704" i="34"/>
  <c r="I703" i="34"/>
  <c r="I702" i="34"/>
  <c r="I701" i="34"/>
  <c r="I700" i="34"/>
  <c r="I699" i="34"/>
  <c r="I698" i="34"/>
  <c r="I697" i="34"/>
  <c r="I696" i="34"/>
  <c r="I695" i="34"/>
  <c r="I694" i="34"/>
  <c r="I693" i="34"/>
  <c r="I692" i="34"/>
  <c r="I691" i="34"/>
  <c r="I690" i="34"/>
  <c r="I689" i="34"/>
  <c r="I688" i="34"/>
  <c r="I687" i="34"/>
  <c r="I686" i="34"/>
  <c r="I685" i="34"/>
  <c r="I684" i="34"/>
  <c r="I683" i="34"/>
  <c r="I682" i="34"/>
  <c r="I681" i="34"/>
  <c r="I680" i="34"/>
  <c r="I679" i="34"/>
  <c r="I678" i="34"/>
  <c r="I677" i="34"/>
  <c r="I676" i="34"/>
  <c r="I675" i="34"/>
  <c r="I674" i="34"/>
  <c r="I673" i="34"/>
  <c r="I672" i="34"/>
  <c r="I671" i="34"/>
  <c r="I670" i="34"/>
  <c r="I669" i="34"/>
  <c r="I668" i="34"/>
  <c r="I647" i="34"/>
  <c r="I646" i="34"/>
  <c r="I64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G715" i="24" l="1"/>
  <c r="H628" i="24"/>
  <c r="I715" i="34"/>
  <c r="J630" i="34"/>
  <c r="H716" i="24" l="1"/>
  <c r="H713" i="24"/>
  <c r="H712" i="24"/>
  <c r="H711" i="24"/>
  <c r="H710" i="24"/>
  <c r="H709" i="24"/>
  <c r="H708" i="24"/>
  <c r="H707" i="24"/>
  <c r="H706" i="24"/>
  <c r="H705" i="24"/>
  <c r="H704" i="24"/>
  <c r="H703" i="24"/>
  <c r="H702" i="24"/>
  <c r="H701" i="24"/>
  <c r="H700" i="24"/>
  <c r="H699" i="24"/>
  <c r="H698" i="24"/>
  <c r="H697" i="24"/>
  <c r="H696" i="24"/>
  <c r="H695" i="24"/>
  <c r="H694" i="24"/>
  <c r="H693" i="24"/>
  <c r="H692" i="24"/>
  <c r="H691" i="24"/>
  <c r="H690" i="24"/>
  <c r="H689" i="24"/>
  <c r="H688" i="24"/>
  <c r="H687" i="24"/>
  <c r="H686" i="24"/>
  <c r="H685" i="24"/>
  <c r="H684" i="24"/>
  <c r="H683" i="24"/>
  <c r="H682" i="24"/>
  <c r="H681" i="24"/>
  <c r="H680" i="24"/>
  <c r="H679" i="24"/>
  <c r="H678" i="24"/>
  <c r="H677" i="24"/>
  <c r="H676" i="24"/>
  <c r="H675" i="24"/>
  <c r="H674" i="24"/>
  <c r="H673" i="24"/>
  <c r="H672" i="24"/>
  <c r="H671" i="24"/>
  <c r="H670" i="24"/>
  <c r="H669" i="24"/>
  <c r="H668" i="24"/>
  <c r="H64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29" i="24"/>
  <c r="J716" i="34"/>
  <c r="J713" i="34"/>
  <c r="J712" i="34"/>
  <c r="J711" i="34"/>
  <c r="J710" i="34"/>
  <c r="J709" i="34"/>
  <c r="J708" i="34"/>
  <c r="J707" i="34"/>
  <c r="J706" i="34"/>
  <c r="J705" i="34"/>
  <c r="J704" i="34"/>
  <c r="J703" i="34"/>
  <c r="J702" i="34"/>
  <c r="J701" i="34"/>
  <c r="J700" i="34"/>
  <c r="J699" i="34"/>
  <c r="J698" i="34"/>
  <c r="J697" i="34"/>
  <c r="J696" i="34"/>
  <c r="J695" i="34"/>
  <c r="J694" i="34"/>
  <c r="J693" i="34"/>
  <c r="J692" i="34"/>
  <c r="J691" i="34"/>
  <c r="J690" i="34"/>
  <c r="J689" i="34"/>
  <c r="J688" i="34"/>
  <c r="J687" i="34"/>
  <c r="J686" i="34"/>
  <c r="J685" i="34"/>
  <c r="J684" i="34"/>
  <c r="J683" i="34"/>
  <c r="J682" i="34"/>
  <c r="J681" i="34"/>
  <c r="J680" i="34"/>
  <c r="J679" i="34"/>
  <c r="J678" i="34"/>
  <c r="J677" i="34"/>
  <c r="J676" i="34"/>
  <c r="J675" i="34"/>
  <c r="J674" i="34"/>
  <c r="J673" i="34"/>
  <c r="J672" i="34"/>
  <c r="J671" i="34"/>
  <c r="J670" i="34"/>
  <c r="J669" i="34"/>
  <c r="J668" i="34"/>
  <c r="J647" i="34"/>
  <c r="J646" i="34"/>
  <c r="J645" i="34"/>
  <c r="L647" i="34" s="1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H715" i="24" l="1"/>
  <c r="I629" i="24"/>
  <c r="J715" i="34"/>
  <c r="K644" i="34"/>
  <c r="L716" i="34"/>
  <c r="L713" i="34"/>
  <c r="L712" i="34"/>
  <c r="L711" i="34"/>
  <c r="L710" i="34"/>
  <c r="L709" i="34"/>
  <c r="L708" i="34"/>
  <c r="L707" i="34"/>
  <c r="L706" i="34"/>
  <c r="L705" i="34"/>
  <c r="L704" i="34"/>
  <c r="L703" i="34"/>
  <c r="L702" i="34"/>
  <c r="L701" i="34"/>
  <c r="L700" i="34"/>
  <c r="L699" i="34"/>
  <c r="L698" i="34"/>
  <c r="L697" i="34"/>
  <c r="L696" i="34"/>
  <c r="L695" i="34"/>
  <c r="L694" i="34"/>
  <c r="L693" i="34"/>
  <c r="L692" i="34"/>
  <c r="L691" i="34"/>
  <c r="L690" i="34"/>
  <c r="L689" i="34"/>
  <c r="L688" i="34"/>
  <c r="L687" i="34"/>
  <c r="L686" i="34"/>
  <c r="L685" i="34"/>
  <c r="L684" i="34"/>
  <c r="L683" i="34"/>
  <c r="L682" i="34"/>
  <c r="L681" i="34"/>
  <c r="L680" i="34"/>
  <c r="L679" i="34"/>
  <c r="L678" i="34"/>
  <c r="L677" i="34"/>
  <c r="L676" i="34"/>
  <c r="L675" i="34"/>
  <c r="L674" i="34"/>
  <c r="L673" i="34"/>
  <c r="L672" i="34"/>
  <c r="L671" i="34"/>
  <c r="L670" i="34"/>
  <c r="L669" i="34"/>
  <c r="L668" i="34"/>
  <c r="L715" i="34" s="1"/>
  <c r="I716" i="24" l="1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8" i="24"/>
  <c r="I697" i="24"/>
  <c r="I696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2" i="24"/>
  <c r="I681" i="24"/>
  <c r="I680" i="24"/>
  <c r="I679" i="24"/>
  <c r="I678" i="24"/>
  <c r="I677" i="24"/>
  <c r="I676" i="24"/>
  <c r="I675" i="24"/>
  <c r="I674" i="24"/>
  <c r="I673" i="24"/>
  <c r="I672" i="24"/>
  <c r="I671" i="24"/>
  <c r="I670" i="24"/>
  <c r="I669" i="24"/>
  <c r="I668" i="24"/>
  <c r="I64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K716" i="34"/>
  <c r="K713" i="34"/>
  <c r="M713" i="34" s="1"/>
  <c r="K712" i="34"/>
  <c r="M712" i="34" s="1"/>
  <c r="K711" i="34"/>
  <c r="M711" i="34" s="1"/>
  <c r="K710" i="34"/>
  <c r="M710" i="34" s="1"/>
  <c r="K709" i="34"/>
  <c r="M709" i="34" s="1"/>
  <c r="K708" i="34"/>
  <c r="M708" i="34" s="1"/>
  <c r="K707" i="34"/>
  <c r="M707" i="34" s="1"/>
  <c r="K706" i="34"/>
  <c r="M706" i="34" s="1"/>
  <c r="K705" i="34"/>
  <c r="M705" i="34" s="1"/>
  <c r="K704" i="34"/>
  <c r="M704" i="34" s="1"/>
  <c r="K703" i="34"/>
  <c r="M703" i="34" s="1"/>
  <c r="K702" i="34"/>
  <c r="M702" i="34" s="1"/>
  <c r="K701" i="34"/>
  <c r="M701" i="34" s="1"/>
  <c r="K700" i="34"/>
  <c r="M700" i="34" s="1"/>
  <c r="K699" i="34"/>
  <c r="M699" i="34" s="1"/>
  <c r="K698" i="34"/>
  <c r="M698" i="34" s="1"/>
  <c r="K697" i="34"/>
  <c r="M697" i="34" s="1"/>
  <c r="K696" i="34"/>
  <c r="M696" i="34" s="1"/>
  <c r="K695" i="34"/>
  <c r="M695" i="34" s="1"/>
  <c r="K694" i="34"/>
  <c r="M694" i="34" s="1"/>
  <c r="K693" i="34"/>
  <c r="M693" i="34" s="1"/>
  <c r="K692" i="34"/>
  <c r="M692" i="34" s="1"/>
  <c r="K691" i="34"/>
  <c r="M691" i="34" s="1"/>
  <c r="K690" i="34"/>
  <c r="M690" i="34" s="1"/>
  <c r="K689" i="34"/>
  <c r="M689" i="34" s="1"/>
  <c r="K688" i="34"/>
  <c r="M688" i="34" s="1"/>
  <c r="K687" i="34"/>
  <c r="M687" i="34" s="1"/>
  <c r="K686" i="34"/>
  <c r="M686" i="34" s="1"/>
  <c r="K685" i="34"/>
  <c r="M685" i="34" s="1"/>
  <c r="K684" i="34"/>
  <c r="M684" i="34" s="1"/>
  <c r="K683" i="34"/>
  <c r="M683" i="34" s="1"/>
  <c r="K682" i="34"/>
  <c r="M682" i="34" s="1"/>
  <c r="K681" i="34"/>
  <c r="M681" i="34" s="1"/>
  <c r="K680" i="34"/>
  <c r="M680" i="34" s="1"/>
  <c r="K679" i="34"/>
  <c r="M679" i="34" s="1"/>
  <c r="K678" i="34"/>
  <c r="M678" i="34" s="1"/>
  <c r="K677" i="34"/>
  <c r="M677" i="34" s="1"/>
  <c r="K676" i="34"/>
  <c r="M676" i="34" s="1"/>
  <c r="K675" i="34"/>
  <c r="M675" i="34" s="1"/>
  <c r="K674" i="34"/>
  <c r="M674" i="34" s="1"/>
  <c r="K673" i="34"/>
  <c r="M673" i="34" s="1"/>
  <c r="K672" i="34"/>
  <c r="M672" i="34" s="1"/>
  <c r="K671" i="34"/>
  <c r="M671" i="34" s="1"/>
  <c r="K670" i="34"/>
  <c r="M670" i="34" s="1"/>
  <c r="K669" i="34"/>
  <c r="M669" i="34" s="1"/>
  <c r="K668" i="34"/>
  <c r="I715" i="24" l="1"/>
  <c r="J630" i="24"/>
  <c r="K715" i="34"/>
  <c r="M668" i="34"/>
  <c r="M715" i="34" s="1"/>
  <c r="J716" i="24" l="1"/>
  <c r="J713" i="24"/>
  <c r="J712" i="24"/>
  <c r="J711" i="24"/>
  <c r="J710" i="24"/>
  <c r="J709" i="24"/>
  <c r="J708" i="24"/>
  <c r="J707" i="24"/>
  <c r="J706" i="24"/>
  <c r="J705" i="24"/>
  <c r="J704" i="24"/>
  <c r="J703" i="24"/>
  <c r="J702" i="24"/>
  <c r="J701" i="24"/>
  <c r="J700" i="24"/>
  <c r="J699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47" i="24"/>
  <c r="J646" i="24"/>
  <c r="J645" i="24"/>
  <c r="L647" i="24" s="1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715" i="24" l="1"/>
  <c r="K644" i="24"/>
  <c r="L716" i="24"/>
  <c r="L713" i="24"/>
  <c r="L712" i="24"/>
  <c r="L711" i="24"/>
  <c r="L710" i="24"/>
  <c r="L709" i="24"/>
  <c r="L708" i="24"/>
  <c r="L707" i="24"/>
  <c r="L706" i="24"/>
  <c r="L705" i="24"/>
  <c r="L704" i="24"/>
  <c r="L703" i="24"/>
  <c r="L702" i="24"/>
  <c r="L701" i="24"/>
  <c r="L700" i="24"/>
  <c r="L699" i="24"/>
  <c r="L698" i="24"/>
  <c r="L697" i="24"/>
  <c r="L696" i="24"/>
  <c r="L695" i="24"/>
  <c r="L694" i="24"/>
  <c r="L693" i="24"/>
  <c r="L692" i="24"/>
  <c r="L691" i="24"/>
  <c r="L690" i="24"/>
  <c r="L689" i="24"/>
  <c r="L688" i="24"/>
  <c r="L687" i="24"/>
  <c r="L686" i="24"/>
  <c r="L685" i="24"/>
  <c r="L684" i="24"/>
  <c r="L683" i="24"/>
  <c r="L682" i="24"/>
  <c r="L681" i="24"/>
  <c r="L680" i="24"/>
  <c r="L679" i="24"/>
  <c r="L678" i="24"/>
  <c r="L677" i="24"/>
  <c r="L676" i="24"/>
  <c r="L675" i="24"/>
  <c r="L674" i="24"/>
  <c r="L673" i="24"/>
  <c r="L672" i="24"/>
  <c r="L671" i="24"/>
  <c r="L670" i="24"/>
  <c r="L669" i="24"/>
  <c r="L668" i="24"/>
  <c r="L715" i="24" s="1"/>
  <c r="K716" i="24" l="1"/>
  <c r="K713" i="24"/>
  <c r="M713" i="24" s="1"/>
  <c r="F215" i="36" s="1"/>
  <c r="K712" i="24"/>
  <c r="M712" i="24" s="1"/>
  <c r="E215" i="36" s="1"/>
  <c r="K711" i="24"/>
  <c r="M711" i="24" s="1"/>
  <c r="D215" i="36" s="1"/>
  <c r="K710" i="24"/>
  <c r="M710" i="24" s="1"/>
  <c r="C215" i="36" s="1"/>
  <c r="K709" i="24"/>
  <c r="M709" i="24" s="1"/>
  <c r="I183" i="36" s="1"/>
  <c r="K708" i="24"/>
  <c r="M708" i="24" s="1"/>
  <c r="H183" i="36" s="1"/>
  <c r="K707" i="24"/>
  <c r="M707" i="24" s="1"/>
  <c r="G183" i="36" s="1"/>
  <c r="K706" i="24"/>
  <c r="M706" i="24" s="1"/>
  <c r="F183" i="36" s="1"/>
  <c r="K705" i="24"/>
  <c r="M705" i="24" s="1"/>
  <c r="E183" i="36" s="1"/>
  <c r="K704" i="24"/>
  <c r="M704" i="24" s="1"/>
  <c r="D183" i="36" s="1"/>
  <c r="K703" i="24"/>
  <c r="M703" i="24" s="1"/>
  <c r="C183" i="36" s="1"/>
  <c r="K702" i="24"/>
  <c r="M702" i="24" s="1"/>
  <c r="I151" i="36" s="1"/>
  <c r="K701" i="24"/>
  <c r="M701" i="24" s="1"/>
  <c r="H151" i="36" s="1"/>
  <c r="K700" i="24"/>
  <c r="M700" i="24" s="1"/>
  <c r="G151" i="36" s="1"/>
  <c r="K699" i="24"/>
  <c r="M699" i="24" s="1"/>
  <c r="F151" i="36" s="1"/>
  <c r="K698" i="24"/>
  <c r="M698" i="24" s="1"/>
  <c r="E151" i="36" s="1"/>
  <c r="K697" i="24"/>
  <c r="M697" i="24" s="1"/>
  <c r="D151" i="36" s="1"/>
  <c r="K696" i="24"/>
  <c r="M696" i="24" s="1"/>
  <c r="C151" i="36" s="1"/>
  <c r="K695" i="24"/>
  <c r="M695" i="24" s="1"/>
  <c r="I119" i="36" s="1"/>
  <c r="K694" i="24"/>
  <c r="M694" i="24" s="1"/>
  <c r="H119" i="36" s="1"/>
  <c r="K693" i="24"/>
  <c r="M693" i="24" s="1"/>
  <c r="K692" i="24"/>
  <c r="M692" i="24" s="1"/>
  <c r="K691" i="24"/>
  <c r="M691" i="24" s="1"/>
  <c r="K690" i="24"/>
  <c r="M690" i="24" s="1"/>
  <c r="D119" i="36" s="1"/>
  <c r="K689" i="24"/>
  <c r="M689" i="24" s="1"/>
  <c r="C119" i="36" s="1"/>
  <c r="K688" i="24"/>
  <c r="M688" i="24" s="1"/>
  <c r="I87" i="36" s="1"/>
  <c r="K687" i="24"/>
  <c r="M687" i="24" s="1"/>
  <c r="H87" i="36" s="1"/>
  <c r="K686" i="24"/>
  <c r="M686" i="24" s="1"/>
  <c r="G87" i="36" s="1"/>
  <c r="K685" i="24"/>
  <c r="M685" i="24" s="1"/>
  <c r="F87" i="36" s="1"/>
  <c r="K684" i="24"/>
  <c r="M684" i="24" s="1"/>
  <c r="E87" i="36" s="1"/>
  <c r="K683" i="24"/>
  <c r="M683" i="24" s="1"/>
  <c r="D87" i="36" s="1"/>
  <c r="K682" i="24"/>
  <c r="M682" i="24" s="1"/>
  <c r="C87" i="36" s="1"/>
  <c r="K681" i="24"/>
  <c r="M681" i="24" s="1"/>
  <c r="I55" i="36" s="1"/>
  <c r="K680" i="24"/>
  <c r="M680" i="24" s="1"/>
  <c r="H55" i="36" s="1"/>
  <c r="K679" i="24"/>
  <c r="M679" i="24" s="1"/>
  <c r="K678" i="24"/>
  <c r="M678" i="24" s="1"/>
  <c r="K677" i="24"/>
  <c r="M677" i="24" s="1"/>
  <c r="K676" i="24"/>
  <c r="M676" i="24" s="1"/>
  <c r="D55" i="36" s="1"/>
  <c r="K675" i="24"/>
  <c r="M675" i="24" s="1"/>
  <c r="C55" i="36" s="1"/>
  <c r="K674" i="24"/>
  <c r="M674" i="24" s="1"/>
  <c r="I23" i="36" s="1"/>
  <c r="K673" i="24"/>
  <c r="M673" i="24" s="1"/>
  <c r="H23" i="36" s="1"/>
  <c r="K672" i="24"/>
  <c r="M672" i="24" s="1"/>
  <c r="G23" i="36" s="1"/>
  <c r="K671" i="24"/>
  <c r="M671" i="24" s="1"/>
  <c r="F23" i="36" s="1"/>
  <c r="K670" i="24"/>
  <c r="M670" i="24" s="1"/>
  <c r="E23" i="36" s="1"/>
  <c r="K669" i="24"/>
  <c r="M669" i="24" s="1"/>
  <c r="D23" i="36" s="1"/>
  <c r="K668" i="24"/>
  <c r="K715" i="24" l="1"/>
  <c r="M668" i="24"/>
  <c r="E119" i="36"/>
  <c r="E55" i="36"/>
  <c r="F119" i="36"/>
  <c r="F55" i="36"/>
  <c r="G119" i="36"/>
  <c r="G55" i="36"/>
  <c r="C23" i="36" l="1"/>
  <c r="M715" i="24"/>
</calcChain>
</file>

<file path=xl/sharedStrings.xml><?xml version="1.0" encoding="utf-8"?>
<sst xmlns="http://schemas.openxmlformats.org/spreadsheetml/2006/main" count="4870" uniqueCount="1382">
  <si>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</si>
  <si>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</si>
  <si>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</si>
  <si>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</si>
  <si>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</si>
  <si>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</si>
  <si>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</si>
  <si>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</si>
  <si>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</si>
  <si>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</si>
  <si>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</si>
  <si>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</si>
  <si>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</si>
  <si>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</si>
  <si>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</si>
  <si>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</si>
  <si>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</si>
  <si>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</si>
  <si>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</si>
  <si>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</si>
  <si>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</si>
  <si>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</si>
  <si>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</si>
  <si>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</si>
  <si>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</si>
  <si>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</si>
  <si>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</si>
  <si>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</si>
  <si>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</si>
  <si>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</si>
  <si>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</si>
  <si>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</si>
  <si>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</si>
  <si>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</si>
  <si>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</si>
  <si>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</si>
  <si>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</si>
  <si>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</si>
  <si>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</si>
  <si>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</si>
  <si>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</si>
  <si>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</si>
  <si>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</si>
  <si>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</si>
  <si>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</si>
  <si>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</si>
  <si>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</si>
  <si>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</si>
  <si>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</si>
  <si>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</si>
  <si>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</si>
  <si>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</si>
  <si>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</si>
  <si>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</si>
  <si>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</si>
  <si>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</si>
  <si>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</si>
  <si>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</si>
  <si>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</si>
  <si>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</si>
  <si>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</si>
  <si>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</si>
  <si>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</si>
  <si>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</si>
  <si>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</si>
  <si>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</si>
  <si>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</si>
  <si>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</si>
  <si>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</si>
  <si>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</si>
  <si>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</si>
  <si>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</si>
  <si>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</si>
  <si>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</si>
  <si>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</si>
  <si>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</si>
  <si>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</si>
  <si>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</si>
  <si>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</si>
  <si>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</si>
  <si>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</si>
  <si>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</si>
  <si>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</si>
  <si>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</si>
  <si>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</si>
  <si>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</si>
  <si>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</si>
  <si>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</si>
  <si>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</si>
  <si>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</si>
  <si>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</si>
  <si>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</si>
  <si>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</si>
  <si>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</si>
  <si>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</si>
  <si>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</si>
  <si>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</si>
  <si>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</si>
  <si>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</si>
  <si>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</si>
  <si>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</si>
  <si>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</si>
  <si>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</si>
  <si>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</si>
  <si>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</si>
  <si>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</si>
  <si>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</si>
  <si>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</si>
  <si>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</si>
  <si>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</si>
  <si>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</si>
  <si>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</si>
  <si>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</si>
  <si>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</si>
  <si>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</si>
  <si>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</si>
  <si>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</si>
  <si>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</si>
  <si>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</si>
  <si>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</si>
  <si>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</si>
  <si>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</si>
  <si>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</si>
  <si>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</si>
  <si>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</si>
  <si>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</si>
  <si>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</si>
  <si>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</si>
  <si>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</si>
  <si>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</si>
  <si>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</si>
  <si>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</si>
  <si>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</si>
  <si>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</si>
  <si>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</si>
  <si>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</si>
  <si>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</si>
  <si>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</si>
  <si>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</si>
  <si>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</si>
  <si>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</si>
  <si>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</si>
  <si>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</si>
  <si>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</si>
  <si>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</si>
  <si>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</si>
  <si>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</si>
  <si>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</si>
  <si>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</si>
  <si>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</si>
  <si>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</si>
  <si>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</si>
  <si>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</si>
  <si>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</si>
  <si>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</si>
  <si>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</si>
  <si>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</si>
  <si>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</si>
  <si>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</si>
  <si>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</si>
  <si>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</si>
  <si>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</si>
  <si>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</si>
  <si>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</si>
  <si>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</si>
  <si>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</si>
  <si>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</si>
  <si>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</si>
  <si>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</si>
  <si>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</si>
  <si>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</si>
  <si>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</si>
  <si>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</si>
  <si>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</si>
  <si>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</si>
  <si>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</si>
  <si>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</si>
  <si>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</si>
  <si>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</si>
  <si>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</si>
  <si>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</si>
  <si>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</si>
  <si>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</si>
  <si>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</si>
  <si>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</si>
  <si>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</si>
  <si>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</si>
  <si>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</si>
  <si>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</si>
  <si>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</si>
  <si>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</si>
  <si>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</si>
  <si>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</si>
  <si>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</si>
  <si>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</si>
  <si>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</si>
  <si>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</si>
  <si>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</si>
  <si>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</si>
  <si>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</si>
  <si>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</si>
  <si>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</si>
  <si>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</si>
  <si>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</si>
  <si>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</si>
  <si>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</si>
  <si>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</si>
  <si>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</si>
  <si>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</si>
  <si>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</si>
  <si>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</si>
  <si>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</si>
  <si>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</si>
  <si>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</si>
  <si>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</si>
  <si>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</si>
  <si>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</si>
  <si>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</si>
  <si>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</si>
  <si>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</si>
  <si>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</si>
  <si>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</si>
  <si>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</si>
  <si>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</si>
  <si>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</si>
  <si>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</si>
  <si>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</si>
  <si>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</si>
  <si>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</si>
  <si>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</si>
  <si>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</si>
  <si>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</si>
  <si>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</si>
  <si>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</si>
  <si>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</si>
  <si>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</si>
  <si>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</si>
  <si>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</si>
  <si>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</si>
  <si>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</si>
  <si>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</si>
  <si>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</si>
  <si>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</si>
  <si>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</si>
  <si>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</si>
  <si>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</si>
  <si>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</si>
  <si>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</si>
  <si>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</si>
  <si>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</si>
  <si>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</si>
  <si>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</si>
  <si>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</si>
  <si>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</si>
  <si>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</si>
  <si>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</si>
  <si>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</si>
  <si>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</si>
  <si>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</si>
  <si>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</si>
  <si>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</si>
  <si>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</si>
  <si>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</si>
  <si>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</si>
  <si>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</si>
  <si>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</si>
  <si>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</si>
  <si>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</si>
  <si>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</si>
  <si>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</si>
  <si>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</si>
  <si>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</si>
  <si>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</si>
  <si>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</si>
  <si>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</si>
  <si>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</si>
  <si>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</si>
  <si>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</si>
  <si>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</si>
  <si>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</si>
  <si>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</si>
  <si>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</si>
  <si>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</si>
  <si>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</si>
  <si>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</si>
  <si>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</si>
  <si>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</si>
  <si>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</si>
  <si>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</si>
  <si>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</si>
  <si>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</si>
  <si>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</si>
  <si>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</si>
  <si>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</si>
  <si>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</si>
  <si>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</si>
  <si>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</si>
  <si>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12/31/2021</t>
  </si>
  <si>
    <t>License Number</t>
  </si>
  <si>
    <t>:</t>
  </si>
  <si>
    <t>111</t>
  </si>
  <si>
    <t>Hospital Name</t>
  </si>
  <si>
    <t>EAST ADAMS RURAL HEALTHCARE</t>
  </si>
  <si>
    <t>Mailing Address</t>
  </si>
  <si>
    <t>903 S ADAMS STREET</t>
  </si>
  <si>
    <t>City</t>
  </si>
  <si>
    <t>State</t>
  </si>
  <si>
    <t xml:space="preserve">RITZVILLE, WA  </t>
  </si>
  <si>
    <t>Zip</t>
  </si>
  <si>
    <t>County</t>
  </si>
  <si>
    <t>ADAMS</t>
  </si>
  <si>
    <t>Chief Executive Officer</t>
  </si>
  <si>
    <t>COREY FEDIE</t>
  </si>
  <si>
    <t>Chief Financial Officer</t>
  </si>
  <si>
    <t>MATTHEW GOSMAN</t>
  </si>
  <si>
    <t>Chair of Governing Board</t>
  </si>
  <si>
    <t>JOHN KRAGT</t>
  </si>
  <si>
    <t>Telephone Number</t>
  </si>
  <si>
    <t>(509) 659-5402</t>
  </si>
  <si>
    <t>Facsimile Number</t>
  </si>
  <si>
    <t>(509) 659-1252</t>
  </si>
  <si>
    <t>Name of Submitter</t>
  </si>
  <si>
    <t xml:space="preserve">Jeannette Ring </t>
  </si>
  <si>
    <t>Email of Submitter</t>
  </si>
  <si>
    <t>jring@dza.cpa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</si>
  <si>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</si>
  <si>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</si>
  <si>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</si>
  <si>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</si>
  <si>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</si>
  <si>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</si>
  <si>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</si>
  <si>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</si>
  <si>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</si>
  <si>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</si>
  <si>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</si>
  <si>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</si>
  <si>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</si>
  <si>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</si>
  <si>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</si>
  <si>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</si>
  <si>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</si>
  <si>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</si>
  <si>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</si>
  <si>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</si>
  <si>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</si>
  <si>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</si>
  <si>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</si>
  <si>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</si>
  <si>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</si>
  <si>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</si>
  <si>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</si>
  <si>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</si>
  <si>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</si>
  <si>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</si>
  <si>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</si>
  <si>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</si>
  <si>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</si>
  <si>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</si>
  <si>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</si>
  <si>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</si>
  <si>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</si>
  <si>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</si>
  <si>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</si>
  <si>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</si>
  <si>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</si>
  <si>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</si>
  <si>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</si>
  <si>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</si>
  <si>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</si>
  <si>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</si>
  <si>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</si>
  <si>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</si>
  <si>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</si>
  <si>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</si>
  <si>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</si>
  <si>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</si>
  <si>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</si>
  <si>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</si>
  <si>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</si>
  <si>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</si>
  <si>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</si>
  <si>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</si>
  <si>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</si>
  <si>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</si>
  <si>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</si>
  <si>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</si>
  <si>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</si>
  <si>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</si>
  <si>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</si>
  <si>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</si>
  <si>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</si>
  <si>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</si>
  <si>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</si>
  <si>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</si>
  <si>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</si>
  <si>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</si>
  <si>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</si>
  <si>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</si>
  <si>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</si>
  <si>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</si>
  <si>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</si>
  <si>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</si>
  <si>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</si>
  <si>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</si>
  <si>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</si>
  <si>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</si>
  <si>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</si>
  <si>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</si>
  <si>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</si>
  <si>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</si>
  <si>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</si>
  <si>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</si>
  <si>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</si>
  <si>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</si>
  <si>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</si>
  <si>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</si>
  <si>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</si>
  <si>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</si>
  <si>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</si>
  <si>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</si>
  <si>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</si>
  <si>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</si>
  <si>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</si>
  <si>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</si>
  <si>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</si>
  <si>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</si>
  <si>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</si>
  <si>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</si>
  <si>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</si>
  <si>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</si>
  <si>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</si>
  <si>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</si>
  <si>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</si>
  <si>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</si>
  <si>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</si>
  <si>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</si>
  <si>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</si>
  <si>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</si>
  <si>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</si>
  <si>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</si>
  <si>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</si>
  <si>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</si>
  <si>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</si>
  <si>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</si>
  <si>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</si>
  <si>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</si>
  <si>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</si>
  <si>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</si>
  <si>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</si>
  <si>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</si>
  <si>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</si>
  <si>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</si>
  <si>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</si>
  <si>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</si>
  <si>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</si>
  <si>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</si>
  <si>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</si>
  <si>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</si>
  <si>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</si>
  <si>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</si>
  <si>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</si>
  <si>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</si>
  <si>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</si>
  <si>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</si>
  <si>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</si>
  <si>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</si>
  <si>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</si>
  <si>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</si>
  <si>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</si>
  <si>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</si>
  <si>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</si>
  <si>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</si>
  <si>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</si>
  <si>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</si>
  <si>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</si>
  <si>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</si>
  <si>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</si>
  <si>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</si>
  <si>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</si>
  <si>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</si>
  <si>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</si>
  <si>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</si>
  <si>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</si>
  <si>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 xml:space="preserve"> 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</si>
  <si>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</si>
  <si>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</si>
  <si>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</si>
  <si>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</si>
  <si>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</si>
  <si>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</si>
  <si>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</si>
  <si>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</si>
  <si>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</si>
  <si>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</si>
  <si>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</si>
  <si>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</si>
  <si>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</si>
  <si>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</si>
  <si>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</si>
  <si>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</si>
  <si>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</si>
  <si>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</si>
  <si>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</si>
  <si>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</si>
  <si>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</si>
  <si>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</si>
  <si>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</si>
  <si>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</si>
  <si>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</si>
  <si>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</si>
  <si>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</si>
  <si>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</si>
  <si>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</si>
  <si>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</si>
  <si>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</si>
  <si>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</si>
  <si>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</si>
  <si>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</si>
  <si>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</si>
  <si>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</si>
  <si>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</si>
  <si>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</si>
  <si>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</si>
  <si>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</si>
  <si>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</si>
  <si>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</si>
  <si>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</si>
  <si>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</si>
  <si>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</si>
  <si>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</si>
  <si>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</si>
  <si>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</si>
  <si>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</si>
  <si>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</si>
  <si>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</si>
  <si>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</si>
  <si>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</si>
  <si>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</si>
  <si>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</si>
  <si>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</si>
  <si>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</si>
  <si>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</si>
  <si>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</si>
  <si>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</si>
  <si>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</si>
  <si>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</si>
  <si>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</si>
  <si>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</si>
  <si>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</si>
  <si>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</si>
  <si>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</si>
  <si>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</si>
  <si>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</si>
  <si>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</si>
  <si>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</si>
  <si>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</si>
  <si>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</si>
  <si>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</si>
  <si>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</si>
  <si>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</si>
  <si>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</si>
  <si>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</si>
  <si>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</si>
  <si>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</si>
  <si>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</si>
  <si>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</si>
  <si>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</si>
  <si>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</si>
  <si>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</si>
  <si>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</si>
  <si>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</si>
  <si>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</si>
  <si>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</si>
  <si>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</si>
  <si>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</si>
  <si>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</si>
  <si>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</si>
  <si>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</si>
  <si>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</si>
  <si>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</si>
  <si>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</si>
  <si>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</si>
  <si>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</si>
  <si>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</si>
  <si>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</si>
  <si>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</si>
  <si>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</si>
  <si>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</si>
  <si>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</si>
  <si>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</si>
  <si>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</si>
  <si>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</si>
  <si>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</si>
  <si>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</si>
  <si>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</si>
  <si>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</si>
  <si>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</si>
  <si>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</si>
  <si>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</si>
  <si>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</si>
  <si>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</si>
  <si>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</si>
  <si>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</si>
  <si>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</si>
  <si>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</si>
  <si>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</si>
  <si>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</si>
  <si>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</si>
  <si>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</si>
  <si>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</si>
  <si>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</si>
  <si>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</si>
  <si>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</si>
  <si>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</si>
  <si>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</si>
  <si>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</si>
  <si>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</si>
  <si>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</si>
  <si>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</si>
  <si>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</si>
  <si>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</si>
  <si>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</si>
  <si>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</si>
  <si>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</si>
  <si>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</si>
  <si>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</si>
  <si>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</si>
  <si>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</si>
  <si>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</si>
  <si>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</si>
  <si>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</si>
  <si>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</si>
  <si>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</si>
  <si>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</si>
  <si>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</si>
  <si>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</si>
  <si>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</si>
  <si>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</si>
  <si>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</si>
  <si>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</si>
  <si>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</si>
  <si>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</si>
  <si>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</si>
  <si>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</si>
  <si>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</si>
  <si>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</si>
  <si>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</si>
  <si>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</si>
  <si>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</si>
  <si>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</si>
  <si>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</si>
  <si>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</si>
  <si>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</si>
  <si>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</si>
  <si>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</si>
  <si>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</si>
  <si>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</si>
  <si>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</si>
  <si>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</si>
  <si>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</si>
  <si>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</si>
  <si>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</si>
  <si>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</si>
  <si>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</si>
  <si>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</si>
  <si>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</si>
  <si>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</si>
  <si>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</si>
  <si>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</si>
  <si>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</si>
  <si>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</si>
  <si>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</si>
  <si>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</si>
  <si>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</si>
  <si>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</si>
  <si>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</si>
  <si>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</si>
  <si>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</si>
  <si>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</si>
  <si>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</si>
  <si>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</si>
  <si>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</si>
  <si>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</si>
  <si>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</si>
  <si>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</si>
  <si>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</si>
  <si>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</si>
  <si>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</si>
  <si>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</si>
  <si>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</si>
  <si>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</si>
  <si>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</si>
  <si>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</si>
  <si>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</si>
  <si>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</si>
  <si>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</si>
  <si>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</si>
  <si>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</si>
  <si>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</si>
  <si>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</si>
  <si>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</si>
  <si>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</si>
  <si>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</si>
  <si>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</si>
  <si>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</si>
  <si>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</si>
  <si>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</si>
  <si>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</si>
  <si>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</si>
  <si>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</si>
  <si>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</si>
  <si>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</si>
  <si>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</si>
  <si>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</si>
  <si>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</si>
  <si>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</si>
  <si>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</si>
  <si>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</si>
  <si>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</si>
  <si>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</si>
  <si>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</si>
  <si>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</si>
  <si>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</si>
  <si>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</si>
  <si>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</si>
  <si>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</si>
  <si>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</si>
  <si>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</si>
  <si>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</si>
  <si>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</si>
  <si>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</si>
  <si>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</si>
  <si>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</si>
  <si>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</si>
  <si>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</si>
  <si>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</si>
  <si>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</si>
  <si>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</si>
  <si>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</si>
  <si>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</si>
  <si>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</si>
  <si>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</si>
  <si>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</si>
  <si>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</si>
  <si>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</si>
  <si>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</si>
  <si>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</si>
  <si>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</si>
  <si>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</si>
  <si>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</si>
  <si>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</si>
  <si>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</si>
  <si>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</si>
  <si>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</si>
  <si>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</si>
  <si>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</si>
  <si>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</si>
  <si>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</si>
  <si>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</si>
  <si>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</si>
  <si>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</si>
  <si>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</si>
  <si>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</si>
  <si>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</si>
  <si>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</si>
  <si>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</si>
  <si>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</si>
  <si>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</si>
  <si>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</si>
  <si>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</si>
  <si>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</si>
  <si>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</si>
  <si>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</si>
  <si>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</si>
  <si>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</si>
  <si>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</si>
  <si>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</si>
  <si>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</si>
  <si>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</si>
  <si>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</si>
  <si>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</si>
  <si>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</si>
  <si>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</si>
  <si>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</si>
  <si>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</si>
  <si>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</si>
  <si>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</si>
  <si>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</si>
  <si>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</si>
  <si>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</si>
  <si>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</si>
  <si>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</si>
  <si>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</si>
  <si>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</si>
  <si>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</si>
  <si>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</si>
  <si>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</si>
  <si>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</si>
  <si>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</si>
  <si>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</si>
  <si>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</si>
  <si>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</si>
  <si>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</si>
  <si>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</si>
  <si>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</si>
  <si>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</si>
  <si>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</si>
  <si>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</si>
  <si>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</si>
  <si>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</si>
  <si>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</si>
  <si>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</si>
  <si>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</si>
  <si>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</si>
  <si>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</si>
  <si>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</si>
  <si>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</si>
  <si>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</si>
  <si>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</si>
  <si>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</si>
  <si>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</si>
  <si>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</si>
  <si>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</si>
  <si>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</si>
  <si>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</si>
  <si>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</si>
  <si>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</si>
  <si>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</si>
  <si>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</si>
  <si>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</si>
  <si>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</si>
  <si>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</si>
  <si>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</si>
  <si>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</si>
  <si>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</si>
  <si>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</si>
  <si>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</si>
  <si>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</si>
  <si>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</si>
  <si>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</si>
  <si>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</si>
  <si>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</si>
  <si>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</si>
  <si>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</si>
  <si>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</si>
  <si>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</si>
  <si>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</si>
  <si>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</si>
  <si>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</si>
  <si>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</si>
  <si>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</si>
  <si>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</si>
  <si>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</si>
  <si>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</si>
  <si>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</si>
  <si>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</si>
  <si>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</si>
  <si>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</si>
  <si>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</si>
  <si>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</si>
  <si>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</si>
  <si>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</si>
  <si>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</si>
  <si>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</si>
  <si>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</si>
  <si>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</si>
  <si>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</si>
  <si>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</si>
  <si>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</si>
  <si>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</si>
  <si>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</si>
  <si>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</si>
  <si>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</si>
  <si>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</si>
  <si>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</si>
  <si>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</si>
  <si>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</si>
  <si>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</si>
  <si>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</si>
  <si>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</si>
  <si>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</si>
  <si>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</si>
  <si>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</si>
  <si>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</si>
  <si>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</si>
  <si>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</si>
  <si>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</si>
  <si>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</si>
  <si>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</si>
  <si>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</si>
  <si>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</si>
  <si>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</si>
  <si>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</si>
  <si>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</si>
  <si>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</si>
  <si>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</si>
  <si>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</si>
  <si>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</si>
  <si>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</si>
  <si>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</si>
  <si>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</si>
  <si>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</si>
  <si>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</si>
  <si>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</si>
  <si>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</si>
  <si>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</si>
  <si>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</si>
  <si>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</si>
  <si>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</si>
  <si>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</si>
  <si>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</si>
  <si>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</si>
  <si>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</si>
  <si>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</si>
  <si>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</si>
  <si>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</si>
  <si>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</si>
  <si>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</si>
  <si>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</si>
  <si>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</si>
  <si>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</si>
  <si>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</si>
  <si>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</si>
  <si>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</si>
  <si>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</si>
  <si>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</si>
  <si>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</si>
  <si>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</si>
  <si>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</si>
  <si>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</si>
  <si>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</si>
  <si>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</si>
  <si>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</si>
  <si>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</si>
  <si>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</si>
  <si>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</si>
  <si>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</si>
  <si>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</si>
  <si>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</si>
  <si>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</si>
  <si>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</si>
  <si>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</si>
  <si>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</si>
  <si>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</si>
  <si>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</si>
  <si>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</si>
  <si>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</si>
  <si>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</si>
  <si>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</si>
  <si>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</si>
  <si>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</si>
  <si>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</si>
  <si>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</si>
  <si>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</si>
  <si>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</si>
  <si>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</si>
  <si>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</si>
  <si>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</si>
  <si>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</si>
  <si>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</si>
  <si>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</si>
  <si>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</si>
  <si>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</si>
  <si>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</si>
  <si>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</si>
  <si>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</si>
  <si>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</si>
  <si>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</si>
  <si>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</si>
  <si>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</si>
  <si>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</si>
  <si>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</si>
  <si>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</si>
  <si>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</si>
  <si>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</si>
  <si>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</si>
  <si>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</si>
  <si>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</si>
  <si>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</si>
  <si>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</si>
  <si>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</si>
  <si>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</si>
  <si>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</si>
  <si>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</si>
  <si>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</si>
  <si>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</si>
  <si>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</si>
  <si>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</si>
  <si>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</si>
  <si>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</si>
  <si>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</si>
  <si>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</si>
  <si>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</si>
  <si>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</si>
  <si>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</si>
  <si>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</si>
  <si>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</si>
  <si>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</si>
  <si>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</si>
  <si>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</si>
  <si>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</si>
  <si>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</si>
  <si>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</si>
  <si>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</si>
  <si>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</si>
  <si>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</si>
  <si>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</si>
  <si>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</si>
  <si>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</si>
  <si>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</si>
  <si>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</si>
  <si>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</si>
  <si>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</si>
  <si>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</si>
  <si>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</si>
  <si>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</si>
  <si>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</si>
  <si>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</si>
  <si>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</si>
  <si>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</si>
  <si>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</si>
  <si>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</si>
  <si>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</si>
  <si>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</si>
  <si>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</si>
  <si>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</si>
  <si>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</si>
  <si>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</si>
  <si>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</si>
  <si>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</si>
  <si>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</si>
  <si>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</si>
  <si>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</si>
  <si>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</si>
  <si>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</si>
  <si>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</si>
  <si>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</si>
  <si>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</si>
  <si>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</si>
  <si>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</si>
  <si>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</si>
  <si>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</si>
  <si>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</si>
  <si>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</si>
  <si>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</si>
  <si>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</si>
  <si>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</si>
  <si>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</si>
  <si>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</si>
  <si>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</si>
  <si>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</si>
  <si>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</si>
  <si>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</si>
  <si>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</si>
  <si>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</si>
  <si>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</si>
  <si>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</si>
  <si>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</si>
  <si>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</si>
  <si>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</si>
  <si>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</si>
  <si>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</si>
  <si>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</si>
  <si>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</si>
  <si>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</si>
  <si>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</si>
  <si>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</si>
  <si>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</si>
  <si>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</si>
  <si>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</si>
  <si>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</si>
  <si>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</si>
  <si>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</si>
  <si>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</si>
  <si>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</si>
  <si>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</si>
  <si>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</si>
  <si>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</si>
  <si>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</si>
  <si>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</si>
  <si>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</si>
  <si>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</si>
  <si>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</si>
  <si>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</si>
  <si>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</si>
  <si>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</si>
  <si>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</si>
  <si>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</si>
  <si>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</si>
  <si>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</si>
  <si>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</si>
  <si>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</si>
  <si>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</si>
  <si>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</si>
  <si>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</si>
  <si>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</si>
  <si>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</si>
  <si>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</si>
  <si>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</si>
  <si>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</si>
  <si>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</si>
  <si>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</si>
  <si>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</si>
  <si>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</si>
  <si>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</si>
  <si>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</si>
  <si>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</si>
  <si>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</si>
  <si>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</si>
  <si>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</si>
  <si>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</si>
  <si>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</si>
  <si>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</si>
  <si>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</si>
  <si>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</si>
  <si>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</si>
  <si>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</si>
  <si>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</si>
  <si>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</si>
  <si>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</si>
  <si>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</si>
  <si>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</si>
  <si>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</si>
  <si>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</si>
  <si>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</si>
  <si>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</si>
  <si>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</si>
  <si>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</si>
  <si>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</si>
  <si>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</si>
  <si>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</si>
  <si>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</si>
  <si>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</si>
  <si>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</si>
  <si>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</si>
  <si>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</si>
  <si>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</si>
  <si>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</si>
  <si>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</si>
  <si>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</si>
  <si>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</si>
  <si>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</si>
  <si>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</si>
  <si>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</si>
  <si>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</si>
  <si>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</si>
  <si>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</si>
  <si>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</si>
  <si>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</si>
  <si>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</si>
  <si>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</si>
  <si>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</si>
  <si>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</si>
  <si>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</si>
  <si>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</si>
  <si>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</si>
  <si>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</si>
  <si>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</si>
  <si>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</si>
  <si>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</si>
  <si>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</si>
  <si>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</si>
  <si>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</si>
  <si>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</si>
  <si>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</si>
  <si>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</si>
  <si>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</si>
  <si>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</si>
  <si>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</si>
  <si>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</si>
  <si>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</si>
  <si>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</si>
  <si>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</si>
  <si>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</si>
  <si>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</si>
  <si>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</si>
  <si>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</si>
  <si>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</si>
  <si>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</si>
  <si>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</si>
  <si>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</si>
  <si>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</si>
  <si>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</si>
  <si>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</si>
  <si>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</si>
  <si>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</si>
  <si>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</si>
  <si>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</si>
  <si>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</si>
  <si>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</si>
  <si>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</si>
  <si>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</si>
  <si>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</si>
  <si>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</si>
  <si>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</si>
  <si>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</si>
  <si>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</si>
  <si>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</si>
  <si>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</si>
  <si>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</si>
  <si>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</si>
  <si>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</si>
  <si>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</si>
  <si>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</si>
  <si>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</si>
  <si>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</si>
  <si>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</si>
  <si>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</si>
  <si>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</si>
  <si>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</si>
  <si>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</si>
  <si>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</si>
  <si>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</si>
  <si>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</si>
  <si>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</si>
  <si>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</si>
  <si>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</si>
  <si>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</si>
  <si>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</si>
  <si>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</si>
  <si>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</si>
  <si>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</si>
  <si>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</si>
  <si>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</si>
  <si>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</si>
  <si>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</si>
  <si>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</si>
  <si>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</si>
  <si>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</si>
  <si>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</si>
  <si>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</si>
  <si>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</si>
  <si>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</si>
  <si>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</si>
  <si>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</si>
  <si>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</si>
  <si>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</si>
  <si>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</si>
  <si>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</si>
  <si>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</si>
  <si>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</si>
  <si>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</si>
  <si>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</si>
  <si>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</si>
  <si>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</si>
  <si>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</si>
  <si>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</si>
  <si>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</si>
  <si>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</si>
  <si>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</si>
  <si>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</si>
  <si>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</si>
  <si>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</si>
  <si>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</si>
  <si>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</si>
  <si>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</si>
  <si>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</si>
  <si>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</si>
  <si>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</si>
  <si>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</si>
  <si>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</si>
  <si>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</si>
  <si>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</si>
  <si>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</si>
  <si>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</si>
  <si>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</si>
  <si>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</si>
  <si>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</si>
  <si>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</si>
  <si>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</si>
  <si>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</si>
  <si>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</si>
  <si>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</si>
  <si>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</si>
  <si>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</si>
  <si>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</si>
  <si>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</si>
  <si>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</si>
  <si>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</si>
  <si>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</si>
  <si>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</si>
  <si>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</si>
  <si>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</si>
  <si>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</si>
  <si>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</si>
  <si>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</si>
  <si>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</si>
  <si>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</si>
  <si>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</si>
  <si>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</si>
  <si>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</si>
  <si>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</si>
  <si>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</si>
  <si>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</si>
  <si>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</si>
  <si>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</si>
  <si>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</si>
  <si>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</si>
  <si>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</si>
  <si>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</si>
  <si>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</si>
  <si>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</si>
  <si>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</si>
  <si>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</si>
  <si>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</si>
  <si>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</si>
  <si>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</si>
  <si>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</si>
  <si>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</si>
  <si>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</si>
  <si>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</si>
  <si>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</si>
  <si>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</si>
  <si>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</si>
  <si>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</si>
  <si>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</si>
  <si>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</si>
  <si>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</si>
  <si>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</si>
  <si>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</si>
  <si>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</si>
  <si>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</si>
  <si>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</si>
  <si>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</si>
  <si>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</si>
  <si>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</si>
  <si>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</si>
  <si>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</si>
  <si>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</si>
  <si>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</si>
  <si>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</si>
  <si>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</si>
  <si>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</si>
  <si>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</si>
  <si>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</si>
  <si>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</si>
  <si>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</si>
  <si>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</si>
  <si>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</si>
  <si>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</si>
  <si>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</si>
  <si>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</si>
  <si>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</si>
  <si>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</si>
  <si>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</si>
  <si>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</si>
  <si>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</si>
  <si>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</si>
  <si>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</si>
  <si>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</si>
  <si>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</si>
  <si>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</si>
  <si>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</si>
  <si>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</si>
  <si>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</si>
  <si>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</si>
  <si>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</si>
  <si>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</si>
  <si>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</si>
  <si>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</si>
  <si>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</si>
  <si>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</si>
  <si>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</si>
  <si>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</si>
  <si>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RITZVILLE</t>
  </si>
  <si>
    <t>WA</t>
  </si>
  <si>
    <t>Corey Fedie</t>
  </si>
  <si>
    <t>Matthew Gosman</t>
  </si>
  <si>
    <t>John Kragt</t>
  </si>
  <si>
    <t>Jeannette Ring</t>
  </si>
  <si>
    <t>Travel &amp; meetings</t>
  </si>
  <si>
    <t>Dues &amp; subscriptions</t>
  </si>
  <si>
    <t>Advertising</t>
  </si>
  <si>
    <t>Prior year ambulance runs should have been 476.</t>
  </si>
  <si>
    <t>Fluctuation Analysis and Response:</t>
  </si>
  <si>
    <t>The Hospital had a system conversion in 2022 and statistics were not tracked accurately.  We used units from a revenue code report in FY22, in the prior year actual therapy visits were reported.</t>
  </si>
  <si>
    <t>The hospital had a system conversion in 2022 and statistics were not tracked accurately.</t>
  </si>
  <si>
    <t>Salaries increased signficantly in the Plant/Maintenance department in FY22.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</si>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</sst>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</font>
    <font>
      <u/>
      <sz val="10"/>
      <color indexed="12"/>
      <name val="Arial"/>
    </font>
    <font>
      <sz val="9"/>
      <name val="Calibri"/>
      <family val="2"/>
    </font>
    <font>
      <u/>
      <sz val="10"/>
      <color rgb="FF0000FF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90">
    <xf numFmtId="37" fontId="0" fillId="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6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6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28" borderId="0"/>
    <xf numFmtId="0" fontId="39" fillId="28" borderId="0"/>
    <xf numFmtId="0" fontId="35" fillId="28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41" fillId="0" borderId="0"/>
    <xf numFmtId="43" fontId="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37" fontId="49" fillId="0" borderId="0"/>
    <xf numFmtId="37" fontId="4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9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4" fillId="6" borderId="0" xfId="0" applyFont="1" applyFill="1"/>
    <xf numFmtId="37" fontId="14" fillId="6" borderId="0" xfId="0" quotePrefix="1" applyFont="1" applyFill="1" applyAlignment="1">
      <alignment horizontal="left" indent="1"/>
    </xf>
    <xf numFmtId="43" fontId="14" fillId="3" borderId="0" xfId="547" applyFont="1" applyFill="1"/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6" borderId="0" xfId="0" quotePrefix="1" applyFont="1" applyFill="1" applyAlignment="1">
      <alignment horizontal="left"/>
    </xf>
    <xf numFmtId="37" fontId="14" fillId="6" borderId="0" xfId="0" applyFont="1" applyFill="1" applyAlignment="1">
      <alignment horizontal="right"/>
    </xf>
    <xf numFmtId="37" fontId="14" fillId="6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6" borderId="0" xfId="0" applyFont="1" applyFill="1" applyAlignment="1">
      <alignment horizontal="centerContinuous"/>
    </xf>
    <xf numFmtId="37" fontId="14" fillId="6" borderId="0" xfId="0" applyFont="1" applyFill="1" applyAlignment="1">
      <alignment horizontal="left" indent="1"/>
    </xf>
    <xf numFmtId="10" fontId="14" fillId="0" borderId="0" xfId="939" applyNumberFormat="1" applyFont="1"/>
    <xf numFmtId="37" fontId="14" fillId="6" borderId="0" xfId="0" applyFont="1" applyFill="1" applyAlignment="1">
      <alignment horizontal="left" indent="2"/>
    </xf>
    <xf numFmtId="37" fontId="14" fillId="6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6" borderId="0" xfId="547" applyFont="1" applyFill="1"/>
    <xf numFmtId="37" fontId="19" fillId="6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7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8" borderId="0" xfId="0" applyFont="1" applyFill="1"/>
    <xf numFmtId="37" fontId="25" fillId="8" borderId="0" xfId="0" applyFont="1" applyFill="1" applyAlignment="1">
      <alignment horizontal="center"/>
    </xf>
    <xf numFmtId="37" fontId="25" fillId="9" borderId="0" xfId="0" applyFont="1" applyFill="1"/>
    <xf numFmtId="37" fontId="25" fillId="9" borderId="0" xfId="0" applyFont="1" applyFill="1" applyAlignment="1">
      <alignment horizontal="left"/>
    </xf>
    <xf numFmtId="37" fontId="25" fillId="9" borderId="0" xfId="0" applyFont="1" applyFill="1" applyAlignment="1">
      <alignment horizontal="center"/>
    </xf>
    <xf numFmtId="39" fontId="25" fillId="9" borderId="0" xfId="0" applyNumberFormat="1" applyFont="1" applyFill="1"/>
    <xf numFmtId="39" fontId="25" fillId="8" borderId="0" xfId="0" applyNumberFormat="1" applyFont="1" applyFill="1"/>
    <xf numFmtId="37" fontId="14" fillId="6" borderId="0" xfId="0" quotePrefix="1" applyFont="1" applyFill="1" applyAlignment="1">
      <alignment horizontal="fill"/>
    </xf>
    <xf numFmtId="38" fontId="14" fillId="6" borderId="0" xfId="0" applyNumberFormat="1" applyFont="1" applyFill="1"/>
    <xf numFmtId="39" fontId="14" fillId="6" borderId="0" xfId="0" applyNumberFormat="1" applyFont="1" applyFill="1"/>
    <xf numFmtId="2" fontId="14" fillId="6" borderId="0" xfId="0" applyNumberFormat="1" applyFont="1" applyFill="1"/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14" fillId="6" borderId="0" xfId="547" applyNumberFormat="1" applyFont="1" applyFill="1"/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0" fontId="15" fillId="0" borderId="0" xfId="631" applyFont="1">
      <alignment vertical="top"/>
      <protection locked="0"/>
    </xf>
    <xf numFmtId="37" fontId="16" fillId="30" borderId="1" xfId="0" applyFont="1" applyFill="1" applyBorder="1" applyProtection="1">
      <protection locked="0"/>
    </xf>
    <xf numFmtId="37" fontId="16" fillId="30" borderId="1" xfId="0" quotePrefix="1" applyFont="1" applyFill="1" applyBorder="1" applyProtection="1">
      <protection locked="0"/>
    </xf>
    <xf numFmtId="2" fontId="16" fillId="30" borderId="1" xfId="547" quotePrefix="1" applyNumberFormat="1" applyFont="1" applyFill="1" applyBorder="1" applyProtection="1">
      <protection locked="0"/>
    </xf>
    <xf numFmtId="37" fontId="16" fillId="30" borderId="1" xfId="547" quotePrefix="1" applyNumberFormat="1" applyFont="1" applyFill="1" applyBorder="1" applyProtection="1">
      <protection locked="0"/>
    </xf>
    <xf numFmtId="37" fontId="16" fillId="30" borderId="1" xfId="547" applyNumberFormat="1" applyFont="1" applyFill="1" applyBorder="1" applyProtection="1">
      <protection locked="0"/>
    </xf>
    <xf numFmtId="2" fontId="16" fillId="30" borderId="1" xfId="0" quotePrefix="1" applyNumberFormat="1" applyFont="1" applyFill="1" applyBorder="1" applyProtection="1">
      <protection locked="0"/>
    </xf>
    <xf numFmtId="2" fontId="16" fillId="30" borderId="1" xfId="939" quotePrefix="1" applyNumberFormat="1" applyFont="1" applyFill="1" applyBorder="1" applyProtection="1">
      <protection locked="0"/>
    </xf>
    <xf numFmtId="2" fontId="16" fillId="30" borderId="1" xfId="547" applyNumberFormat="1" applyFont="1" applyFill="1" applyBorder="1" applyProtection="1">
      <protection locked="0"/>
    </xf>
    <xf numFmtId="37" fontId="16" fillId="30" borderId="1" xfId="939" quotePrefix="1" applyNumberFormat="1" applyFont="1" applyFill="1" applyBorder="1" applyProtection="1">
      <protection locked="0"/>
    </xf>
    <xf numFmtId="1" fontId="16" fillId="30" borderId="1" xfId="0" quotePrefix="1" applyNumberFormat="1" applyFont="1" applyFill="1" applyBorder="1" applyProtection="1">
      <protection locked="0"/>
    </xf>
    <xf numFmtId="37" fontId="16" fillId="29" borderId="1" xfId="0" quotePrefix="1" applyFont="1" applyFill="1" applyBorder="1" applyProtection="1">
      <protection locked="0"/>
    </xf>
    <xf numFmtId="167" fontId="16" fillId="29" borderId="1" xfId="0" quotePrefix="1" applyNumberFormat="1" applyFont="1" applyFill="1" applyBorder="1" applyProtection="1">
      <protection locked="0"/>
    </xf>
    <xf numFmtId="38" fontId="16" fillId="29" borderId="8" xfId="0" applyNumberFormat="1" applyFont="1" applyFill="1" applyBorder="1" applyProtection="1">
      <protection locked="0"/>
    </xf>
    <xf numFmtId="38" fontId="16" fillId="29" borderId="2" xfId="0" applyNumberFormat="1" applyFont="1" applyFill="1" applyBorder="1" applyProtection="1">
      <protection locked="0"/>
    </xf>
    <xf numFmtId="3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4" xfId="0" applyNumberFormat="1" applyFont="1" applyFill="1" applyBorder="1" applyProtection="1">
      <protection locked="0"/>
    </xf>
    <xf numFmtId="38" fontId="16" fillId="29" borderId="14" xfId="0" quotePrefix="1" applyNumberFormat="1" applyFont="1" applyFill="1" applyBorder="1" applyProtection="1">
      <protection locked="0"/>
    </xf>
    <xf numFmtId="166" fontId="16" fillId="29" borderId="14" xfId="0" applyNumberFormat="1" applyFont="1" applyFill="1" applyBorder="1" applyAlignment="1" applyProtection="1">
      <alignment horizontal="left"/>
      <protection locked="0"/>
    </xf>
    <xf numFmtId="49" fontId="16" fillId="29" borderId="1" xfId="0" quotePrefix="1" applyNumberFormat="1" applyFont="1" applyFill="1" applyBorder="1" applyProtection="1">
      <protection locked="0"/>
    </xf>
    <xf numFmtId="16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right"/>
      <protection locked="0"/>
    </xf>
    <xf numFmtId="38" fontId="16" fillId="30" borderId="1" xfId="0" applyNumberFormat="1" applyFont="1" applyFill="1" applyBorder="1" applyProtection="1">
      <protection locked="0"/>
    </xf>
    <xf numFmtId="37" fontId="16" fillId="29" borderId="1" xfId="0" applyFont="1" applyFill="1" applyBorder="1" applyProtection="1">
      <protection locked="0"/>
    </xf>
    <xf numFmtId="38" fontId="24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center"/>
      <protection locked="0"/>
    </xf>
    <xf numFmtId="38" fontId="10" fillId="29" borderId="14" xfId="0" applyNumberFormat="1" applyFont="1" applyFill="1" applyBorder="1" applyProtection="1">
      <protection locked="0"/>
    </xf>
    <xf numFmtId="37" fontId="31" fillId="29" borderId="36" xfId="0" quotePrefix="1" applyFont="1" applyFill="1" applyBorder="1" applyAlignment="1">
      <alignment horizontal="left"/>
    </xf>
    <xf numFmtId="37" fontId="6" fillId="29" borderId="34" xfId="0" applyFont="1" applyFill="1" applyBorder="1"/>
    <xf numFmtId="38" fontId="6" fillId="29" borderId="34" xfId="0" applyNumberFormat="1" applyFont="1" applyFill="1" applyBorder="1"/>
    <xf numFmtId="37" fontId="6" fillId="29" borderId="39" xfId="0" applyFont="1" applyFill="1" applyBorder="1"/>
    <xf numFmtId="37" fontId="6" fillId="29" borderId="37" xfId="0" quotePrefix="1" applyFont="1" applyFill="1" applyBorder="1" applyAlignment="1">
      <alignment vertical="center" readingOrder="1"/>
    </xf>
    <xf numFmtId="37" fontId="6" fillId="29" borderId="0" xfId="0" quotePrefix="1" applyFont="1" applyFill="1" applyAlignment="1">
      <alignment horizontal="left"/>
    </xf>
    <xf numFmtId="38" fontId="6" fillId="29" borderId="0" xfId="0" applyNumberFormat="1" applyFont="1" applyFill="1"/>
    <xf numFmtId="37" fontId="6" fillId="29" borderId="0" xfId="0" applyFont="1" applyFill="1"/>
    <xf numFmtId="37" fontId="6" fillId="29" borderId="40" xfId="0" applyFont="1" applyFill="1" applyBorder="1"/>
    <xf numFmtId="37" fontId="5" fillId="29" borderId="37" xfId="0" quotePrefix="1" applyFont="1" applyFill="1" applyBorder="1"/>
    <xf numFmtId="37" fontId="6" fillId="29" borderId="37" xfId="0" applyFont="1" applyFill="1" applyBorder="1" applyAlignment="1">
      <alignment vertical="center" readingOrder="1"/>
    </xf>
    <xf numFmtId="37" fontId="5" fillId="29" borderId="38" xfId="0" quotePrefix="1" applyFont="1" applyFill="1" applyBorder="1"/>
    <xf numFmtId="37" fontId="6" fillId="29" borderId="35" xfId="0" applyFont="1" applyFill="1" applyBorder="1"/>
    <xf numFmtId="38" fontId="6" fillId="29" borderId="35" xfId="0" applyNumberFormat="1" applyFont="1" applyFill="1" applyBorder="1"/>
    <xf numFmtId="37" fontId="6" fillId="29" borderId="41" xfId="0" applyFont="1" applyFill="1" applyBorder="1"/>
    <xf numFmtId="37" fontId="45" fillId="0" borderId="0" xfId="0" applyFont="1"/>
    <xf numFmtId="37" fontId="14" fillId="29" borderId="0" xfId="0" applyFont="1" applyFill="1" applyProtection="1">
      <protection locked="0"/>
    </xf>
    <xf numFmtId="37" fontId="42" fillId="0" borderId="0" xfId="0" applyFont="1"/>
    <xf numFmtId="37" fontId="46" fillId="0" borderId="0" xfId="0" applyFont="1"/>
    <xf numFmtId="37" fontId="43" fillId="0" borderId="0" xfId="0" applyFont="1"/>
    <xf numFmtId="37" fontId="44" fillId="0" borderId="0" xfId="0" applyFont="1"/>
    <xf numFmtId="37" fontId="27" fillId="0" borderId="0" xfId="0" applyFont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1" xfId="0" applyFont="1" applyBorder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4" borderId="2" xfId="0" applyFont="1" applyFill="1" applyBorder="1"/>
    <xf numFmtId="37" fontId="26" fillId="5" borderId="2" xfId="0" applyFont="1" applyFill="1" applyBorder="1"/>
    <xf numFmtId="37" fontId="29" fillId="0" borderId="0" xfId="0" applyFont="1"/>
    <xf numFmtId="37" fontId="26" fillId="5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5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5" borderId="2" xfId="0" quotePrefix="1" applyFont="1" applyFill="1" applyBorder="1"/>
    <xf numFmtId="39" fontId="26" fillId="5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5" borderId="2" xfId="0" applyNumberFormat="1" applyFont="1" applyFill="1" applyBorder="1"/>
    <xf numFmtId="2" fontId="26" fillId="0" borderId="2" xfId="0" applyNumberFormat="1" applyFont="1" applyBorder="1"/>
    <xf numFmtId="3" fontId="26" fillId="5" borderId="2" xfId="0" applyNumberFormat="1" applyFont="1" applyFill="1" applyBorder="1"/>
    <xf numFmtId="2" fontId="14" fillId="0" borderId="0" xfId="0" applyNumberFormat="1" applyFont="1" applyAlignment="1">
      <alignment horizontal="right"/>
    </xf>
    <xf numFmtId="37" fontId="24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7" fontId="16" fillId="3" borderId="0" xfId="0" applyFont="1" applyFill="1" applyAlignment="1">
      <alignment horizontal="center" vertical="center"/>
    </xf>
    <xf numFmtId="37" fontId="47" fillId="0" borderId="0" xfId="0" applyFont="1"/>
    <xf numFmtId="37" fontId="51" fillId="0" borderId="0" xfId="0" applyFont="1" applyAlignment="1">
      <alignment vertical="center"/>
    </xf>
    <xf numFmtId="37" fontId="52" fillId="0" borderId="0" xfId="0" applyFont="1" applyAlignment="1">
      <alignment vertical="center" wrapText="1"/>
    </xf>
    <xf numFmtId="37" fontId="31" fillId="0" borderId="0" xfId="0" quotePrefix="1" applyFont="1" applyFill="1" applyBorder="1" applyAlignment="1">
      <alignment horizontal="left"/>
    </xf>
    <xf numFmtId="37" fontId="6" fillId="0" borderId="0" xfId="0" applyFont="1" applyFill="1" applyBorder="1"/>
    <xf numFmtId="38" fontId="6" fillId="0" borderId="0" xfId="0" applyNumberFormat="1" applyFont="1" applyFill="1" applyBorder="1"/>
    <xf numFmtId="37" fontId="6" fillId="0" borderId="0" xfId="0" quotePrefix="1" applyFont="1" applyFill="1" applyBorder="1" applyAlignment="1">
      <alignment vertical="center" readingOrder="1"/>
    </xf>
    <xf numFmtId="37" fontId="6" fillId="0" borderId="0" xfId="0" quotePrefix="1" applyFont="1" applyFill="1" applyBorder="1" applyAlignment="1">
      <alignment horizontal="left"/>
    </xf>
    <xf numFmtId="37" fontId="5" fillId="0" borderId="0" xfId="0" quotePrefix="1" applyFont="1" applyFill="1" applyBorder="1"/>
    <xf numFmtId="37" fontId="6" fillId="0" borderId="0" xfId="0" applyFont="1" applyFill="1" applyBorder="1" applyAlignment="1">
      <alignment vertical="center" readingOrder="1"/>
    </xf>
  </cellXfs>
  <cellStyles count="990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16" xfId="977" xr:uid="{5AA234BE-63C2-40A0-B1EC-ED1D64517BE3}"/>
    <cellStyle name="Comma 17" xfId="989" xr:uid="{E110EC97-B43D-4E77-BBAF-E341D5910F76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2 6" xfId="981" xr:uid="{3B4462C3-FFA2-4240-B688-93D735E4856D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3 6" xfId="988" xr:uid="{DB7376F0-0F1A-4125-BB7C-F406F6BDAF41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2 2" xfId="982" xr:uid="{D11ACA5C-2518-48EC-9455-D869F70595E7}"/>
    <cellStyle name="Hyperlink 3" xfId="633" xr:uid="{325A48BC-2671-48BA-B978-3356B3928895}"/>
    <cellStyle name="Hyperlink 4" xfId="634" xr:uid="{4E246F5C-2532-4DE9-AEDB-229C548EC72F}"/>
    <cellStyle name="Hyperlink 5" xfId="978" xr:uid="{9A7F5495-5383-4972-ACE0-CEABCA0A9409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0 7" xfId="983" xr:uid="{D8E7BBB8-DD0F-4DD9-B52A-5D100BCD8F46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11" xfId="984" xr:uid="{32BB9419-9D5D-4E9E-870D-D9598CD635B9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11" xfId="980" xr:uid="{F2B08514-E1CC-40E7-9F42-55612D5506F0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10" xfId="979" xr:uid="{6A0B3D91-18D5-48ED-AAB9-B69C8F2CD7E3}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2 6" xfId="985" xr:uid="{59619ECB-9E58-43B9-B9EA-FC18909346D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3 4" xfId="986" xr:uid="{8557D309-F83B-4A9D-9D0B-F20DAD718AF8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4 4" xfId="987" xr:uid="{72D0C676-C76F-4360-A498-309BFC135E1C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692150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B94" transitionEvaluation="1" transitionEntry="1" codeName="Sheet1">
    <tabColor rgb="FF92D050"/>
    <pageSetUpPr autoPageBreaks="0" fitToPage="1"/>
  </sheetPr>
  <dimension ref="A1:CF716"/>
  <sheetViews>
    <sheetView tabSelected="1" topLeftCell="A94" zoomScaleNormal="100" workbookViewId="0">
      <pane xSplit="1" topLeftCell="B1" activePane="topRight" state="frozen"/>
      <selection activeCell="A39" sqref="A39"/>
      <selection pane="topRight" activeCell="J31" sqref="J3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/>
    <row r="2" spans="1:5" x14ac:dyDescent="0.25">
      <c r="E2" s="320" t="s">
        <v>1380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  <c r="C5" s="13"/>
    </row>
    <row r="6" spans="1:5" x14ac:dyDescent="0.25">
      <c r="C6" s="13"/>
    </row>
    <row r="7" spans="1:5" x14ac:dyDescent="0.25">
      <c r="A7" s="319" t="s">
        <v>1379</v>
      </c>
    </row>
    <row r="8" spans="1:5" x14ac:dyDescent="0.25">
      <c r="C8" s="13"/>
    </row>
    <row r="9" spans="1:5" x14ac:dyDescent="0.25">
      <c r="A9" s="56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59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3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4" x14ac:dyDescent="0.25">
      <c r="A33" s="14" t="s">
        <v>26</v>
      </c>
      <c r="B33" s="58"/>
      <c r="C33" s="58"/>
      <c r="D33" s="58"/>
    </row>
    <row r="34" spans="1:84" ht="16.5" x14ac:dyDescent="0.25">
      <c r="A34" s="14" t="s">
        <v>27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22" t="s">
        <v>28</v>
      </c>
      <c r="B36" s="323"/>
      <c r="C36" s="324"/>
      <c r="D36" s="323"/>
      <c r="E36" s="323"/>
      <c r="F36" s="323"/>
      <c r="G36" s="323"/>
    </row>
    <row r="37" spans="1:84" x14ac:dyDescent="0.25">
      <c r="A37" s="325" t="s">
        <v>29</v>
      </c>
      <c r="B37" s="326"/>
      <c r="C37" s="324"/>
      <c r="D37" s="323"/>
      <c r="E37" s="323"/>
      <c r="F37" s="323"/>
      <c r="G37" s="323"/>
    </row>
    <row r="38" spans="1:84" x14ac:dyDescent="0.25">
      <c r="A38" s="327" t="s">
        <v>30</v>
      </c>
      <c r="B38" s="326"/>
      <c r="C38" s="324"/>
      <c r="D38" s="323"/>
      <c r="E38" s="323"/>
      <c r="F38" s="323"/>
      <c r="G38" s="323"/>
    </row>
    <row r="39" spans="1:84" x14ac:dyDescent="0.25">
      <c r="A39" s="328" t="s">
        <v>31</v>
      </c>
      <c r="B39" s="323"/>
      <c r="C39" s="324"/>
      <c r="D39" s="323"/>
      <c r="E39" s="323"/>
      <c r="F39" s="323"/>
      <c r="G39" s="323"/>
    </row>
    <row r="40" spans="1:84" x14ac:dyDescent="0.25">
      <c r="A40" s="327" t="s">
        <v>32</v>
      </c>
      <c r="B40" s="323"/>
      <c r="C40" s="324"/>
      <c r="D40" s="323"/>
      <c r="E40" s="323"/>
      <c r="F40" s="323"/>
      <c r="G40" s="323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4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f>SUM(C47:CC47)</f>
        <v>0</v>
      </c>
      <c r="CF47" s="11">
        <v>0</v>
      </c>
    </row>
    <row r="48" spans="1:84" x14ac:dyDescent="0.25">
      <c r="A48" s="25" t="s">
        <v>232</v>
      </c>
      <c r="B48" s="234">
        <v>1400347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31825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161441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10877</v>
      </c>
      <c r="T48" s="25">
        <f t="shared" si="0"/>
        <v>0</v>
      </c>
      <c r="U48" s="25">
        <f t="shared" si="0"/>
        <v>79102</v>
      </c>
      <c r="V48" s="25">
        <f t="shared" si="0"/>
        <v>0</v>
      </c>
      <c r="W48" s="25">
        <f t="shared" si="0"/>
        <v>2239</v>
      </c>
      <c r="X48" s="25">
        <f t="shared" si="0"/>
        <v>18926</v>
      </c>
      <c r="Y48" s="25">
        <f t="shared" si="0"/>
        <v>65075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0</v>
      </c>
      <c r="AE48" s="25">
        <f t="shared" si="0"/>
        <v>100919</v>
      </c>
      <c r="AF48" s="25">
        <f t="shared" si="0"/>
        <v>0</v>
      </c>
      <c r="AG48" s="25">
        <f t="shared" si="0"/>
        <v>123922</v>
      </c>
      <c r="AH48" s="25">
        <f t="shared" si="0"/>
        <v>36998</v>
      </c>
      <c r="AI48" s="25">
        <f t="shared" ref="AI48:BN48" si="1">IF($B$48,(ROUND((($B$48/$CE$61)*AI61),0)))</f>
        <v>0</v>
      </c>
      <c r="AJ48" s="25">
        <f t="shared" si="1"/>
        <v>296485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7194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35685</v>
      </c>
      <c r="AZ48" s="25">
        <f t="shared" si="1"/>
        <v>0</v>
      </c>
      <c r="BA48" s="25">
        <f t="shared" si="1"/>
        <v>0</v>
      </c>
      <c r="BB48" s="25">
        <f t="shared" si="1"/>
        <v>10791</v>
      </c>
      <c r="BC48" s="25">
        <f t="shared" si="1"/>
        <v>0</v>
      </c>
      <c r="BD48" s="25">
        <f t="shared" si="1"/>
        <v>0</v>
      </c>
      <c r="BE48" s="25">
        <f t="shared" si="1"/>
        <v>46982</v>
      </c>
      <c r="BF48" s="25">
        <f t="shared" si="1"/>
        <v>50353</v>
      </c>
      <c r="BG48" s="25">
        <f t="shared" si="1"/>
        <v>0</v>
      </c>
      <c r="BH48" s="25">
        <f t="shared" si="1"/>
        <v>25995</v>
      </c>
      <c r="BI48" s="25">
        <f t="shared" si="1"/>
        <v>0</v>
      </c>
      <c r="BJ48" s="25">
        <f t="shared" si="1"/>
        <v>0</v>
      </c>
      <c r="BK48" s="25">
        <f t="shared" si="1"/>
        <v>108747</v>
      </c>
      <c r="BL48" s="25">
        <f t="shared" si="1"/>
        <v>0</v>
      </c>
      <c r="BM48" s="25">
        <f t="shared" si="1"/>
        <v>0</v>
      </c>
      <c r="BN48" s="25">
        <f t="shared" si="1"/>
        <v>133561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2110</v>
      </c>
      <c r="BT48" s="25">
        <f t="shared" si="2"/>
        <v>0</v>
      </c>
      <c r="BU48" s="25">
        <f t="shared" si="2"/>
        <v>0</v>
      </c>
      <c r="BV48" s="25">
        <f t="shared" si="2"/>
        <v>12709</v>
      </c>
      <c r="BW48" s="25">
        <f t="shared" si="2"/>
        <v>0</v>
      </c>
      <c r="BX48" s="25">
        <f t="shared" si="2"/>
        <v>0</v>
      </c>
      <c r="BY48" s="25">
        <f t="shared" si="2"/>
        <v>38411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1400347</v>
      </c>
      <c r="CF48" s="11">
        <v>0</v>
      </c>
    </row>
    <row r="49" spans="1:84" x14ac:dyDescent="0.25">
      <c r="A49" s="16" t="s">
        <v>233</v>
      </c>
      <c r="B49" s="25">
        <f>B47+B48</f>
        <v>1400347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1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1">
        <v>0</v>
      </c>
    </row>
    <row r="51" spans="1:84" x14ac:dyDescent="0.25">
      <c r="A51" s="21" t="s">
        <v>234</v>
      </c>
      <c r="B51" s="235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f>SUM(C51:CD51)</f>
        <v>0</v>
      </c>
      <c r="CF51" s="11">
        <v>0</v>
      </c>
    </row>
    <row r="52" spans="1:84" x14ac:dyDescent="0.25">
      <c r="A52" s="31" t="s">
        <v>235</v>
      </c>
      <c r="B52" s="234">
        <v>761318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9571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48606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17159</v>
      </c>
      <c r="T52" s="25">
        <f t="shared" si="3"/>
        <v>0</v>
      </c>
      <c r="U52" s="25">
        <f t="shared" si="3"/>
        <v>18560</v>
      </c>
      <c r="V52" s="25">
        <f t="shared" si="3"/>
        <v>0</v>
      </c>
      <c r="W52" s="25">
        <f t="shared" si="3"/>
        <v>1094</v>
      </c>
      <c r="X52" s="25">
        <f t="shared" si="3"/>
        <v>9297</v>
      </c>
      <c r="Y52" s="25">
        <f t="shared" si="3"/>
        <v>31925</v>
      </c>
      <c r="Z52" s="25">
        <f t="shared" si="3"/>
        <v>0</v>
      </c>
      <c r="AA52" s="25">
        <f t="shared" si="3"/>
        <v>0</v>
      </c>
      <c r="AB52" s="25">
        <f t="shared" si="3"/>
        <v>2734</v>
      </c>
      <c r="AC52" s="25">
        <f t="shared" si="3"/>
        <v>0</v>
      </c>
      <c r="AD52" s="25">
        <f t="shared" si="3"/>
        <v>0</v>
      </c>
      <c r="AE52" s="25">
        <f t="shared" si="3"/>
        <v>22970</v>
      </c>
      <c r="AF52" s="25">
        <f t="shared" si="3"/>
        <v>0</v>
      </c>
      <c r="AG52" s="25">
        <f t="shared" si="3"/>
        <v>29703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107739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2188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2017</v>
      </c>
      <c r="AW52" s="25">
        <f t="shared" si="4"/>
        <v>0</v>
      </c>
      <c r="AX52" s="25">
        <f t="shared" si="4"/>
        <v>0</v>
      </c>
      <c r="AY52" s="25">
        <f t="shared" si="4"/>
        <v>19176</v>
      </c>
      <c r="AZ52" s="25">
        <f t="shared" si="4"/>
        <v>0</v>
      </c>
      <c r="BA52" s="25">
        <f t="shared" si="4"/>
        <v>1333</v>
      </c>
      <c r="BB52" s="25">
        <f t="shared" si="4"/>
        <v>12920</v>
      </c>
      <c r="BC52" s="25">
        <f t="shared" si="4"/>
        <v>0</v>
      </c>
      <c r="BD52" s="25">
        <f t="shared" si="4"/>
        <v>0</v>
      </c>
      <c r="BE52" s="25">
        <f t="shared" si="4"/>
        <v>200746</v>
      </c>
      <c r="BF52" s="25">
        <f t="shared" si="4"/>
        <v>3931</v>
      </c>
      <c r="BG52" s="25">
        <f t="shared" si="4"/>
        <v>0</v>
      </c>
      <c r="BH52" s="25">
        <f t="shared" si="4"/>
        <v>43513</v>
      </c>
      <c r="BI52" s="25">
        <f t="shared" si="4"/>
        <v>0</v>
      </c>
      <c r="BJ52" s="25">
        <f t="shared" si="4"/>
        <v>3589</v>
      </c>
      <c r="BK52" s="25">
        <f t="shared" si="4"/>
        <v>10357</v>
      </c>
      <c r="BL52" s="25">
        <f t="shared" si="4"/>
        <v>0</v>
      </c>
      <c r="BM52" s="25">
        <f t="shared" si="4"/>
        <v>0</v>
      </c>
      <c r="BN52" s="25">
        <f t="shared" si="4"/>
        <v>126676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31857</v>
      </c>
      <c r="BW52" s="25">
        <f t="shared" si="5"/>
        <v>0</v>
      </c>
      <c r="BX52" s="25">
        <f t="shared" si="5"/>
        <v>0</v>
      </c>
      <c r="BY52" s="25">
        <f t="shared" si="5"/>
        <v>3657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761318</v>
      </c>
      <c r="CF52" s="11">
        <v>0</v>
      </c>
    </row>
    <row r="53" spans="1:84" x14ac:dyDescent="0.25">
      <c r="A53" s="16" t="s">
        <v>233</v>
      </c>
      <c r="B53" s="25">
        <f>B51+B52</f>
        <v>761318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1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1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11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11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11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11">
        <v>0</v>
      </c>
    </row>
    <row r="59" spans="1:84" x14ac:dyDescent="0.25">
      <c r="A59" s="31" t="s">
        <v>261</v>
      </c>
      <c r="B59" s="25"/>
      <c r="C59" s="235">
        <v>0</v>
      </c>
      <c r="D59" s="235">
        <v>0</v>
      </c>
      <c r="E59" s="235">
        <v>261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1324</v>
      </c>
      <c r="M59" s="235">
        <v>0</v>
      </c>
      <c r="N59" s="235">
        <v>0</v>
      </c>
      <c r="O59" s="235">
        <v>0</v>
      </c>
      <c r="P59" s="236">
        <v>0</v>
      </c>
      <c r="Q59" s="237">
        <v>0</v>
      </c>
      <c r="R59" s="237">
        <v>0</v>
      </c>
      <c r="S59" s="230">
        <v>0</v>
      </c>
      <c r="T59" s="230">
        <v>0</v>
      </c>
      <c r="U59" s="238">
        <v>16788</v>
      </c>
      <c r="V59" s="237">
        <v>0</v>
      </c>
      <c r="W59" s="237">
        <v>75</v>
      </c>
      <c r="X59" s="237">
        <v>634</v>
      </c>
      <c r="Y59" s="237">
        <v>2180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6324</v>
      </c>
      <c r="AF59" s="237">
        <v>0</v>
      </c>
      <c r="AG59" s="237">
        <v>1408</v>
      </c>
      <c r="AH59" s="237">
        <v>324</v>
      </c>
      <c r="AI59" s="237">
        <v>0</v>
      </c>
      <c r="AJ59" s="237">
        <v>4820</v>
      </c>
      <c r="AK59" s="237">
        <v>0</v>
      </c>
      <c r="AL59" s="237">
        <v>0</v>
      </c>
      <c r="AM59" s="237">
        <v>0</v>
      </c>
      <c r="AN59" s="237">
        <v>0</v>
      </c>
      <c r="AO59" s="237">
        <f>59*24</f>
        <v>1416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5045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22273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  <c r="CF59" s="11">
        <v>0</v>
      </c>
    </row>
    <row r="60" spans="1:84" s="201" customFormat="1" x14ac:dyDescent="0.25">
      <c r="A60" s="207" t="s">
        <v>262</v>
      </c>
      <c r="B60" s="208"/>
      <c r="C60" s="239">
        <v>0</v>
      </c>
      <c r="D60" s="239">
        <v>0</v>
      </c>
      <c r="E60" s="239">
        <v>1.77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8.9700000000000006</v>
      </c>
      <c r="M60" s="239">
        <v>0</v>
      </c>
      <c r="N60" s="239">
        <v>0</v>
      </c>
      <c r="O60" s="239">
        <v>0</v>
      </c>
      <c r="P60" s="236">
        <v>0</v>
      </c>
      <c r="Q60" s="236">
        <v>0</v>
      </c>
      <c r="R60" s="236">
        <v>0</v>
      </c>
      <c r="S60" s="240">
        <v>0.96</v>
      </c>
      <c r="T60" s="240">
        <v>0</v>
      </c>
      <c r="U60" s="241">
        <v>4.54</v>
      </c>
      <c r="V60" s="236">
        <v>0</v>
      </c>
      <c r="W60" s="236">
        <v>0.08</v>
      </c>
      <c r="X60" s="236">
        <v>0.66</v>
      </c>
      <c r="Y60" s="236">
        <v>2.2599999999999998</v>
      </c>
      <c r="Z60" s="236">
        <v>0</v>
      </c>
      <c r="AA60" s="236">
        <v>0</v>
      </c>
      <c r="AB60" s="240">
        <v>0</v>
      </c>
      <c r="AC60" s="236">
        <v>0</v>
      </c>
      <c r="AD60" s="236">
        <v>0</v>
      </c>
      <c r="AE60" s="236">
        <v>4.6399999999999997</v>
      </c>
      <c r="AF60" s="236">
        <v>0</v>
      </c>
      <c r="AG60" s="236">
        <v>6.93</v>
      </c>
      <c r="AH60" s="236">
        <v>1.63</v>
      </c>
      <c r="AI60" s="236">
        <v>0</v>
      </c>
      <c r="AJ60" s="236">
        <v>11.94</v>
      </c>
      <c r="AK60" s="236">
        <v>0</v>
      </c>
      <c r="AL60" s="236">
        <v>0</v>
      </c>
      <c r="AM60" s="236">
        <v>0</v>
      </c>
      <c r="AN60" s="236">
        <v>0</v>
      </c>
      <c r="AO60" s="236">
        <v>0.39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0</v>
      </c>
      <c r="AW60" s="240">
        <v>0</v>
      </c>
      <c r="AX60" s="240">
        <v>0</v>
      </c>
      <c r="AY60" s="236">
        <v>3.43</v>
      </c>
      <c r="AZ60" s="236">
        <v>0</v>
      </c>
      <c r="BA60" s="240">
        <v>0</v>
      </c>
      <c r="BB60" s="240">
        <v>0</v>
      </c>
      <c r="BC60" s="240">
        <v>0</v>
      </c>
      <c r="BD60" s="240">
        <v>0</v>
      </c>
      <c r="BE60" s="236">
        <v>2.2200000000000002</v>
      </c>
      <c r="BF60" s="240">
        <v>4.5199999999999996</v>
      </c>
      <c r="BG60" s="240">
        <v>0</v>
      </c>
      <c r="BH60" s="240">
        <v>1.85</v>
      </c>
      <c r="BI60" s="240">
        <v>0</v>
      </c>
      <c r="BJ60" s="240">
        <v>0</v>
      </c>
      <c r="BK60" s="240">
        <v>7.78</v>
      </c>
      <c r="BL60" s="240">
        <v>0</v>
      </c>
      <c r="BM60" s="240">
        <v>0</v>
      </c>
      <c r="BN60" s="240">
        <v>3.87</v>
      </c>
      <c r="BO60" s="240">
        <v>0</v>
      </c>
      <c r="BP60" s="240">
        <v>0</v>
      </c>
      <c r="BQ60" s="240">
        <v>0</v>
      </c>
      <c r="BR60" s="240">
        <v>0</v>
      </c>
      <c r="BS60" s="240">
        <v>0.03</v>
      </c>
      <c r="BT60" s="240">
        <v>0</v>
      </c>
      <c r="BU60" s="240">
        <v>0</v>
      </c>
      <c r="BV60" s="240">
        <v>0.99</v>
      </c>
      <c r="BW60" s="240">
        <v>0</v>
      </c>
      <c r="BX60" s="240">
        <v>0</v>
      </c>
      <c r="BY60" s="240">
        <v>0.82</v>
      </c>
      <c r="BZ60" s="240">
        <v>0</v>
      </c>
      <c r="CA60" s="240">
        <v>0</v>
      </c>
      <c r="CB60" s="240">
        <v>0</v>
      </c>
      <c r="CC60" s="240">
        <v>0</v>
      </c>
      <c r="CD60" s="209" t="s">
        <v>248</v>
      </c>
      <c r="CE60" s="227">
        <f t="shared" ref="CE60:CE68" si="6">SUM(C60:CD60)</f>
        <v>70.279999999999987</v>
      </c>
      <c r="CF60" s="201">
        <v>0</v>
      </c>
    </row>
    <row r="61" spans="1:84" x14ac:dyDescent="0.25">
      <c r="A61" s="31" t="s">
        <v>263</v>
      </c>
      <c r="B61" s="16"/>
      <c r="C61" s="235">
        <v>0</v>
      </c>
      <c r="D61" s="235">
        <v>0</v>
      </c>
      <c r="E61" s="235">
        <v>139405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707175</v>
      </c>
      <c r="M61" s="235">
        <v>0</v>
      </c>
      <c r="N61" s="235">
        <v>0</v>
      </c>
      <c r="O61" s="235">
        <v>0</v>
      </c>
      <c r="P61" s="237">
        <v>0</v>
      </c>
      <c r="Q61" s="237">
        <v>0</v>
      </c>
      <c r="R61" s="237">
        <v>0</v>
      </c>
      <c r="S61" s="242">
        <v>47645</v>
      </c>
      <c r="T61" s="242">
        <v>0</v>
      </c>
      <c r="U61" s="238">
        <v>346497</v>
      </c>
      <c r="V61" s="237">
        <v>0</v>
      </c>
      <c r="W61" s="237">
        <v>9807</v>
      </c>
      <c r="X61" s="237">
        <v>82902</v>
      </c>
      <c r="Y61" s="237">
        <v>285057</v>
      </c>
      <c r="Z61" s="237">
        <v>0</v>
      </c>
      <c r="AA61" s="237">
        <v>0</v>
      </c>
      <c r="AB61" s="243">
        <v>0</v>
      </c>
      <c r="AC61" s="237">
        <v>0</v>
      </c>
      <c r="AD61" s="237">
        <v>0</v>
      </c>
      <c r="AE61" s="237">
        <v>442067</v>
      </c>
      <c r="AF61" s="237">
        <v>0</v>
      </c>
      <c r="AG61" s="237">
        <v>542827</v>
      </c>
      <c r="AH61" s="237">
        <v>162067</v>
      </c>
      <c r="AI61" s="237">
        <v>0</v>
      </c>
      <c r="AJ61" s="237">
        <v>1298725</v>
      </c>
      <c r="AK61" s="237">
        <v>0</v>
      </c>
      <c r="AL61" s="237">
        <v>0</v>
      </c>
      <c r="AM61" s="237">
        <v>0</v>
      </c>
      <c r="AN61" s="237">
        <v>0</v>
      </c>
      <c r="AO61" s="237">
        <v>31513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0</v>
      </c>
      <c r="AW61" s="242">
        <v>0</v>
      </c>
      <c r="AX61" s="242">
        <v>0</v>
      </c>
      <c r="AY61" s="237">
        <v>156315</v>
      </c>
      <c r="AZ61" s="237">
        <v>0</v>
      </c>
      <c r="BA61" s="242">
        <v>0</v>
      </c>
      <c r="BB61" s="242">
        <v>47268</v>
      </c>
      <c r="BC61" s="242">
        <v>0</v>
      </c>
      <c r="BD61" s="242">
        <v>0</v>
      </c>
      <c r="BE61" s="237">
        <v>205802</v>
      </c>
      <c r="BF61" s="242">
        <v>220565</v>
      </c>
      <c r="BG61" s="242">
        <v>0</v>
      </c>
      <c r="BH61" s="242">
        <v>113868</v>
      </c>
      <c r="BI61" s="242">
        <v>0</v>
      </c>
      <c r="BJ61" s="242">
        <v>0</v>
      </c>
      <c r="BK61" s="242">
        <v>476357</v>
      </c>
      <c r="BL61" s="242">
        <v>0</v>
      </c>
      <c r="BM61" s="242">
        <v>0</v>
      </c>
      <c r="BN61" s="242">
        <v>585053</v>
      </c>
      <c r="BO61" s="242">
        <v>0</v>
      </c>
      <c r="BP61" s="242">
        <v>0</v>
      </c>
      <c r="BQ61" s="242">
        <v>0</v>
      </c>
      <c r="BR61" s="242">
        <v>0</v>
      </c>
      <c r="BS61" s="242">
        <v>9244</v>
      </c>
      <c r="BT61" s="242">
        <v>0</v>
      </c>
      <c r="BU61" s="242">
        <v>0</v>
      </c>
      <c r="BV61" s="242">
        <v>55672</v>
      </c>
      <c r="BW61" s="242">
        <v>0</v>
      </c>
      <c r="BX61" s="242">
        <v>0</v>
      </c>
      <c r="BY61" s="242">
        <v>168257</v>
      </c>
      <c r="BZ61" s="242">
        <v>0</v>
      </c>
      <c r="CA61" s="242">
        <v>0</v>
      </c>
      <c r="CB61" s="242">
        <v>0</v>
      </c>
      <c r="CC61" s="242">
        <v>0</v>
      </c>
      <c r="CD61" s="24" t="s">
        <v>248</v>
      </c>
      <c r="CE61" s="25">
        <f t="shared" si="6"/>
        <v>6134088</v>
      </c>
      <c r="CF61" s="11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31825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161441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10877</v>
      </c>
      <c r="T62" s="25">
        <f t="shared" si="7"/>
        <v>0</v>
      </c>
      <c r="U62" s="25">
        <f t="shared" si="7"/>
        <v>79102</v>
      </c>
      <c r="V62" s="25">
        <f t="shared" si="7"/>
        <v>0</v>
      </c>
      <c r="W62" s="25">
        <f t="shared" si="7"/>
        <v>2239</v>
      </c>
      <c r="X62" s="25">
        <f t="shared" si="7"/>
        <v>18926</v>
      </c>
      <c r="Y62" s="25">
        <f t="shared" si="7"/>
        <v>65075</v>
      </c>
      <c r="Z62" s="25">
        <f t="shared" si="7"/>
        <v>0</v>
      </c>
      <c r="AA62" s="25">
        <f t="shared" si="7"/>
        <v>0</v>
      </c>
      <c r="AB62" s="25">
        <f t="shared" si="7"/>
        <v>0</v>
      </c>
      <c r="AC62" s="25">
        <f t="shared" si="7"/>
        <v>0</v>
      </c>
      <c r="AD62" s="25">
        <f t="shared" si="7"/>
        <v>0</v>
      </c>
      <c r="AE62" s="25">
        <f t="shared" si="7"/>
        <v>100919</v>
      </c>
      <c r="AF62" s="25">
        <f t="shared" si="7"/>
        <v>0</v>
      </c>
      <c r="AG62" s="25">
        <f t="shared" si="7"/>
        <v>123922</v>
      </c>
      <c r="AH62" s="25">
        <f t="shared" si="7"/>
        <v>36998</v>
      </c>
      <c r="AI62" s="25">
        <f t="shared" ref="AI62:BN62" si="8">ROUND(AI47+AI48,0)</f>
        <v>0</v>
      </c>
      <c r="AJ62" s="25">
        <f t="shared" si="8"/>
        <v>296485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7194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35685</v>
      </c>
      <c r="AZ62" s="25">
        <f t="shared" si="8"/>
        <v>0</v>
      </c>
      <c r="BA62" s="25">
        <f t="shared" si="8"/>
        <v>0</v>
      </c>
      <c r="BB62" s="25">
        <f t="shared" si="8"/>
        <v>10791</v>
      </c>
      <c r="BC62" s="25">
        <f t="shared" si="8"/>
        <v>0</v>
      </c>
      <c r="BD62" s="25">
        <f t="shared" si="8"/>
        <v>0</v>
      </c>
      <c r="BE62" s="25">
        <f t="shared" si="8"/>
        <v>46982</v>
      </c>
      <c r="BF62" s="25">
        <f t="shared" si="8"/>
        <v>50353</v>
      </c>
      <c r="BG62" s="25">
        <f t="shared" si="8"/>
        <v>0</v>
      </c>
      <c r="BH62" s="25">
        <f t="shared" si="8"/>
        <v>25995</v>
      </c>
      <c r="BI62" s="25">
        <f t="shared" si="8"/>
        <v>0</v>
      </c>
      <c r="BJ62" s="25">
        <f t="shared" si="8"/>
        <v>0</v>
      </c>
      <c r="BK62" s="25">
        <f t="shared" si="8"/>
        <v>108747</v>
      </c>
      <c r="BL62" s="25">
        <f t="shared" si="8"/>
        <v>0</v>
      </c>
      <c r="BM62" s="25">
        <f t="shared" si="8"/>
        <v>0</v>
      </c>
      <c r="BN62" s="25">
        <f t="shared" si="8"/>
        <v>133561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2110</v>
      </c>
      <c r="BT62" s="25">
        <f t="shared" si="9"/>
        <v>0</v>
      </c>
      <c r="BU62" s="25">
        <f t="shared" si="9"/>
        <v>0</v>
      </c>
      <c r="BV62" s="25">
        <f t="shared" si="9"/>
        <v>12709</v>
      </c>
      <c r="BW62" s="25">
        <f t="shared" si="9"/>
        <v>0</v>
      </c>
      <c r="BX62" s="25">
        <f t="shared" si="9"/>
        <v>0</v>
      </c>
      <c r="BY62" s="25">
        <f t="shared" si="9"/>
        <v>38411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248</v>
      </c>
      <c r="CE62" s="25">
        <f t="shared" si="6"/>
        <v>1400347</v>
      </c>
      <c r="CF62" s="11">
        <v>0</v>
      </c>
    </row>
    <row r="63" spans="1:84" x14ac:dyDescent="0.25">
      <c r="A63" s="31" t="s">
        <v>264</v>
      </c>
      <c r="B63" s="16"/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0</v>
      </c>
      <c r="S63" s="242">
        <v>0</v>
      </c>
      <c r="T63" s="242">
        <v>0</v>
      </c>
      <c r="U63" s="238">
        <v>0</v>
      </c>
      <c r="V63" s="237">
        <v>0</v>
      </c>
      <c r="W63" s="237">
        <v>0</v>
      </c>
      <c r="X63" s="237">
        <v>0</v>
      </c>
      <c r="Y63" s="237">
        <v>548</v>
      </c>
      <c r="Z63" s="237">
        <v>0</v>
      </c>
      <c r="AA63" s="237">
        <v>0</v>
      </c>
      <c r="AB63" s="243">
        <v>45587</v>
      </c>
      <c r="AC63" s="237">
        <v>0</v>
      </c>
      <c r="AD63" s="237">
        <v>0</v>
      </c>
      <c r="AE63" s="237">
        <v>0</v>
      </c>
      <c r="AF63" s="237">
        <v>0</v>
      </c>
      <c r="AG63" s="237">
        <v>174306</v>
      </c>
      <c r="AH63" s="237">
        <v>0</v>
      </c>
      <c r="AI63" s="237">
        <v>0</v>
      </c>
      <c r="AJ63" s="237">
        <v>43766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324420</v>
      </c>
      <c r="AW63" s="242">
        <v>0</v>
      </c>
      <c r="AX63" s="242">
        <v>0</v>
      </c>
      <c r="AY63" s="237">
        <v>0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12000</v>
      </c>
      <c r="BL63" s="242">
        <v>0</v>
      </c>
      <c r="BM63" s="242">
        <v>0</v>
      </c>
      <c r="BN63" s="242">
        <v>85432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f t="shared" si="6"/>
        <v>686059</v>
      </c>
      <c r="CF63" s="11">
        <v>0</v>
      </c>
    </row>
    <row r="64" spans="1:84" x14ac:dyDescent="0.25">
      <c r="A64" s="31" t="s">
        <v>265</v>
      </c>
      <c r="B64" s="16"/>
      <c r="C64" s="235">
        <v>0</v>
      </c>
      <c r="D64" s="235">
        <v>0</v>
      </c>
      <c r="E64" s="235">
        <v>13856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70290</v>
      </c>
      <c r="M64" s="235">
        <v>0</v>
      </c>
      <c r="N64" s="235">
        <v>0</v>
      </c>
      <c r="O64" s="235">
        <v>0</v>
      </c>
      <c r="P64" s="237">
        <v>0</v>
      </c>
      <c r="Q64" s="237">
        <v>0</v>
      </c>
      <c r="R64" s="237">
        <v>0</v>
      </c>
      <c r="S64" s="242">
        <v>0</v>
      </c>
      <c r="T64" s="242">
        <v>0</v>
      </c>
      <c r="U64" s="238">
        <v>220780</v>
      </c>
      <c r="V64" s="237">
        <v>0</v>
      </c>
      <c r="W64" s="237">
        <v>67</v>
      </c>
      <c r="X64" s="237">
        <v>562</v>
      </c>
      <c r="Y64" s="237">
        <v>1935</v>
      </c>
      <c r="Z64" s="237">
        <v>0</v>
      </c>
      <c r="AA64" s="237">
        <v>0</v>
      </c>
      <c r="AB64" s="243">
        <v>133048</v>
      </c>
      <c r="AC64" s="237">
        <v>11322</v>
      </c>
      <c r="AD64" s="237">
        <v>0</v>
      </c>
      <c r="AE64" s="237">
        <v>6868</v>
      </c>
      <c r="AF64" s="237">
        <v>0</v>
      </c>
      <c r="AG64" s="237">
        <v>69824</v>
      </c>
      <c r="AH64" s="237">
        <v>22393</v>
      </c>
      <c r="AI64" s="237">
        <v>0</v>
      </c>
      <c r="AJ64" s="237">
        <v>11734</v>
      </c>
      <c r="AK64" s="237">
        <v>0</v>
      </c>
      <c r="AL64" s="237">
        <v>0</v>
      </c>
      <c r="AM64" s="237">
        <v>0</v>
      </c>
      <c r="AN64" s="237">
        <v>0</v>
      </c>
      <c r="AO64" s="237">
        <v>3132</v>
      </c>
      <c r="AP64" s="237">
        <v>0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45205</v>
      </c>
      <c r="AW64" s="242">
        <v>0</v>
      </c>
      <c r="AX64" s="242">
        <v>0</v>
      </c>
      <c r="AY64" s="237">
        <v>58252</v>
      </c>
      <c r="AZ64" s="237">
        <v>0</v>
      </c>
      <c r="BA64" s="242">
        <v>261</v>
      </c>
      <c r="BB64" s="242">
        <v>0</v>
      </c>
      <c r="BC64" s="242">
        <v>0</v>
      </c>
      <c r="BD64" s="242">
        <v>0</v>
      </c>
      <c r="BE64" s="237">
        <v>21447</v>
      </c>
      <c r="BF64" s="242">
        <v>6071</v>
      </c>
      <c r="BG64" s="242">
        <v>0</v>
      </c>
      <c r="BH64" s="242">
        <v>167404</v>
      </c>
      <c r="BI64" s="242">
        <v>0</v>
      </c>
      <c r="BJ64" s="242">
        <v>0</v>
      </c>
      <c r="BK64" s="242">
        <v>1588</v>
      </c>
      <c r="BL64" s="242">
        <v>0</v>
      </c>
      <c r="BM64" s="242">
        <v>0</v>
      </c>
      <c r="BN64" s="242">
        <v>17590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0</v>
      </c>
      <c r="BX64" s="242">
        <v>0</v>
      </c>
      <c r="BY64" s="242">
        <v>304</v>
      </c>
      <c r="BZ64" s="242">
        <v>0</v>
      </c>
      <c r="CA64" s="242">
        <v>0</v>
      </c>
      <c r="CB64" s="242">
        <v>0</v>
      </c>
      <c r="CC64" s="242">
        <v>0</v>
      </c>
      <c r="CD64" s="24" t="s">
        <v>248</v>
      </c>
      <c r="CE64" s="25">
        <f t="shared" si="6"/>
        <v>883933</v>
      </c>
      <c r="CF64" s="11">
        <v>0</v>
      </c>
    </row>
    <row r="65" spans="1:84" x14ac:dyDescent="0.25">
      <c r="A65" s="31" t="s">
        <v>266</v>
      </c>
      <c r="B65" s="16"/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0</v>
      </c>
      <c r="Q65" s="237">
        <v>0</v>
      </c>
      <c r="R65" s="237">
        <v>0</v>
      </c>
      <c r="S65" s="242">
        <v>1000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0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20717</v>
      </c>
      <c r="AI65" s="237">
        <v>0</v>
      </c>
      <c r="AJ65" s="237">
        <v>20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178928</v>
      </c>
      <c r="BF65" s="242">
        <v>0</v>
      </c>
      <c r="BG65" s="242">
        <v>0</v>
      </c>
      <c r="BH65" s="242">
        <v>24485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23246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f t="shared" si="6"/>
        <v>248396</v>
      </c>
      <c r="CF65" s="11">
        <v>0</v>
      </c>
    </row>
    <row r="66" spans="1:84" x14ac:dyDescent="0.25">
      <c r="A66" s="31" t="s">
        <v>267</v>
      </c>
      <c r="B66" s="16"/>
      <c r="C66" s="235">
        <v>0</v>
      </c>
      <c r="D66" s="235">
        <v>0</v>
      </c>
      <c r="E66" s="235">
        <v>151847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770289</v>
      </c>
      <c r="M66" s="235">
        <v>0</v>
      </c>
      <c r="N66" s="235">
        <v>0</v>
      </c>
      <c r="O66" s="235">
        <v>0</v>
      </c>
      <c r="P66" s="237">
        <v>0</v>
      </c>
      <c r="Q66" s="237">
        <v>0</v>
      </c>
      <c r="R66" s="237">
        <v>0</v>
      </c>
      <c r="S66" s="242">
        <v>0</v>
      </c>
      <c r="T66" s="242">
        <v>0</v>
      </c>
      <c r="U66" s="238">
        <v>100878</v>
      </c>
      <c r="V66" s="237">
        <v>0</v>
      </c>
      <c r="W66" s="237">
        <v>74021</v>
      </c>
      <c r="X66" s="237">
        <v>74501</v>
      </c>
      <c r="Y66" s="237">
        <v>20945</v>
      </c>
      <c r="Z66" s="237">
        <v>0</v>
      </c>
      <c r="AA66" s="237">
        <v>0</v>
      </c>
      <c r="AB66" s="243">
        <v>86825</v>
      </c>
      <c r="AC66" s="237">
        <v>2125</v>
      </c>
      <c r="AD66" s="237">
        <v>0</v>
      </c>
      <c r="AE66" s="237">
        <v>46600</v>
      </c>
      <c r="AF66" s="237">
        <v>0</v>
      </c>
      <c r="AG66" s="237">
        <v>12561</v>
      </c>
      <c r="AH66" s="237">
        <v>8021</v>
      </c>
      <c r="AI66" s="237">
        <v>0</v>
      </c>
      <c r="AJ66" s="237">
        <v>139150</v>
      </c>
      <c r="AK66" s="237">
        <v>0</v>
      </c>
      <c r="AL66" s="237">
        <v>0</v>
      </c>
      <c r="AM66" s="237">
        <v>0</v>
      </c>
      <c r="AN66" s="237">
        <v>0</v>
      </c>
      <c r="AO66" s="237">
        <v>34325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154816</v>
      </c>
      <c r="AW66" s="242">
        <v>0</v>
      </c>
      <c r="AX66" s="242">
        <v>0</v>
      </c>
      <c r="AY66" s="237">
        <v>2375</v>
      </c>
      <c r="AZ66" s="237">
        <v>0</v>
      </c>
      <c r="BA66" s="242">
        <v>33908</v>
      </c>
      <c r="BB66" s="242">
        <v>0</v>
      </c>
      <c r="BC66" s="242">
        <v>0</v>
      </c>
      <c r="BD66" s="242">
        <v>0</v>
      </c>
      <c r="BE66" s="237">
        <v>21878</v>
      </c>
      <c r="BF66" s="242">
        <v>0</v>
      </c>
      <c r="BG66" s="242">
        <v>0</v>
      </c>
      <c r="BH66" s="242">
        <v>405952</v>
      </c>
      <c r="BI66" s="242">
        <v>0</v>
      </c>
      <c r="BJ66" s="242">
        <v>48121</v>
      </c>
      <c r="BK66" s="242">
        <v>126015</v>
      </c>
      <c r="BL66" s="242">
        <v>0</v>
      </c>
      <c r="BM66" s="242">
        <v>0</v>
      </c>
      <c r="BN66" s="242">
        <v>206365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0</v>
      </c>
      <c r="BU66" s="242">
        <v>0</v>
      </c>
      <c r="BV66" s="242">
        <v>41453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0</v>
      </c>
      <c r="CD66" s="24" t="s">
        <v>248</v>
      </c>
      <c r="CE66" s="25">
        <f t="shared" si="6"/>
        <v>2562971</v>
      </c>
      <c r="CF66" s="11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9571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48606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17159</v>
      </c>
      <c r="T67" s="25">
        <f t="shared" si="10"/>
        <v>0</v>
      </c>
      <c r="U67" s="25">
        <f t="shared" si="10"/>
        <v>18560</v>
      </c>
      <c r="V67" s="25">
        <f t="shared" si="10"/>
        <v>0</v>
      </c>
      <c r="W67" s="25">
        <f t="shared" si="10"/>
        <v>1094</v>
      </c>
      <c r="X67" s="25">
        <f t="shared" si="10"/>
        <v>9297</v>
      </c>
      <c r="Y67" s="25">
        <f t="shared" si="10"/>
        <v>31925</v>
      </c>
      <c r="Z67" s="25">
        <f t="shared" si="10"/>
        <v>0</v>
      </c>
      <c r="AA67" s="25">
        <f t="shared" si="10"/>
        <v>0</v>
      </c>
      <c r="AB67" s="25">
        <f t="shared" si="10"/>
        <v>2734</v>
      </c>
      <c r="AC67" s="25">
        <f t="shared" si="10"/>
        <v>0</v>
      </c>
      <c r="AD67" s="25">
        <f t="shared" si="10"/>
        <v>0</v>
      </c>
      <c r="AE67" s="25">
        <f t="shared" si="10"/>
        <v>22970</v>
      </c>
      <c r="AF67" s="25">
        <f t="shared" si="10"/>
        <v>0</v>
      </c>
      <c r="AG67" s="25">
        <f t="shared" si="10"/>
        <v>29703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107739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2188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2017</v>
      </c>
      <c r="AW67" s="25">
        <f t="shared" si="11"/>
        <v>0</v>
      </c>
      <c r="AX67" s="25">
        <f t="shared" si="11"/>
        <v>0</v>
      </c>
      <c r="AY67" s="25">
        <f t="shared" si="11"/>
        <v>19176</v>
      </c>
      <c r="AZ67" s="25">
        <f t="shared" si="11"/>
        <v>0</v>
      </c>
      <c r="BA67" s="25">
        <f t="shared" si="11"/>
        <v>1333</v>
      </c>
      <c r="BB67" s="25">
        <f t="shared" si="11"/>
        <v>12920</v>
      </c>
      <c r="BC67" s="25">
        <f t="shared" si="11"/>
        <v>0</v>
      </c>
      <c r="BD67" s="25">
        <f t="shared" si="11"/>
        <v>0</v>
      </c>
      <c r="BE67" s="25">
        <f t="shared" si="11"/>
        <v>200746</v>
      </c>
      <c r="BF67" s="25">
        <f t="shared" si="11"/>
        <v>3931</v>
      </c>
      <c r="BG67" s="25">
        <f t="shared" si="11"/>
        <v>0</v>
      </c>
      <c r="BH67" s="25">
        <f t="shared" si="11"/>
        <v>43513</v>
      </c>
      <c r="BI67" s="25">
        <f t="shared" si="11"/>
        <v>0</v>
      </c>
      <c r="BJ67" s="25">
        <f t="shared" si="11"/>
        <v>3589</v>
      </c>
      <c r="BK67" s="25">
        <f t="shared" si="11"/>
        <v>10357</v>
      </c>
      <c r="BL67" s="25">
        <f t="shared" si="11"/>
        <v>0</v>
      </c>
      <c r="BM67" s="25">
        <f t="shared" si="11"/>
        <v>0</v>
      </c>
      <c r="BN67" s="25">
        <f t="shared" si="11"/>
        <v>126676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31857</v>
      </c>
      <c r="BW67" s="25">
        <f t="shared" si="12"/>
        <v>0</v>
      </c>
      <c r="BX67" s="25">
        <f t="shared" si="12"/>
        <v>0</v>
      </c>
      <c r="BY67" s="25">
        <f t="shared" si="12"/>
        <v>3657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248</v>
      </c>
      <c r="CE67" s="25">
        <f t="shared" si="6"/>
        <v>761318</v>
      </c>
      <c r="CF67" s="11">
        <v>0</v>
      </c>
    </row>
    <row r="68" spans="1:84" x14ac:dyDescent="0.25">
      <c r="A68" s="31" t="s">
        <v>268</v>
      </c>
      <c r="B68" s="25"/>
      <c r="C68" s="235">
        <v>0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0</v>
      </c>
      <c r="S68" s="242">
        <v>0</v>
      </c>
      <c r="T68" s="242">
        <v>0</v>
      </c>
      <c r="U68" s="238">
        <v>0</v>
      </c>
      <c r="V68" s="237">
        <v>0</v>
      </c>
      <c r="W68" s="237">
        <v>0</v>
      </c>
      <c r="X68" s="237">
        <v>0</v>
      </c>
      <c r="Y68" s="237">
        <v>0</v>
      </c>
      <c r="Z68" s="237">
        <v>0</v>
      </c>
      <c r="AA68" s="237">
        <v>0</v>
      </c>
      <c r="AB68" s="243">
        <v>43201</v>
      </c>
      <c r="AC68" s="237">
        <v>0</v>
      </c>
      <c r="AD68" s="237">
        <v>0</v>
      </c>
      <c r="AE68" s="237">
        <v>0</v>
      </c>
      <c r="AF68" s="237">
        <v>0</v>
      </c>
      <c r="AG68" s="237">
        <v>0</v>
      </c>
      <c r="AH68" s="237">
        <v>0</v>
      </c>
      <c r="AI68" s="237">
        <v>0</v>
      </c>
      <c r="AJ68" s="237">
        <v>0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843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0</v>
      </c>
      <c r="BF68" s="242">
        <v>0</v>
      </c>
      <c r="BG68" s="242">
        <v>0</v>
      </c>
      <c r="BH68" s="242">
        <v>13498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13130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f t="shared" si="6"/>
        <v>70672</v>
      </c>
      <c r="CF68" s="11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740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3751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3295</v>
      </c>
      <c r="T69" s="25">
        <f t="shared" si="13"/>
        <v>0</v>
      </c>
      <c r="U69" s="25">
        <f t="shared" si="13"/>
        <v>1047</v>
      </c>
      <c r="V69" s="25">
        <f t="shared" si="13"/>
        <v>0</v>
      </c>
      <c r="W69" s="25">
        <f t="shared" si="13"/>
        <v>212</v>
      </c>
      <c r="X69" s="25">
        <f t="shared" si="13"/>
        <v>1792</v>
      </c>
      <c r="Y69" s="25">
        <f t="shared" si="13"/>
        <v>6159</v>
      </c>
      <c r="Z69" s="25">
        <f t="shared" si="13"/>
        <v>0</v>
      </c>
      <c r="AA69" s="25">
        <f t="shared" si="13"/>
        <v>0</v>
      </c>
      <c r="AB69" s="25">
        <f t="shared" si="13"/>
        <v>0</v>
      </c>
      <c r="AC69" s="25">
        <f t="shared" si="13"/>
        <v>37</v>
      </c>
      <c r="AD69" s="25">
        <f t="shared" si="13"/>
        <v>0</v>
      </c>
      <c r="AE69" s="25">
        <f t="shared" si="13"/>
        <v>8719</v>
      </c>
      <c r="AF69" s="25">
        <f t="shared" si="13"/>
        <v>0</v>
      </c>
      <c r="AG69" s="25">
        <f t="shared" si="13"/>
        <v>4686</v>
      </c>
      <c r="AH69" s="25">
        <f t="shared" si="13"/>
        <v>15527</v>
      </c>
      <c r="AI69" s="25">
        <f t="shared" ref="AI69:BN69" si="14">SUM(AI70:AI83)</f>
        <v>0</v>
      </c>
      <c r="AJ69" s="25">
        <f t="shared" si="14"/>
        <v>9230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167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429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111704</v>
      </c>
      <c r="BF69" s="25">
        <f t="shared" si="14"/>
        <v>346</v>
      </c>
      <c r="BG69" s="25">
        <f t="shared" si="14"/>
        <v>0</v>
      </c>
      <c r="BH69" s="25">
        <f t="shared" si="14"/>
        <v>712</v>
      </c>
      <c r="BI69" s="25">
        <f t="shared" si="14"/>
        <v>0</v>
      </c>
      <c r="BJ69" s="25">
        <f t="shared" si="14"/>
        <v>8880</v>
      </c>
      <c r="BK69" s="25">
        <f t="shared" si="14"/>
        <v>4398</v>
      </c>
      <c r="BL69" s="25">
        <f t="shared" si="14"/>
        <v>0</v>
      </c>
      <c r="BM69" s="25">
        <f t="shared" si="14"/>
        <v>0</v>
      </c>
      <c r="BN69" s="25">
        <f t="shared" si="14"/>
        <v>207246</v>
      </c>
      <c r="BO69" s="25">
        <f t="shared" ref="BO69:CD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3640</v>
      </c>
      <c r="BT69" s="25">
        <f t="shared" si="15"/>
        <v>0</v>
      </c>
      <c r="BU69" s="25">
        <f t="shared" si="15"/>
        <v>0</v>
      </c>
      <c r="BV69" s="25">
        <f t="shared" si="15"/>
        <v>2082</v>
      </c>
      <c r="BW69" s="25">
        <f t="shared" si="15"/>
        <v>0</v>
      </c>
      <c r="BX69" s="25">
        <f t="shared" si="15"/>
        <v>0</v>
      </c>
      <c r="BY69" s="25">
        <f t="shared" si="15"/>
        <v>7245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>SUM(CE70:CE83)</f>
        <v>402044</v>
      </c>
      <c r="CF69" s="11">
        <v>0</v>
      </c>
    </row>
    <row r="70" spans="1:84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6">SUM(C70:CD70)</f>
        <v>0</v>
      </c>
      <c r="CF70" s="11">
        <v>0</v>
      </c>
    </row>
    <row r="71" spans="1:84" x14ac:dyDescent="0.25">
      <c r="A71" s="26" t="s">
        <v>271</v>
      </c>
      <c r="B71" s="27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f t="shared" si="16"/>
        <v>0</v>
      </c>
      <c r="CF71" s="11">
        <v>0</v>
      </c>
    </row>
    <row r="72" spans="1:84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6"/>
        <v>0</v>
      </c>
      <c r="CF72" s="11">
        <v>0</v>
      </c>
    </row>
    <row r="73" spans="1:84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f t="shared" si="16"/>
        <v>0</v>
      </c>
      <c r="CF73" s="11">
        <v>0</v>
      </c>
    </row>
    <row r="74" spans="1:84" x14ac:dyDescent="0.2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6"/>
        <v>0</v>
      </c>
      <c r="CF74" s="11">
        <v>0</v>
      </c>
    </row>
    <row r="75" spans="1:84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f t="shared" si="16"/>
        <v>0</v>
      </c>
      <c r="CF75" s="11">
        <v>0</v>
      </c>
    </row>
    <row r="76" spans="1:84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6"/>
        <v>0</v>
      </c>
      <c r="CF76" s="11">
        <v>0</v>
      </c>
    </row>
    <row r="77" spans="1:84" x14ac:dyDescent="0.25">
      <c r="A77" s="26" t="s">
        <v>277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201</v>
      </c>
      <c r="X77" s="244">
        <v>1699</v>
      </c>
      <c r="Y77" s="244">
        <v>5840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640</v>
      </c>
      <c r="AF77" s="244">
        <v>0</v>
      </c>
      <c r="AG77" s="244">
        <v>0</v>
      </c>
      <c r="AH77" s="244">
        <f>4491+4624</f>
        <v>9115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f>59028+48612</f>
        <v>107640</v>
      </c>
      <c r="BF77" s="244">
        <v>142</v>
      </c>
      <c r="BG77" s="244">
        <v>0</v>
      </c>
      <c r="BH77" s="244">
        <f>584-124</f>
        <v>460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f>15023</f>
        <v>15023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f t="shared" si="16"/>
        <v>140760</v>
      </c>
      <c r="CF77" s="11">
        <v>0</v>
      </c>
    </row>
    <row r="78" spans="1:84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0</v>
      </c>
      <c r="CF78" s="11">
        <v>0</v>
      </c>
    </row>
    <row r="79" spans="1:84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f>13416+11256+41545</f>
        <v>66217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1670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67887</v>
      </c>
      <c r="CF79" s="11">
        <v>0</v>
      </c>
    </row>
    <row r="80" spans="1:84" x14ac:dyDescent="0.25">
      <c r="A80" s="26" t="s">
        <v>280</v>
      </c>
      <c r="B80" s="16"/>
      <c r="C80" s="244">
        <v>0</v>
      </c>
      <c r="D80" s="244">
        <v>0</v>
      </c>
      <c r="E80" s="244">
        <v>5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24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3</v>
      </c>
      <c r="Y80" s="244">
        <v>9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f>4903+375</f>
        <v>5278</v>
      </c>
      <c r="AF80" s="244">
        <v>0</v>
      </c>
      <c r="AG80" s="244">
        <v>2531</v>
      </c>
      <c r="AH80" s="244">
        <v>0</v>
      </c>
      <c r="AI80" s="244">
        <v>0</v>
      </c>
      <c r="AJ80" s="244">
        <v>895</v>
      </c>
      <c r="AK80" s="244">
        <v>0</v>
      </c>
      <c r="AL80" s="244">
        <v>0</v>
      </c>
      <c r="AM80" s="244">
        <v>0</v>
      </c>
      <c r="AN80" s="244">
        <v>0</v>
      </c>
      <c r="AO80" s="244">
        <v>1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170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f>1607+620</f>
        <v>2227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f t="shared" si="16"/>
        <v>11143</v>
      </c>
      <c r="CF80" s="11">
        <v>0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f t="shared" si="16"/>
        <v>0</v>
      </c>
      <c r="CF81" s="11">
        <v>0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0</v>
      </c>
      <c r="CF82" s="11">
        <v>0</v>
      </c>
    </row>
    <row r="83" spans="1:84" x14ac:dyDescent="0.25">
      <c r="A83" s="26" t="s">
        <v>283</v>
      </c>
      <c r="B83" s="16"/>
      <c r="C83" s="235">
        <v>0</v>
      </c>
      <c r="D83" s="235">
        <v>0</v>
      </c>
      <c r="E83" s="237">
        <v>735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3727</v>
      </c>
      <c r="M83" s="235">
        <v>0</v>
      </c>
      <c r="N83" s="235">
        <v>0</v>
      </c>
      <c r="O83" s="235">
        <v>0</v>
      </c>
      <c r="P83" s="237">
        <v>0</v>
      </c>
      <c r="Q83" s="237">
        <v>0</v>
      </c>
      <c r="R83" s="238">
        <v>0</v>
      </c>
      <c r="S83" s="237">
        <v>3295</v>
      </c>
      <c r="T83" s="235">
        <v>0</v>
      </c>
      <c r="U83" s="237">
        <v>1047</v>
      </c>
      <c r="V83" s="237">
        <v>0</v>
      </c>
      <c r="W83" s="235">
        <v>11</v>
      </c>
      <c r="X83" s="237">
        <v>90</v>
      </c>
      <c r="Y83" s="237">
        <v>310</v>
      </c>
      <c r="Z83" s="237">
        <v>0</v>
      </c>
      <c r="AA83" s="237">
        <v>0</v>
      </c>
      <c r="AB83" s="237">
        <v>0</v>
      </c>
      <c r="AC83" s="237">
        <v>37</v>
      </c>
      <c r="AD83" s="237">
        <v>0</v>
      </c>
      <c r="AE83" s="237">
        <f>8079-AE80</f>
        <v>2801</v>
      </c>
      <c r="AF83" s="237">
        <v>0</v>
      </c>
      <c r="AG83" s="237">
        <f>4686-AG80</f>
        <v>2155</v>
      </c>
      <c r="AH83" s="237">
        <f>15527-AH77</f>
        <v>6412</v>
      </c>
      <c r="AI83" s="237">
        <v>0</v>
      </c>
      <c r="AJ83" s="237">
        <f>9230-AJ80</f>
        <v>8335</v>
      </c>
      <c r="AK83" s="237">
        <v>0</v>
      </c>
      <c r="AL83" s="237">
        <v>0</v>
      </c>
      <c r="AM83" s="237">
        <v>0</v>
      </c>
      <c r="AN83" s="237">
        <v>0</v>
      </c>
      <c r="AO83" s="235">
        <v>166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f>429-AY80</f>
        <v>259</v>
      </c>
      <c r="AZ83" s="237">
        <v>0</v>
      </c>
      <c r="BA83" s="237">
        <v>0</v>
      </c>
      <c r="BB83" s="237">
        <v>0</v>
      </c>
      <c r="BC83" s="237">
        <v>0</v>
      </c>
      <c r="BD83" s="237">
        <v>0</v>
      </c>
      <c r="BE83" s="237">
        <f>111704-BE77</f>
        <v>4064</v>
      </c>
      <c r="BF83" s="237">
        <v>204</v>
      </c>
      <c r="BG83" s="237">
        <v>0</v>
      </c>
      <c r="BH83" s="238">
        <v>252</v>
      </c>
      <c r="BI83" s="237">
        <v>0</v>
      </c>
      <c r="BJ83" s="237">
        <v>8880</v>
      </c>
      <c r="BK83" s="237">
        <v>4398</v>
      </c>
      <c r="BL83" s="237">
        <v>0</v>
      </c>
      <c r="BM83" s="237">
        <v>0</v>
      </c>
      <c r="BN83" s="237">
        <f>207246-BN80-BN79-BN77</f>
        <v>123779</v>
      </c>
      <c r="BO83" s="237">
        <v>0</v>
      </c>
      <c r="BP83" s="237">
        <v>0</v>
      </c>
      <c r="BQ83" s="237">
        <v>0</v>
      </c>
      <c r="BR83" s="237">
        <v>0</v>
      </c>
      <c r="BS83" s="237">
        <v>3640</v>
      </c>
      <c r="BT83" s="237">
        <v>0</v>
      </c>
      <c r="BU83" s="237">
        <v>0</v>
      </c>
      <c r="BV83" s="237">
        <v>2082</v>
      </c>
      <c r="BW83" s="237">
        <v>0</v>
      </c>
      <c r="BX83" s="237">
        <v>0</v>
      </c>
      <c r="BY83" s="237">
        <f>7245-BY82-BY81-BY80-BY79-BY78-BY77</f>
        <v>5575</v>
      </c>
      <c r="BZ83" s="237">
        <v>0</v>
      </c>
      <c r="CA83" s="237">
        <v>0</v>
      </c>
      <c r="CB83" s="237">
        <v>0</v>
      </c>
      <c r="CC83" s="237">
        <v>0</v>
      </c>
      <c r="CD83" s="244">
        <v>0</v>
      </c>
      <c r="CE83" s="25">
        <f t="shared" si="16"/>
        <v>182254</v>
      </c>
      <c r="CF83" s="11">
        <v>0</v>
      </c>
    </row>
    <row r="84" spans="1:84" x14ac:dyDescent="0.2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f t="shared" si="16"/>
        <v>0</v>
      </c>
      <c r="CF84" s="11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347244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1761552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79976</v>
      </c>
      <c r="T85" s="25">
        <f t="shared" si="17"/>
        <v>0</v>
      </c>
      <c r="U85" s="25">
        <f t="shared" si="17"/>
        <v>766864</v>
      </c>
      <c r="V85" s="25">
        <f t="shared" si="17"/>
        <v>0</v>
      </c>
      <c r="W85" s="25">
        <f t="shared" si="17"/>
        <v>87440</v>
      </c>
      <c r="X85" s="25">
        <f t="shared" si="17"/>
        <v>187980</v>
      </c>
      <c r="Y85" s="25">
        <f t="shared" si="17"/>
        <v>411644</v>
      </c>
      <c r="Z85" s="25">
        <f t="shared" si="17"/>
        <v>0</v>
      </c>
      <c r="AA85" s="25">
        <f t="shared" si="17"/>
        <v>0</v>
      </c>
      <c r="AB85" s="25">
        <f t="shared" si="17"/>
        <v>311395</v>
      </c>
      <c r="AC85" s="25">
        <f t="shared" si="17"/>
        <v>13484</v>
      </c>
      <c r="AD85" s="25">
        <f t="shared" si="17"/>
        <v>0</v>
      </c>
      <c r="AE85" s="25">
        <f t="shared" si="17"/>
        <v>628143</v>
      </c>
      <c r="AF85" s="25">
        <f t="shared" si="17"/>
        <v>0</v>
      </c>
      <c r="AG85" s="25">
        <f t="shared" si="17"/>
        <v>957829</v>
      </c>
      <c r="AH85" s="25">
        <f t="shared" si="17"/>
        <v>265723</v>
      </c>
      <c r="AI85" s="25">
        <f t="shared" ref="AI85:BN85" si="18">SUM(AI61:AI69)-AI84</f>
        <v>0</v>
      </c>
      <c r="AJ85" s="25">
        <f t="shared" si="18"/>
        <v>1906849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78519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526458</v>
      </c>
      <c r="AW85" s="25">
        <f t="shared" si="18"/>
        <v>0</v>
      </c>
      <c r="AX85" s="25">
        <f t="shared" si="18"/>
        <v>0</v>
      </c>
      <c r="AY85" s="25">
        <f t="shared" si="18"/>
        <v>273075</v>
      </c>
      <c r="AZ85" s="25">
        <f t="shared" si="18"/>
        <v>0</v>
      </c>
      <c r="BA85" s="25">
        <f t="shared" si="18"/>
        <v>35502</v>
      </c>
      <c r="BB85" s="25">
        <f t="shared" si="18"/>
        <v>70979</v>
      </c>
      <c r="BC85" s="25">
        <f t="shared" si="18"/>
        <v>0</v>
      </c>
      <c r="BD85" s="25">
        <f t="shared" si="18"/>
        <v>0</v>
      </c>
      <c r="BE85" s="25">
        <f t="shared" si="18"/>
        <v>787487</v>
      </c>
      <c r="BF85" s="25">
        <f t="shared" si="18"/>
        <v>281266</v>
      </c>
      <c r="BG85" s="25">
        <f t="shared" si="18"/>
        <v>0</v>
      </c>
      <c r="BH85" s="25">
        <f t="shared" si="18"/>
        <v>795427</v>
      </c>
      <c r="BI85" s="25">
        <f t="shared" si="18"/>
        <v>0</v>
      </c>
      <c r="BJ85" s="25">
        <f t="shared" si="18"/>
        <v>60590</v>
      </c>
      <c r="BK85" s="25">
        <f t="shared" si="18"/>
        <v>739462</v>
      </c>
      <c r="BL85" s="25">
        <f t="shared" si="18"/>
        <v>0</v>
      </c>
      <c r="BM85" s="25">
        <f t="shared" si="18"/>
        <v>0</v>
      </c>
      <c r="BN85" s="25">
        <f t="shared" si="18"/>
        <v>1385169</v>
      </c>
      <c r="BO85" s="25">
        <f t="shared" ref="BO85:CD85" si="19">SUM(BO61:BO69)-BO84</f>
        <v>13130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14994</v>
      </c>
      <c r="BT85" s="25">
        <f t="shared" si="19"/>
        <v>0</v>
      </c>
      <c r="BU85" s="25">
        <f t="shared" si="19"/>
        <v>0</v>
      </c>
      <c r="BV85" s="25">
        <f t="shared" si="19"/>
        <v>143773</v>
      </c>
      <c r="BW85" s="25">
        <f t="shared" si="19"/>
        <v>0</v>
      </c>
      <c r="BX85" s="25">
        <f t="shared" si="19"/>
        <v>0</v>
      </c>
      <c r="BY85" s="25">
        <f t="shared" si="19"/>
        <v>217874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0</v>
      </c>
      <c r="CE85" s="25">
        <f t="shared" si="16"/>
        <v>13149828</v>
      </c>
      <c r="CF85" s="11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1234465</v>
      </c>
      <c r="CF86" s="11">
        <v>0</v>
      </c>
    </row>
    <row r="87" spans="1:84" x14ac:dyDescent="0.25">
      <c r="A87" s="31" t="s">
        <v>287</v>
      </c>
      <c r="B87" s="16"/>
      <c r="C87" s="235">
        <v>0</v>
      </c>
      <c r="D87" s="235">
        <v>0</v>
      </c>
      <c r="E87" s="235">
        <v>520409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738690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50964</v>
      </c>
      <c r="V87" s="235">
        <v>0</v>
      </c>
      <c r="W87" s="235">
        <v>0</v>
      </c>
      <c r="X87" s="235">
        <v>19494</v>
      </c>
      <c r="Y87" s="235">
        <v>5167</v>
      </c>
      <c r="Z87" s="235">
        <v>0</v>
      </c>
      <c r="AA87" s="235">
        <v>0</v>
      </c>
      <c r="AB87" s="235">
        <v>54280</v>
      </c>
      <c r="AC87" s="235">
        <v>0</v>
      </c>
      <c r="AD87" s="235">
        <v>0</v>
      </c>
      <c r="AE87" s="235">
        <v>28945</v>
      </c>
      <c r="AF87" s="235">
        <v>0</v>
      </c>
      <c r="AG87" s="235">
        <v>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1417949</v>
      </c>
      <c r="CF87" s="11">
        <v>0</v>
      </c>
    </row>
    <row r="88" spans="1:84" x14ac:dyDescent="0.25">
      <c r="A88" s="31" t="s">
        <v>288</v>
      </c>
      <c r="B88" s="16"/>
      <c r="C88" s="235">
        <v>0</v>
      </c>
      <c r="D88" s="235">
        <v>0</v>
      </c>
      <c r="E88" s="235">
        <v>0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1729953</v>
      </c>
      <c r="V88" s="235">
        <v>0</v>
      </c>
      <c r="W88" s="235">
        <v>194085</v>
      </c>
      <c r="X88" s="235">
        <v>1113539</v>
      </c>
      <c r="Y88" s="235">
        <v>807969</v>
      </c>
      <c r="Z88" s="235">
        <v>0</v>
      </c>
      <c r="AA88" s="235">
        <v>0</v>
      </c>
      <c r="AB88" s="235">
        <v>305783</v>
      </c>
      <c r="AC88" s="235">
        <v>17250</v>
      </c>
      <c r="AD88" s="235">
        <v>0</v>
      </c>
      <c r="AE88" s="235">
        <v>786184</v>
      </c>
      <c r="AF88" s="235">
        <v>0</v>
      </c>
      <c r="AG88" s="235">
        <v>2080661</v>
      </c>
      <c r="AH88" s="235">
        <v>341987</v>
      </c>
      <c r="AI88" s="235">
        <v>0</v>
      </c>
      <c r="AJ88" s="235">
        <v>1440672</v>
      </c>
      <c r="AK88" s="235">
        <v>0</v>
      </c>
      <c r="AL88" s="235">
        <v>0</v>
      </c>
      <c r="AM88" s="235">
        <v>0</v>
      </c>
      <c r="AN88" s="235">
        <v>0</v>
      </c>
      <c r="AO88" s="235">
        <v>188910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1717021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10724014</v>
      </c>
      <c r="CF88" s="11">
        <v>0</v>
      </c>
    </row>
    <row r="89" spans="1:84" x14ac:dyDescent="0.2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520409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738690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1780917</v>
      </c>
      <c r="V89" s="25">
        <f t="shared" si="21"/>
        <v>0</v>
      </c>
      <c r="W89" s="25">
        <f t="shared" si="21"/>
        <v>194085</v>
      </c>
      <c r="X89" s="25">
        <f t="shared" si="21"/>
        <v>1133033</v>
      </c>
      <c r="Y89" s="25">
        <f t="shared" si="21"/>
        <v>813136</v>
      </c>
      <c r="Z89" s="25">
        <f t="shared" si="21"/>
        <v>0</v>
      </c>
      <c r="AA89" s="25">
        <f t="shared" si="21"/>
        <v>0</v>
      </c>
      <c r="AB89" s="25">
        <f t="shared" si="21"/>
        <v>360063</v>
      </c>
      <c r="AC89" s="25">
        <f t="shared" si="21"/>
        <v>17250</v>
      </c>
      <c r="AD89" s="25">
        <f t="shared" si="21"/>
        <v>0</v>
      </c>
      <c r="AE89" s="25">
        <f t="shared" si="21"/>
        <v>815129</v>
      </c>
      <c r="AF89" s="25">
        <f t="shared" si="21"/>
        <v>0</v>
      </c>
      <c r="AG89" s="25">
        <f t="shared" si="21"/>
        <v>2080661</v>
      </c>
      <c r="AH89" s="25">
        <f t="shared" si="21"/>
        <v>341987</v>
      </c>
      <c r="AI89" s="25">
        <f t="shared" si="21"/>
        <v>0</v>
      </c>
      <c r="AJ89" s="25">
        <f t="shared" si="21"/>
        <v>1440672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188910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1717021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12141963</v>
      </c>
      <c r="CF89" s="11">
        <v>0</v>
      </c>
    </row>
    <row r="90" spans="1:84" x14ac:dyDescent="0.25">
      <c r="A90" s="31" t="s">
        <v>290</v>
      </c>
      <c r="B90" s="25"/>
      <c r="C90" s="235">
        <v>0</v>
      </c>
      <c r="D90" s="235">
        <v>0</v>
      </c>
      <c r="E90" s="235">
        <v>280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1422</v>
      </c>
      <c r="M90" s="235">
        <v>0</v>
      </c>
      <c r="N90" s="235">
        <v>0</v>
      </c>
      <c r="O90" s="235">
        <v>0</v>
      </c>
      <c r="P90" s="235">
        <v>0</v>
      </c>
      <c r="Q90" s="235">
        <v>0</v>
      </c>
      <c r="R90" s="235">
        <v>0</v>
      </c>
      <c r="S90" s="235">
        <v>502</v>
      </c>
      <c r="T90" s="235">
        <v>0</v>
      </c>
      <c r="U90" s="235">
        <v>543</v>
      </c>
      <c r="V90" s="235">
        <v>0</v>
      </c>
      <c r="W90" s="235">
        <v>32</v>
      </c>
      <c r="X90" s="235">
        <v>272</v>
      </c>
      <c r="Y90" s="235">
        <v>934</v>
      </c>
      <c r="Z90" s="235">
        <v>0</v>
      </c>
      <c r="AA90" s="235">
        <v>0</v>
      </c>
      <c r="AB90" s="235">
        <v>80</v>
      </c>
      <c r="AC90" s="235">
        <v>0</v>
      </c>
      <c r="AD90" s="235">
        <v>0</v>
      </c>
      <c r="AE90" s="235">
        <v>672</v>
      </c>
      <c r="AF90" s="235">
        <v>0</v>
      </c>
      <c r="AG90" s="235">
        <v>869</v>
      </c>
      <c r="AH90" s="235">
        <v>0</v>
      </c>
      <c r="AI90" s="235">
        <v>0</v>
      </c>
      <c r="AJ90" s="235">
        <v>3152</v>
      </c>
      <c r="AK90" s="235">
        <v>0</v>
      </c>
      <c r="AL90" s="235">
        <v>0</v>
      </c>
      <c r="AM90" s="235">
        <v>0</v>
      </c>
      <c r="AN90" s="235">
        <v>0</v>
      </c>
      <c r="AO90" s="235">
        <v>64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59</v>
      </c>
      <c r="AW90" s="235">
        <v>0</v>
      </c>
      <c r="AX90" s="235">
        <v>0</v>
      </c>
      <c r="AY90" s="235">
        <v>561</v>
      </c>
      <c r="AZ90" s="235">
        <v>0</v>
      </c>
      <c r="BA90" s="235">
        <v>39</v>
      </c>
      <c r="BB90" s="235">
        <v>378</v>
      </c>
      <c r="BC90" s="235">
        <v>0</v>
      </c>
      <c r="BD90" s="235">
        <v>0</v>
      </c>
      <c r="BE90" s="235">
        <v>5873</v>
      </c>
      <c r="BF90" s="235">
        <v>115</v>
      </c>
      <c r="BG90" s="235">
        <v>0</v>
      </c>
      <c r="BH90" s="235">
        <v>1273</v>
      </c>
      <c r="BI90" s="235">
        <v>0</v>
      </c>
      <c r="BJ90" s="235">
        <v>105</v>
      </c>
      <c r="BK90" s="235">
        <v>303</v>
      </c>
      <c r="BL90" s="235">
        <v>0</v>
      </c>
      <c r="BM90" s="235">
        <v>0</v>
      </c>
      <c r="BN90" s="235">
        <v>3706</v>
      </c>
      <c r="BO90" s="235">
        <v>0</v>
      </c>
      <c r="BP90" s="235">
        <v>0</v>
      </c>
      <c r="BQ90" s="235">
        <v>0</v>
      </c>
      <c r="BR90" s="235">
        <v>0</v>
      </c>
      <c r="BS90" s="235">
        <v>0</v>
      </c>
      <c r="BT90" s="235">
        <v>0</v>
      </c>
      <c r="BU90" s="235">
        <v>0</v>
      </c>
      <c r="BV90" s="235">
        <v>932</v>
      </c>
      <c r="BW90" s="235">
        <v>0</v>
      </c>
      <c r="BX90" s="235">
        <v>0</v>
      </c>
      <c r="BY90" s="235">
        <v>107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f t="shared" si="20"/>
        <v>22273</v>
      </c>
      <c r="CF90" s="25">
        <f>BE59-CE90</f>
        <v>0</v>
      </c>
    </row>
    <row r="91" spans="1:84" x14ac:dyDescent="0.25">
      <c r="A91" s="21" t="s">
        <v>291</v>
      </c>
      <c r="B91" s="16"/>
      <c r="C91" s="235">
        <v>0</v>
      </c>
      <c r="D91" s="235">
        <v>0</v>
      </c>
      <c r="E91" s="235">
        <v>790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4008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68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179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f t="shared" si="20"/>
        <v>5045</v>
      </c>
      <c r="CF91" s="25">
        <f>AY59-CE91</f>
        <v>0</v>
      </c>
    </row>
    <row r="92" spans="1:84" x14ac:dyDescent="0.25">
      <c r="A92" s="21" t="s">
        <v>292</v>
      </c>
      <c r="B92" s="16"/>
      <c r="C92" s="235">
        <v>0</v>
      </c>
      <c r="D92" s="235">
        <v>0</v>
      </c>
      <c r="E92" s="235">
        <v>118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600</v>
      </c>
      <c r="M92" s="235">
        <v>0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212</v>
      </c>
      <c r="T92" s="235">
        <v>0</v>
      </c>
      <c r="U92" s="235">
        <v>229</v>
      </c>
      <c r="V92" s="235">
        <v>0</v>
      </c>
      <c r="W92" s="235">
        <v>14</v>
      </c>
      <c r="X92" s="235">
        <v>115</v>
      </c>
      <c r="Y92" s="235">
        <v>394</v>
      </c>
      <c r="Z92" s="235">
        <v>0</v>
      </c>
      <c r="AA92" s="235">
        <v>0</v>
      </c>
      <c r="AB92" s="235">
        <v>34</v>
      </c>
      <c r="AC92" s="235">
        <v>0</v>
      </c>
      <c r="AD92" s="235">
        <v>0</v>
      </c>
      <c r="AE92" s="235">
        <v>284</v>
      </c>
      <c r="AF92" s="235">
        <v>0</v>
      </c>
      <c r="AG92" s="235">
        <v>367</v>
      </c>
      <c r="AH92" s="235">
        <v>0</v>
      </c>
      <c r="AI92" s="235">
        <v>0</v>
      </c>
      <c r="AJ92" s="235">
        <v>1330</v>
      </c>
      <c r="AK92" s="235">
        <v>0</v>
      </c>
      <c r="AL92" s="235">
        <v>0</v>
      </c>
      <c r="AM92" s="235">
        <v>0</v>
      </c>
      <c r="AN92" s="235">
        <v>0</v>
      </c>
      <c r="AO92" s="235">
        <v>27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25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16</v>
      </c>
      <c r="BB92" s="235">
        <v>159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537</v>
      </c>
      <c r="BI92" s="235">
        <v>0</v>
      </c>
      <c r="BJ92" s="24" t="s">
        <v>248</v>
      </c>
      <c r="BK92" s="235">
        <v>128</v>
      </c>
      <c r="BL92" s="235">
        <v>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393</v>
      </c>
      <c r="BW92" s="235">
        <v>0</v>
      </c>
      <c r="BX92" s="235">
        <v>0</v>
      </c>
      <c r="BY92" s="235">
        <v>45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f t="shared" si="20"/>
        <v>5027</v>
      </c>
      <c r="CF92" s="16"/>
    </row>
    <row r="93" spans="1:84" x14ac:dyDescent="0.25">
      <c r="A93" s="21" t="s">
        <v>293</v>
      </c>
      <c r="B93" s="16"/>
      <c r="C93" s="235">
        <v>0</v>
      </c>
      <c r="D93" s="235">
        <v>0</v>
      </c>
      <c r="E93" s="235">
        <v>1751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8884</v>
      </c>
      <c r="M93" s="235">
        <v>0</v>
      </c>
      <c r="N93" s="235">
        <v>0</v>
      </c>
      <c r="O93" s="235">
        <v>0</v>
      </c>
      <c r="P93" s="235">
        <v>0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36</v>
      </c>
      <c r="X93" s="235">
        <v>307</v>
      </c>
      <c r="Y93" s="235">
        <v>1056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821</v>
      </c>
      <c r="AF93" s="235">
        <v>0</v>
      </c>
      <c r="AG93" s="235">
        <v>5503</v>
      </c>
      <c r="AH93" s="235">
        <v>336</v>
      </c>
      <c r="AI93" s="235">
        <v>0</v>
      </c>
      <c r="AJ93" s="235">
        <v>142</v>
      </c>
      <c r="AK93" s="235">
        <v>0</v>
      </c>
      <c r="AL93" s="235">
        <v>0</v>
      </c>
      <c r="AM93" s="235">
        <v>0</v>
      </c>
      <c r="AN93" s="235">
        <v>0</v>
      </c>
      <c r="AO93" s="235">
        <v>396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f t="shared" si="20"/>
        <v>19232</v>
      </c>
      <c r="CF93" s="25">
        <f>BA59</f>
        <v>0</v>
      </c>
    </row>
    <row r="94" spans="1:84" x14ac:dyDescent="0.25">
      <c r="A94" s="21" t="s">
        <v>294</v>
      </c>
      <c r="B94" s="16"/>
      <c r="C94" s="239">
        <v>0</v>
      </c>
      <c r="D94" s="239">
        <v>0</v>
      </c>
      <c r="E94" s="239">
        <v>1.4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7.09</v>
      </c>
      <c r="M94" s="239">
        <v>0</v>
      </c>
      <c r="N94" s="239">
        <v>0</v>
      </c>
      <c r="O94" s="239">
        <v>0</v>
      </c>
      <c r="P94" s="236">
        <v>0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4.62</v>
      </c>
      <c r="AH94" s="236">
        <v>0</v>
      </c>
      <c r="AI94" s="236">
        <v>0</v>
      </c>
      <c r="AJ94" s="236">
        <v>4.25</v>
      </c>
      <c r="AK94" s="236">
        <v>0</v>
      </c>
      <c r="AL94" s="236">
        <v>0</v>
      </c>
      <c r="AM94" s="236">
        <v>0</v>
      </c>
      <c r="AN94" s="236">
        <v>0</v>
      </c>
      <c r="AO94" s="236">
        <v>0.33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0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20"/>
        <v>17.689999999999998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1364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2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1365</v>
      </c>
      <c r="D100" s="246" t="s">
        <v>5</v>
      </c>
      <c r="E100" s="247" t="s">
        <v>5</v>
      </c>
      <c r="F100" s="12"/>
    </row>
    <row r="101" spans="1:6" x14ac:dyDescent="0.25">
      <c r="A101" s="25" t="s">
        <v>306</v>
      </c>
      <c r="B101" s="32" t="s">
        <v>299</v>
      </c>
      <c r="C101" s="249" t="s">
        <v>1366</v>
      </c>
      <c r="D101" s="246" t="s">
        <v>5</v>
      </c>
      <c r="E101" s="247" t="s">
        <v>5</v>
      </c>
      <c r="F101" s="12"/>
    </row>
    <row r="102" spans="1:6" x14ac:dyDescent="0.25">
      <c r="A102" s="25" t="s">
        <v>308</v>
      </c>
      <c r="B102" s="32" t="s">
        <v>299</v>
      </c>
      <c r="C102" s="251">
        <v>99169</v>
      </c>
      <c r="D102" s="246" t="s">
        <v>5</v>
      </c>
      <c r="E102" s="247" t="s">
        <v>5</v>
      </c>
      <c r="F102" s="12"/>
    </row>
    <row r="103" spans="1:6" x14ac:dyDescent="0.25">
      <c r="A103" s="25" t="s">
        <v>309</v>
      </c>
      <c r="B103" s="32" t="s">
        <v>299</v>
      </c>
      <c r="C103" s="249" t="s">
        <v>310</v>
      </c>
      <c r="D103" s="246" t="s">
        <v>5</v>
      </c>
      <c r="E103" s="247" t="s">
        <v>5</v>
      </c>
      <c r="F103" s="12"/>
    </row>
    <row r="104" spans="1:6" x14ac:dyDescent="0.25">
      <c r="A104" s="25" t="s">
        <v>311</v>
      </c>
      <c r="B104" s="32" t="s">
        <v>299</v>
      </c>
      <c r="C104" s="252" t="s">
        <v>1367</v>
      </c>
      <c r="D104" s="246" t="s">
        <v>5</v>
      </c>
      <c r="E104" s="247" t="s">
        <v>5</v>
      </c>
      <c r="F104" s="12"/>
    </row>
    <row r="105" spans="1:6" x14ac:dyDescent="0.25">
      <c r="A105" s="25" t="s">
        <v>313</v>
      </c>
      <c r="B105" s="32" t="s">
        <v>299</v>
      </c>
      <c r="C105" s="252" t="s">
        <v>1368</v>
      </c>
      <c r="D105" s="246" t="s">
        <v>5</v>
      </c>
      <c r="E105" s="247" t="s">
        <v>5</v>
      </c>
      <c r="F105" s="12"/>
    </row>
    <row r="106" spans="1:6" x14ac:dyDescent="0.25">
      <c r="A106" s="25" t="s">
        <v>315</v>
      </c>
      <c r="B106" s="32" t="s">
        <v>299</v>
      </c>
      <c r="C106" s="249" t="s">
        <v>1369</v>
      </c>
      <c r="D106" s="246" t="s">
        <v>5</v>
      </c>
      <c r="E106" s="247" t="s">
        <v>5</v>
      </c>
      <c r="F106" s="12"/>
    </row>
    <row r="107" spans="1:6" x14ac:dyDescent="0.25">
      <c r="A107" s="25" t="s">
        <v>317</v>
      </c>
      <c r="B107" s="32" t="s">
        <v>299</v>
      </c>
      <c r="C107" s="253" t="s">
        <v>318</v>
      </c>
      <c r="D107" s="246" t="s">
        <v>5</v>
      </c>
      <c r="E107" s="247" t="s">
        <v>5</v>
      </c>
      <c r="F107" s="12"/>
    </row>
    <row r="108" spans="1:6" x14ac:dyDescent="0.25">
      <c r="A108" s="25" t="s">
        <v>319</v>
      </c>
      <c r="B108" s="32" t="s">
        <v>299</v>
      </c>
      <c r="C108" s="253" t="s">
        <v>320</v>
      </c>
      <c r="D108" s="246" t="s">
        <v>5</v>
      </c>
      <c r="E108" s="247" t="s">
        <v>5</v>
      </c>
      <c r="F108" s="12"/>
    </row>
    <row r="109" spans="1:6" x14ac:dyDescent="0.25">
      <c r="A109" s="33" t="s">
        <v>321</v>
      </c>
      <c r="B109" s="32" t="s">
        <v>299</v>
      </c>
      <c r="C109" s="260" t="s">
        <v>1370</v>
      </c>
      <c r="D109" s="246" t="s">
        <v>5</v>
      </c>
      <c r="E109" s="247" t="s">
        <v>5</v>
      </c>
      <c r="F109" s="12"/>
    </row>
    <row r="110" spans="1:6" x14ac:dyDescent="0.25">
      <c r="A110" s="33" t="s">
        <v>323</v>
      </c>
      <c r="B110" s="32" t="s">
        <v>299</v>
      </c>
      <c r="C110" s="260" t="s">
        <v>324</v>
      </c>
      <c r="D110" s="246" t="s">
        <v>5</v>
      </c>
      <c r="E110" s="247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4" t="s">
        <v>326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54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54">
        <v>0</v>
      </c>
      <c r="D114" s="16"/>
      <c r="E114" s="16"/>
    </row>
    <row r="115" spans="1:5" x14ac:dyDescent="0.25">
      <c r="A115" s="16" t="s">
        <v>327</v>
      </c>
      <c r="B115" s="35" t="s">
        <v>299</v>
      </c>
      <c r="C115" s="254">
        <v>1</v>
      </c>
      <c r="D115" s="16"/>
      <c r="E115" s="16"/>
    </row>
    <row r="116" spans="1:5" x14ac:dyDescent="0.25">
      <c r="A116" s="34" t="s">
        <v>328</v>
      </c>
      <c r="B116" s="34"/>
      <c r="C116" s="34"/>
      <c r="D116" s="34"/>
      <c r="E116" s="34"/>
    </row>
    <row r="117" spans="1:5" x14ac:dyDescent="0.25">
      <c r="A117" s="16" t="s">
        <v>329</v>
      </c>
      <c r="B117" s="35" t="s">
        <v>299</v>
      </c>
      <c r="C117" s="254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25">
      <c r="A119" s="34" t="s">
        <v>330</v>
      </c>
      <c r="B119" s="34"/>
      <c r="C119" s="34"/>
      <c r="D119" s="34"/>
      <c r="E119" s="34"/>
    </row>
    <row r="120" spans="1:5" x14ac:dyDescent="0.25">
      <c r="A120" s="16" t="s">
        <v>331</v>
      </c>
      <c r="B120" s="35" t="s">
        <v>299</v>
      </c>
      <c r="C120" s="254">
        <v>0</v>
      </c>
      <c r="D120" s="16"/>
      <c r="E120" s="16"/>
    </row>
    <row r="121" spans="1:5" x14ac:dyDescent="0.25">
      <c r="A121" s="16" t="s">
        <v>332</v>
      </c>
      <c r="B121" s="35" t="s">
        <v>299</v>
      </c>
      <c r="C121" s="254">
        <v>0</v>
      </c>
      <c r="D121" s="16"/>
      <c r="E121" s="16"/>
    </row>
    <row r="122" spans="1:5" x14ac:dyDescent="0.25">
      <c r="A122" s="16" t="s">
        <v>333</v>
      </c>
      <c r="B122" s="35" t="s">
        <v>299</v>
      </c>
      <c r="C122" s="254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334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5" t="s">
        <v>299</v>
      </c>
      <c r="C127" s="256">
        <v>87</v>
      </c>
      <c r="D127" s="257">
        <v>261</v>
      </c>
      <c r="E127" s="16"/>
    </row>
    <row r="128" spans="1:5" x14ac:dyDescent="0.25">
      <c r="A128" s="16" t="s">
        <v>338</v>
      </c>
      <c r="B128" s="35" t="s">
        <v>299</v>
      </c>
      <c r="C128" s="256">
        <v>0</v>
      </c>
      <c r="D128" s="257">
        <f>349+975</f>
        <v>1324</v>
      </c>
      <c r="E128" s="16"/>
    </row>
    <row r="129" spans="1:5" x14ac:dyDescent="0.25">
      <c r="A129" s="16" t="s">
        <v>339</v>
      </c>
      <c r="B129" s="35" t="s">
        <v>299</v>
      </c>
      <c r="C129" s="254">
        <v>0</v>
      </c>
      <c r="D129" s="257">
        <v>0</v>
      </c>
      <c r="E129" s="16"/>
    </row>
    <row r="130" spans="1:5" x14ac:dyDescent="0.25">
      <c r="A130" s="16" t="s">
        <v>340</v>
      </c>
      <c r="B130" s="35" t="s">
        <v>299</v>
      </c>
      <c r="C130" s="254">
        <v>0</v>
      </c>
      <c r="D130" s="257">
        <v>0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5" t="s">
        <v>299</v>
      </c>
      <c r="C132" s="254">
        <v>0</v>
      </c>
      <c r="D132" s="16"/>
      <c r="E132" s="16"/>
    </row>
    <row r="133" spans="1:5" x14ac:dyDescent="0.25">
      <c r="A133" s="16" t="s">
        <v>343</v>
      </c>
      <c r="B133" s="35" t="s">
        <v>299</v>
      </c>
      <c r="C133" s="254">
        <v>0</v>
      </c>
      <c r="D133" s="16"/>
      <c r="E133" s="16"/>
    </row>
    <row r="134" spans="1:5" x14ac:dyDescent="0.25">
      <c r="A134" s="16" t="s">
        <v>344</v>
      </c>
      <c r="B134" s="35" t="s">
        <v>299</v>
      </c>
      <c r="C134" s="258">
        <v>12</v>
      </c>
      <c r="D134" s="16"/>
      <c r="E134" s="16"/>
    </row>
    <row r="135" spans="1:5" x14ac:dyDescent="0.25">
      <c r="A135" s="16" t="s">
        <v>345</v>
      </c>
      <c r="B135" s="35" t="s">
        <v>299</v>
      </c>
      <c r="C135" s="254">
        <v>0</v>
      </c>
      <c r="D135" s="16"/>
      <c r="E135" s="16"/>
    </row>
    <row r="136" spans="1:5" x14ac:dyDescent="0.25">
      <c r="A136" s="16" t="s">
        <v>346</v>
      </c>
      <c r="B136" s="35" t="s">
        <v>299</v>
      </c>
      <c r="C136" s="254">
        <v>0</v>
      </c>
      <c r="D136" s="16"/>
      <c r="E136" s="16"/>
    </row>
    <row r="137" spans="1:5" x14ac:dyDescent="0.25">
      <c r="A137" s="16" t="s">
        <v>347</v>
      </c>
      <c r="B137" s="35" t="s">
        <v>299</v>
      </c>
      <c r="C137" s="254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56">
        <v>0</v>
      </c>
      <c r="D139" s="16"/>
      <c r="E139" s="16"/>
    </row>
    <row r="140" spans="1:5" x14ac:dyDescent="0.25">
      <c r="A140" s="16" t="s">
        <v>349</v>
      </c>
      <c r="B140" s="35"/>
      <c r="C140" s="254">
        <v>0</v>
      </c>
      <c r="D140" s="16"/>
      <c r="E140" s="16"/>
    </row>
    <row r="141" spans="1:5" x14ac:dyDescent="0.25">
      <c r="A141" s="16" t="s">
        <v>339</v>
      </c>
      <c r="B141" s="35" t="s">
        <v>299</v>
      </c>
      <c r="C141" s="254">
        <v>0</v>
      </c>
      <c r="D141" s="16"/>
      <c r="E141" s="16"/>
    </row>
    <row r="142" spans="1:5" x14ac:dyDescent="0.25">
      <c r="A142" s="16" t="s">
        <v>350</v>
      </c>
      <c r="B142" s="35" t="s">
        <v>299</v>
      </c>
      <c r="C142" s="254">
        <v>0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f>SUM(C132:C142)</f>
        <v>12</v>
      </c>
    </row>
    <row r="144" spans="1:5" x14ac:dyDescent="0.25">
      <c r="A144" s="16" t="s">
        <v>352</v>
      </c>
      <c r="B144" s="35" t="s">
        <v>299</v>
      </c>
      <c r="C144" s="256">
        <v>0</v>
      </c>
      <c r="D144" s="16"/>
      <c r="E144" s="16"/>
    </row>
    <row r="145" spans="1:6" x14ac:dyDescent="0.25">
      <c r="A145" s="16" t="s">
        <v>353</v>
      </c>
      <c r="B145" s="35" t="s">
        <v>299</v>
      </c>
      <c r="C145" s="254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5" t="s">
        <v>299</v>
      </c>
      <c r="C147" s="256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7"/>
      <c r="C152" s="37"/>
      <c r="D152" s="37"/>
      <c r="E152" s="37"/>
    </row>
    <row r="153" spans="1:6" x14ac:dyDescent="0.2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25">
      <c r="A154" s="16" t="s">
        <v>336</v>
      </c>
      <c r="B154" s="257">
        <v>30</v>
      </c>
      <c r="C154" s="257">
        <v>14</v>
      </c>
      <c r="D154" s="257">
        <f>87-C154-B154</f>
        <v>43</v>
      </c>
      <c r="E154" s="25">
        <f>SUM(B154:D154)</f>
        <v>87</v>
      </c>
    </row>
    <row r="155" spans="1:6" x14ac:dyDescent="0.25">
      <c r="A155" s="16" t="s">
        <v>242</v>
      </c>
      <c r="B155" s="257">
        <v>122</v>
      </c>
      <c r="C155" s="257">
        <v>61</v>
      </c>
      <c r="D155" s="257">
        <f>261-C155-B155</f>
        <v>78</v>
      </c>
      <c r="E155" s="25">
        <f>SUM(B155:D155)</f>
        <v>261</v>
      </c>
    </row>
    <row r="156" spans="1:6" x14ac:dyDescent="0.25">
      <c r="A156" s="16" t="s">
        <v>359</v>
      </c>
      <c r="B156" s="257">
        <v>0</v>
      </c>
      <c r="C156" s="257">
        <v>0</v>
      </c>
      <c r="D156" s="257">
        <v>0</v>
      </c>
      <c r="E156" s="25">
        <f>SUM(B156:D156)</f>
        <v>0</v>
      </c>
    </row>
    <row r="157" spans="1:6" x14ac:dyDescent="0.25">
      <c r="A157" s="16" t="s">
        <v>287</v>
      </c>
      <c r="B157" s="257">
        <v>381601</v>
      </c>
      <c r="C157" s="257">
        <v>229706</v>
      </c>
      <c r="D157" s="257">
        <v>55882</v>
      </c>
      <c r="E157" s="25">
        <f>SUM(B157:D157)</f>
        <v>667189</v>
      </c>
      <c r="F157" s="14"/>
    </row>
    <row r="158" spans="1:6" x14ac:dyDescent="0.25">
      <c r="A158" s="16" t="s">
        <v>288</v>
      </c>
      <c r="B158" s="257">
        <v>2947406</v>
      </c>
      <c r="C158" s="257">
        <v>1387639</v>
      </c>
      <c r="D158" s="257">
        <v>6388969</v>
      </c>
      <c r="E158" s="25">
        <f>SUM(B158:D158)</f>
        <v>10724014</v>
      </c>
      <c r="F158" s="14"/>
    </row>
    <row r="159" spans="1:6" x14ac:dyDescent="0.2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25">
      <c r="A160" s="16" t="s">
        <v>336</v>
      </c>
      <c r="B160" s="234">
        <v>0</v>
      </c>
      <c r="C160" s="234">
        <v>0</v>
      </c>
      <c r="D160" s="234">
        <v>0</v>
      </c>
      <c r="E160" s="25">
        <f>SUM(B160:D160)</f>
        <v>0</v>
      </c>
    </row>
    <row r="161" spans="1:5" x14ac:dyDescent="0.25">
      <c r="A161" s="16" t="s">
        <v>242</v>
      </c>
      <c r="B161" s="234">
        <v>227</v>
      </c>
      <c r="C161" s="234">
        <v>568</v>
      </c>
      <c r="D161" s="234">
        <f>349+975-C161-B161</f>
        <v>529</v>
      </c>
      <c r="E161" s="25">
        <f>SUM(B161:D161)</f>
        <v>1324</v>
      </c>
    </row>
    <row r="162" spans="1:5" x14ac:dyDescent="0.25">
      <c r="A162" s="16" t="s">
        <v>359</v>
      </c>
      <c r="B162" s="257">
        <v>0</v>
      </c>
      <c r="C162" s="257">
        <v>0</v>
      </c>
      <c r="D162" s="257">
        <v>0</v>
      </c>
      <c r="E162" s="25">
        <f>SUM(B162:D162)</f>
        <v>0</v>
      </c>
    </row>
    <row r="163" spans="1:5" x14ac:dyDescent="0.25">
      <c r="A163" s="16" t="s">
        <v>287</v>
      </c>
      <c r="B163" s="234">
        <v>333480</v>
      </c>
      <c r="C163" s="234">
        <v>133800</v>
      </c>
      <c r="D163" s="234">
        <v>283480</v>
      </c>
      <c r="E163" s="25">
        <f>SUM(B163:D163)</f>
        <v>750760</v>
      </c>
    </row>
    <row r="164" spans="1:5" x14ac:dyDescent="0.25">
      <c r="A164" s="16" t="s">
        <v>288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x14ac:dyDescent="0.2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25">
      <c r="A166" s="16" t="s">
        <v>336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x14ac:dyDescent="0.25">
      <c r="A167" s="16" t="s">
        <v>242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x14ac:dyDescent="0.25">
      <c r="A168" s="16" t="s">
        <v>359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x14ac:dyDescent="0.25">
      <c r="A169" s="16" t="s">
        <v>287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x14ac:dyDescent="0.25">
      <c r="A170" s="16" t="s">
        <v>288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25">
      <c r="A173" s="20" t="s">
        <v>365</v>
      </c>
      <c r="B173" s="234">
        <v>1171066</v>
      </c>
      <c r="C173" s="234">
        <v>762055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366</v>
      </c>
      <c r="B179" s="30"/>
      <c r="C179" s="30"/>
      <c r="D179" s="30"/>
      <c r="E179" s="30"/>
    </row>
    <row r="180" spans="1:5" x14ac:dyDescent="0.25">
      <c r="A180" s="34" t="s">
        <v>367</v>
      </c>
      <c r="B180" s="34"/>
      <c r="C180" s="34"/>
      <c r="D180" s="34"/>
      <c r="E180" s="34"/>
    </row>
    <row r="181" spans="1:5" x14ac:dyDescent="0.25">
      <c r="A181" s="16" t="s">
        <v>368</v>
      </c>
      <c r="B181" s="35" t="s">
        <v>299</v>
      </c>
      <c r="C181" s="254">
        <v>499956</v>
      </c>
      <c r="D181" s="16"/>
      <c r="E181" s="16"/>
    </row>
    <row r="182" spans="1:5" x14ac:dyDescent="0.25">
      <c r="A182" s="16" t="s">
        <v>369</v>
      </c>
      <c r="B182" s="35" t="s">
        <v>299</v>
      </c>
      <c r="C182" s="254">
        <v>-38586</v>
      </c>
      <c r="D182" s="16"/>
      <c r="E182" s="16"/>
    </row>
    <row r="183" spans="1:5" x14ac:dyDescent="0.25">
      <c r="A183" s="20" t="s">
        <v>370</v>
      </c>
      <c r="B183" s="35" t="s">
        <v>299</v>
      </c>
      <c r="C183" s="254">
        <v>110767</v>
      </c>
      <c r="D183" s="16"/>
      <c r="E183" s="16"/>
    </row>
    <row r="184" spans="1:5" x14ac:dyDescent="0.25">
      <c r="A184" s="16" t="s">
        <v>371</v>
      </c>
      <c r="B184" s="35" t="s">
        <v>299</v>
      </c>
      <c r="C184" s="254">
        <v>648850</v>
      </c>
      <c r="D184" s="16"/>
      <c r="E184" s="16"/>
    </row>
    <row r="185" spans="1:5" x14ac:dyDescent="0.25">
      <c r="A185" s="16" t="s">
        <v>372</v>
      </c>
      <c r="B185" s="35" t="s">
        <v>299</v>
      </c>
      <c r="C185" s="254">
        <v>53378</v>
      </c>
      <c r="D185" s="16"/>
      <c r="E185" s="16"/>
    </row>
    <row r="186" spans="1:5" x14ac:dyDescent="0.25">
      <c r="A186" s="16" t="s">
        <v>373</v>
      </c>
      <c r="B186" s="35" t="s">
        <v>299</v>
      </c>
      <c r="C186" s="254">
        <v>125982</v>
      </c>
      <c r="D186" s="16"/>
      <c r="E186" s="16"/>
    </row>
    <row r="187" spans="1:5" x14ac:dyDescent="0.25">
      <c r="A187" s="16" t="s">
        <v>374</v>
      </c>
      <c r="B187" s="35" t="s">
        <v>299</v>
      </c>
      <c r="C187" s="254">
        <v>0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54">
        <v>0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1400347</v>
      </c>
      <c r="E189" s="16"/>
    </row>
    <row r="190" spans="1:5" x14ac:dyDescent="0.25">
      <c r="A190" s="34" t="s">
        <v>375</v>
      </c>
      <c r="B190" s="34"/>
      <c r="C190" s="34"/>
      <c r="D190" s="34"/>
      <c r="E190" s="34"/>
    </row>
    <row r="191" spans="1:5" x14ac:dyDescent="0.25">
      <c r="A191" s="16" t="s">
        <v>376</v>
      </c>
      <c r="B191" s="35" t="s">
        <v>299</v>
      </c>
      <c r="C191" s="254">
        <v>0</v>
      </c>
      <c r="D191" s="16"/>
      <c r="E191" s="16"/>
    </row>
    <row r="192" spans="1:5" x14ac:dyDescent="0.25">
      <c r="A192" s="16" t="s">
        <v>377</v>
      </c>
      <c r="B192" s="35" t="s">
        <v>299</v>
      </c>
      <c r="C192" s="254">
        <v>70672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70672</v>
      </c>
      <c r="E193" s="16"/>
    </row>
    <row r="194" spans="1:5" x14ac:dyDescent="0.25">
      <c r="A194" s="34" t="s">
        <v>378</v>
      </c>
      <c r="B194" s="34"/>
      <c r="C194" s="34"/>
      <c r="D194" s="34"/>
      <c r="E194" s="34"/>
    </row>
    <row r="195" spans="1:5" x14ac:dyDescent="0.25">
      <c r="A195" s="16" t="s">
        <v>379</v>
      </c>
      <c r="B195" s="35" t="s">
        <v>299</v>
      </c>
      <c r="C195" s="254">
        <v>167307</v>
      </c>
      <c r="D195" s="16"/>
      <c r="E195" s="16"/>
    </row>
    <row r="196" spans="1:5" x14ac:dyDescent="0.25">
      <c r="A196" s="16" t="s">
        <v>380</v>
      </c>
      <c r="B196" s="35" t="s">
        <v>299</v>
      </c>
      <c r="C196" s="254">
        <v>35935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203242</v>
      </c>
      <c r="E197" s="16"/>
    </row>
    <row r="198" spans="1:5" x14ac:dyDescent="0.25">
      <c r="A198" s="34" t="s">
        <v>381</v>
      </c>
      <c r="B198" s="34"/>
      <c r="C198" s="34"/>
      <c r="D198" s="34"/>
      <c r="E198" s="34"/>
    </row>
    <row r="199" spans="1:5" x14ac:dyDescent="0.25">
      <c r="A199" s="16" t="s">
        <v>382</v>
      </c>
      <c r="B199" s="35" t="s">
        <v>299</v>
      </c>
      <c r="C199" s="254">
        <v>90697</v>
      </c>
      <c r="D199" s="16"/>
      <c r="E199" s="16"/>
    </row>
    <row r="200" spans="1:5" x14ac:dyDescent="0.25">
      <c r="A200" s="16" t="s">
        <v>383</v>
      </c>
      <c r="B200" s="35" t="s">
        <v>299</v>
      </c>
      <c r="C200" s="254">
        <v>49865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4">
        <v>402044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542606</v>
      </c>
      <c r="E202" s="16"/>
    </row>
    <row r="203" spans="1:5" x14ac:dyDescent="0.25">
      <c r="A203" s="34" t="s">
        <v>384</v>
      </c>
      <c r="B203" s="34"/>
      <c r="C203" s="34"/>
      <c r="D203" s="34"/>
      <c r="E203" s="34"/>
    </row>
    <row r="204" spans="1:5" x14ac:dyDescent="0.25">
      <c r="A204" s="16" t="s">
        <v>385</v>
      </c>
      <c r="B204" s="35" t="s">
        <v>299</v>
      </c>
      <c r="C204" s="254">
        <v>354135</v>
      </c>
      <c r="D204" s="16"/>
      <c r="E204" s="16"/>
    </row>
    <row r="205" spans="1:5" x14ac:dyDescent="0.25">
      <c r="A205" s="16" t="s">
        <v>386</v>
      </c>
      <c r="B205" s="35" t="s">
        <v>299</v>
      </c>
      <c r="C205" s="254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354135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7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54">
        <v>16698</v>
      </c>
      <c r="C211" s="254">
        <v>0</v>
      </c>
      <c r="D211" s="257">
        <v>0</v>
      </c>
      <c r="E211" s="25">
        <f t="shared" ref="E211:E219" si="22">SUM(B211:C211)-D211</f>
        <v>16698</v>
      </c>
    </row>
    <row r="212" spans="1:5" x14ac:dyDescent="0.25">
      <c r="A212" s="16" t="s">
        <v>394</v>
      </c>
      <c r="B212" s="254">
        <v>244149</v>
      </c>
      <c r="C212" s="254">
        <v>0</v>
      </c>
      <c r="D212" s="257">
        <v>0</v>
      </c>
      <c r="E212" s="25">
        <f t="shared" si="22"/>
        <v>244149</v>
      </c>
    </row>
    <row r="213" spans="1:5" x14ac:dyDescent="0.25">
      <c r="A213" s="16" t="s">
        <v>395</v>
      </c>
      <c r="B213" s="254">
        <v>10560026</v>
      </c>
      <c r="C213" s="254">
        <v>0</v>
      </c>
      <c r="D213" s="257">
        <v>0</v>
      </c>
      <c r="E213" s="25">
        <f t="shared" si="22"/>
        <v>10560026</v>
      </c>
    </row>
    <row r="214" spans="1:5" x14ac:dyDescent="0.25">
      <c r="A214" s="16" t="s">
        <v>396</v>
      </c>
      <c r="B214" s="254">
        <v>0</v>
      </c>
      <c r="C214" s="254">
        <v>0</v>
      </c>
      <c r="D214" s="257">
        <v>0</v>
      </c>
      <c r="E214" s="25">
        <f t="shared" si="22"/>
        <v>0</v>
      </c>
    </row>
    <row r="215" spans="1:5" x14ac:dyDescent="0.25">
      <c r="A215" s="16" t="s">
        <v>397</v>
      </c>
      <c r="B215" s="254">
        <v>1780768</v>
      </c>
      <c r="C215" s="254">
        <v>0</v>
      </c>
      <c r="D215" s="257">
        <v>0</v>
      </c>
      <c r="E215" s="25">
        <f t="shared" si="22"/>
        <v>1780768</v>
      </c>
    </row>
    <row r="216" spans="1:5" x14ac:dyDescent="0.25">
      <c r="A216" s="16" t="s">
        <v>398</v>
      </c>
      <c r="B216" s="254">
        <v>4251790</v>
      </c>
      <c r="C216" s="254">
        <f>603272+94151</f>
        <v>697423</v>
      </c>
      <c r="D216" s="257">
        <v>0</v>
      </c>
      <c r="E216" s="25">
        <f t="shared" si="22"/>
        <v>4949213</v>
      </c>
    </row>
    <row r="217" spans="1:5" x14ac:dyDescent="0.25">
      <c r="A217" s="16" t="s">
        <v>399</v>
      </c>
      <c r="B217" s="254">
        <v>0</v>
      </c>
      <c r="C217" s="254">
        <v>0</v>
      </c>
      <c r="D217" s="257">
        <v>0</v>
      </c>
      <c r="E217" s="25">
        <f t="shared" si="22"/>
        <v>0</v>
      </c>
    </row>
    <row r="218" spans="1:5" x14ac:dyDescent="0.25">
      <c r="A218" s="16" t="s">
        <v>400</v>
      </c>
      <c r="B218" s="254">
        <v>0</v>
      </c>
      <c r="C218" s="254">
        <f>1960999+442541</f>
        <v>2403540</v>
      </c>
      <c r="D218" s="257">
        <v>0</v>
      </c>
      <c r="E218" s="25">
        <f t="shared" si="22"/>
        <v>2403540</v>
      </c>
    </row>
    <row r="219" spans="1:5" x14ac:dyDescent="0.25">
      <c r="A219" s="16" t="s">
        <v>401</v>
      </c>
      <c r="B219" s="254">
        <v>106840</v>
      </c>
      <c r="C219" s="254">
        <v>429852</v>
      </c>
      <c r="D219" s="257">
        <v>536692</v>
      </c>
      <c r="E219" s="25">
        <f t="shared" si="22"/>
        <v>0</v>
      </c>
    </row>
    <row r="220" spans="1:5" x14ac:dyDescent="0.25">
      <c r="A220" s="16" t="s">
        <v>230</v>
      </c>
      <c r="B220" s="25">
        <f>SUM(B211:B219)</f>
        <v>16960271</v>
      </c>
      <c r="C220" s="225">
        <f>SUM(C211:C219)</f>
        <v>3530815</v>
      </c>
      <c r="D220" s="25">
        <f>SUM(D211:D219)</f>
        <v>536692</v>
      </c>
      <c r="E220" s="25">
        <f>SUM(E211:E219)</f>
        <v>19954394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402</v>
      </c>
      <c r="B222" s="37"/>
      <c r="C222" s="37"/>
      <c r="D222" s="37"/>
      <c r="E222" s="37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2"/>
      <c r="C224" s="41"/>
      <c r="D224" s="42"/>
      <c r="E224" s="16"/>
    </row>
    <row r="225" spans="1:6" x14ac:dyDescent="0.25">
      <c r="A225" s="16" t="s">
        <v>394</v>
      </c>
      <c r="B225" s="254">
        <v>126979</v>
      </c>
      <c r="C225" s="254">
        <v>20969</v>
      </c>
      <c r="D225" s="257">
        <v>0</v>
      </c>
      <c r="E225" s="25">
        <f t="shared" ref="E225:E232" si="23">SUM(B225:C225)-D225</f>
        <v>147948</v>
      </c>
    </row>
    <row r="226" spans="1:6" x14ac:dyDescent="0.25">
      <c r="A226" s="16" t="s">
        <v>395</v>
      </c>
      <c r="B226" s="254">
        <v>3253755</v>
      </c>
      <c r="C226" s="254">
        <v>508834</v>
      </c>
      <c r="D226" s="257">
        <v>0</v>
      </c>
      <c r="E226" s="25">
        <f t="shared" si="23"/>
        <v>3762589</v>
      </c>
    </row>
    <row r="227" spans="1:6" x14ac:dyDescent="0.25">
      <c r="A227" s="16" t="s">
        <v>396</v>
      </c>
      <c r="B227" s="254">
        <v>0</v>
      </c>
      <c r="C227" s="254">
        <v>0</v>
      </c>
      <c r="D227" s="257">
        <v>0</v>
      </c>
      <c r="E227" s="25">
        <f t="shared" si="23"/>
        <v>0</v>
      </c>
    </row>
    <row r="228" spans="1:6" x14ac:dyDescent="0.25">
      <c r="A228" s="16" t="s">
        <v>397</v>
      </c>
      <c r="B228" s="254">
        <v>639731</v>
      </c>
      <c r="C228" s="254">
        <v>111419</v>
      </c>
      <c r="D228" s="257">
        <v>0</v>
      </c>
      <c r="E228" s="25">
        <f t="shared" si="23"/>
        <v>751150</v>
      </c>
    </row>
    <row r="229" spans="1:6" x14ac:dyDescent="0.25">
      <c r="A229" s="16" t="s">
        <v>398</v>
      </c>
      <c r="B229" s="254">
        <v>3873862</v>
      </c>
      <c r="C229" s="254">
        <v>93256</v>
      </c>
      <c r="D229" s="257">
        <v>0</v>
      </c>
      <c r="E229" s="25">
        <f t="shared" si="23"/>
        <v>3967118</v>
      </c>
    </row>
    <row r="230" spans="1:6" x14ac:dyDescent="0.25">
      <c r="A230" s="16" t="s">
        <v>399</v>
      </c>
      <c r="B230" s="254">
        <v>0</v>
      </c>
      <c r="C230" s="254">
        <v>0</v>
      </c>
      <c r="D230" s="257">
        <v>0</v>
      </c>
      <c r="E230" s="25">
        <f t="shared" si="23"/>
        <v>0</v>
      </c>
    </row>
    <row r="231" spans="1:6" x14ac:dyDescent="0.25">
      <c r="A231" s="16" t="s">
        <v>400</v>
      </c>
      <c r="B231" s="254">
        <v>0</v>
      </c>
      <c r="C231" s="254">
        <v>26840</v>
      </c>
      <c r="D231" s="257">
        <v>0</v>
      </c>
      <c r="E231" s="25">
        <f t="shared" si="23"/>
        <v>26840</v>
      </c>
    </row>
    <row r="232" spans="1:6" x14ac:dyDescent="0.25">
      <c r="A232" s="16" t="s">
        <v>401</v>
      </c>
      <c r="B232" s="254">
        <v>0</v>
      </c>
      <c r="C232" s="254">
        <v>0</v>
      </c>
      <c r="D232" s="257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7894327</v>
      </c>
      <c r="C233" s="225">
        <f>SUM(C224:C232)</f>
        <v>761318</v>
      </c>
      <c r="D233" s="25">
        <f>SUM(D224:D232)</f>
        <v>0</v>
      </c>
      <c r="E233" s="25">
        <f>SUM(E224:E232)</f>
        <v>8655645</v>
      </c>
    </row>
    <row r="234" spans="1:6" x14ac:dyDescent="0.25">
      <c r="A234" s="16"/>
      <c r="B234" s="16"/>
      <c r="C234" s="22"/>
      <c r="D234" s="16"/>
      <c r="E234" s="16"/>
      <c r="F234" s="11">
        <f>E220-E233</f>
        <v>11298749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18" t="s">
        <v>404</v>
      </c>
      <c r="C236" s="318"/>
      <c r="D236" s="30"/>
      <c r="E236" s="30"/>
    </row>
    <row r="237" spans="1:6" x14ac:dyDescent="0.25">
      <c r="A237" s="43" t="s">
        <v>404</v>
      </c>
      <c r="B237" s="30"/>
      <c r="C237" s="254">
        <v>1358931</v>
      </c>
      <c r="D237" s="32">
        <f>C237</f>
        <v>1358931</v>
      </c>
      <c r="E237" s="30"/>
    </row>
    <row r="238" spans="1:6" x14ac:dyDescent="0.25">
      <c r="A238" s="34" t="s">
        <v>405</v>
      </c>
      <c r="B238" s="34"/>
      <c r="C238" s="34"/>
      <c r="D238" s="34"/>
      <c r="E238" s="34"/>
    </row>
    <row r="239" spans="1:6" x14ac:dyDescent="0.25">
      <c r="A239" s="16" t="s">
        <v>406</v>
      </c>
      <c r="B239" s="35" t="s">
        <v>299</v>
      </c>
      <c r="C239" s="254">
        <v>1042179</v>
      </c>
      <c r="D239" s="16"/>
      <c r="E239" s="16"/>
    </row>
    <row r="240" spans="1:6" x14ac:dyDescent="0.25">
      <c r="A240" s="16" t="s">
        <v>407</v>
      </c>
      <c r="B240" s="35" t="s">
        <v>299</v>
      </c>
      <c r="C240" s="254">
        <v>-2564</v>
      </c>
      <c r="D240" s="16"/>
      <c r="E240" s="16"/>
    </row>
    <row r="241" spans="1:5" x14ac:dyDescent="0.25">
      <c r="A241" s="16" t="s">
        <v>408</v>
      </c>
      <c r="B241" s="35" t="s">
        <v>299</v>
      </c>
      <c r="C241" s="254">
        <v>0</v>
      </c>
      <c r="D241" s="16"/>
      <c r="E241" s="16"/>
    </row>
    <row r="242" spans="1:5" x14ac:dyDescent="0.25">
      <c r="A242" s="16" t="s">
        <v>409</v>
      </c>
      <c r="B242" s="35" t="s">
        <v>299</v>
      </c>
      <c r="C242" s="254">
        <v>0</v>
      </c>
      <c r="D242" s="16"/>
      <c r="E242" s="16"/>
    </row>
    <row r="243" spans="1:5" x14ac:dyDescent="0.25">
      <c r="A243" s="16" t="s">
        <v>410</v>
      </c>
      <c r="B243" s="35" t="s">
        <v>299</v>
      </c>
      <c r="C243" s="254">
        <v>0</v>
      </c>
      <c r="D243" s="16"/>
      <c r="E243" s="16"/>
    </row>
    <row r="244" spans="1:5" x14ac:dyDescent="0.25">
      <c r="A244" s="16" t="s">
        <v>411</v>
      </c>
      <c r="B244" s="35" t="s">
        <v>299</v>
      </c>
      <c r="C244" s="254">
        <v>1633910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f>SUM(C239:C244)</f>
        <v>2673525</v>
      </c>
      <c r="E245" s="16"/>
    </row>
    <row r="246" spans="1:5" x14ac:dyDescent="0.25">
      <c r="A246" s="34" t="s">
        <v>413</v>
      </c>
      <c r="B246" s="34"/>
      <c r="C246" s="34"/>
      <c r="D246" s="34"/>
      <c r="E246" s="34"/>
    </row>
    <row r="247" spans="1:5" x14ac:dyDescent="0.25">
      <c r="A247" s="21" t="s">
        <v>414</v>
      </c>
      <c r="B247" s="35" t="s">
        <v>299</v>
      </c>
      <c r="C247" s="256">
        <v>304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415</v>
      </c>
      <c r="B249" s="35" t="s">
        <v>299</v>
      </c>
      <c r="C249" s="254">
        <v>0</v>
      </c>
      <c r="D249" s="16"/>
      <c r="E249" s="16"/>
    </row>
    <row r="250" spans="1:5" x14ac:dyDescent="0.25">
      <c r="A250" s="21" t="s">
        <v>416</v>
      </c>
      <c r="B250" s="35" t="s">
        <v>299</v>
      </c>
      <c r="C250" s="254">
        <v>850453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f>SUM(C249:C251)</f>
        <v>850453</v>
      </c>
      <c r="E252" s="16"/>
    </row>
    <row r="253" spans="1:5" x14ac:dyDescent="0.25">
      <c r="A253" s="34" t="s">
        <v>418</v>
      </c>
      <c r="B253" s="34"/>
      <c r="C253" s="34"/>
      <c r="D253" s="34"/>
      <c r="E253" s="34"/>
    </row>
    <row r="254" spans="1:5" x14ac:dyDescent="0.25">
      <c r="A254" s="16" t="s">
        <v>419</v>
      </c>
      <c r="B254" s="35" t="s">
        <v>299</v>
      </c>
      <c r="C254" s="254">
        <v>0</v>
      </c>
      <c r="D254" s="16"/>
      <c r="E254" s="16"/>
    </row>
    <row r="255" spans="1:5" x14ac:dyDescent="0.25">
      <c r="A255" s="16" t="s">
        <v>418</v>
      </c>
      <c r="B255" s="35" t="s">
        <v>299</v>
      </c>
      <c r="C255" s="254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f>D237+D245+D252+D256</f>
        <v>4882909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4" t="s">
        <v>423</v>
      </c>
      <c r="B265" s="34"/>
      <c r="C265" s="34"/>
      <c r="D265" s="34"/>
      <c r="E265" s="34"/>
    </row>
    <row r="266" spans="1:5" x14ac:dyDescent="0.25">
      <c r="A266" s="16" t="s">
        <v>424</v>
      </c>
      <c r="B266" s="35" t="s">
        <v>299</v>
      </c>
      <c r="C266" s="254">
        <v>3159103</v>
      </c>
      <c r="D266" s="16"/>
      <c r="E266" s="16"/>
    </row>
    <row r="267" spans="1:5" x14ac:dyDescent="0.25">
      <c r="A267" s="16" t="s">
        <v>425</v>
      </c>
      <c r="B267" s="35" t="s">
        <v>299</v>
      </c>
      <c r="C267" s="254">
        <v>0</v>
      </c>
      <c r="D267" s="16"/>
      <c r="E267" s="16"/>
    </row>
    <row r="268" spans="1:5" x14ac:dyDescent="0.25">
      <c r="A268" s="16" t="s">
        <v>426</v>
      </c>
      <c r="B268" s="35" t="s">
        <v>299</v>
      </c>
      <c r="C268" s="254">
        <v>4784912</v>
      </c>
      <c r="D268" s="16"/>
      <c r="E268" s="16"/>
    </row>
    <row r="269" spans="1:5" x14ac:dyDescent="0.25">
      <c r="A269" s="16" t="s">
        <v>427</v>
      </c>
      <c r="B269" s="35" t="s">
        <v>299</v>
      </c>
      <c r="C269" s="254">
        <v>2526776</v>
      </c>
      <c r="D269" s="16"/>
      <c r="E269" s="16"/>
    </row>
    <row r="270" spans="1:5" x14ac:dyDescent="0.25">
      <c r="A270" s="16" t="s">
        <v>428</v>
      </c>
      <c r="B270" s="35" t="s">
        <v>299</v>
      </c>
      <c r="C270" s="254">
        <v>0</v>
      </c>
      <c r="D270" s="16"/>
      <c r="E270" s="16"/>
    </row>
    <row r="271" spans="1:5" x14ac:dyDescent="0.25">
      <c r="A271" s="16" t="s">
        <v>429</v>
      </c>
      <c r="B271" s="35" t="s">
        <v>299</v>
      </c>
      <c r="C271" s="254">
        <v>810772</v>
      </c>
      <c r="D271" s="16"/>
      <c r="E271" s="16"/>
    </row>
    <row r="272" spans="1:5" x14ac:dyDescent="0.25">
      <c r="A272" s="16" t="s">
        <v>430</v>
      </c>
      <c r="B272" s="35" t="s">
        <v>299</v>
      </c>
      <c r="C272" s="254">
        <v>0</v>
      </c>
      <c r="D272" s="16"/>
      <c r="E272" s="16"/>
    </row>
    <row r="273" spans="1:5" x14ac:dyDescent="0.25">
      <c r="A273" s="16" t="s">
        <v>431</v>
      </c>
      <c r="B273" s="35" t="s">
        <v>299</v>
      </c>
      <c r="C273" s="254">
        <v>279989</v>
      </c>
      <c r="D273" s="16"/>
      <c r="E273" s="16"/>
    </row>
    <row r="274" spans="1:5" x14ac:dyDescent="0.25">
      <c r="A274" s="16" t="s">
        <v>432</v>
      </c>
      <c r="B274" s="35" t="s">
        <v>299</v>
      </c>
      <c r="C274" s="254">
        <v>18671</v>
      </c>
      <c r="D274" s="16"/>
      <c r="E274" s="16"/>
    </row>
    <row r="275" spans="1:5" x14ac:dyDescent="0.25">
      <c r="A275" s="16" t="s">
        <v>433</v>
      </c>
      <c r="B275" s="35" t="s">
        <v>299</v>
      </c>
      <c r="C275" s="254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f>SUM(C266:C268)-C269+SUM(C270:C275)</f>
        <v>6526671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299</v>
      </c>
      <c r="C278" s="254">
        <v>1903738</v>
      </c>
      <c r="D278" s="16"/>
      <c r="E278" s="16"/>
    </row>
    <row r="279" spans="1:5" x14ac:dyDescent="0.25">
      <c r="A279" s="16" t="s">
        <v>425</v>
      </c>
      <c r="B279" s="35" t="s">
        <v>299</v>
      </c>
      <c r="C279" s="254">
        <v>0</v>
      </c>
      <c r="D279" s="16"/>
      <c r="E279" s="16"/>
    </row>
    <row r="280" spans="1:5" x14ac:dyDescent="0.25">
      <c r="A280" s="16" t="s">
        <v>436</v>
      </c>
      <c r="B280" s="35" t="s">
        <v>299</v>
      </c>
      <c r="C280" s="254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f>SUM(C278:C280)</f>
        <v>1903738</v>
      </c>
      <c r="E281" s="16"/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393</v>
      </c>
      <c r="B283" s="35" t="s">
        <v>299</v>
      </c>
      <c r="C283" s="254">
        <f>E211</f>
        <v>16698</v>
      </c>
      <c r="D283" s="16"/>
      <c r="E283" s="16"/>
    </row>
    <row r="284" spans="1:5" x14ac:dyDescent="0.25">
      <c r="A284" s="16" t="s">
        <v>394</v>
      </c>
      <c r="B284" s="35" t="s">
        <v>299</v>
      </c>
      <c r="C284" s="254">
        <f t="shared" ref="C284:C287" si="24">E212</f>
        <v>244149</v>
      </c>
      <c r="D284" s="16"/>
      <c r="E284" s="16"/>
    </row>
    <row r="285" spans="1:5" x14ac:dyDescent="0.25">
      <c r="A285" s="16" t="s">
        <v>395</v>
      </c>
      <c r="B285" s="35" t="s">
        <v>299</v>
      </c>
      <c r="C285" s="254">
        <f t="shared" si="24"/>
        <v>10560026</v>
      </c>
      <c r="D285" s="16"/>
      <c r="E285" s="16"/>
    </row>
    <row r="286" spans="1:5" x14ac:dyDescent="0.25">
      <c r="A286" s="16" t="s">
        <v>439</v>
      </c>
      <c r="B286" s="35" t="s">
        <v>299</v>
      </c>
      <c r="C286" s="254">
        <f t="shared" si="24"/>
        <v>0</v>
      </c>
      <c r="D286" s="16"/>
      <c r="E286" s="16"/>
    </row>
    <row r="287" spans="1:5" x14ac:dyDescent="0.25">
      <c r="A287" s="16" t="s">
        <v>440</v>
      </c>
      <c r="B287" s="35" t="s">
        <v>299</v>
      </c>
      <c r="C287" s="254">
        <f t="shared" si="24"/>
        <v>1780768</v>
      </c>
      <c r="D287" s="16"/>
      <c r="E287" s="16"/>
    </row>
    <row r="288" spans="1:5" x14ac:dyDescent="0.25">
      <c r="A288" s="16" t="s">
        <v>441</v>
      </c>
      <c r="B288" s="35" t="s">
        <v>299</v>
      </c>
      <c r="C288" s="254">
        <f>E216</f>
        <v>4949213</v>
      </c>
      <c r="D288" s="16"/>
      <c r="E288" s="16"/>
    </row>
    <row r="289" spans="1:5" x14ac:dyDescent="0.25">
      <c r="A289" s="16" t="s">
        <v>400</v>
      </c>
      <c r="B289" s="35" t="s">
        <v>299</v>
      </c>
      <c r="C289" s="254">
        <f>E218</f>
        <v>2403540</v>
      </c>
      <c r="D289" s="16"/>
      <c r="E289" s="16"/>
    </row>
    <row r="290" spans="1:5" x14ac:dyDescent="0.25">
      <c r="A290" s="16" t="s">
        <v>401</v>
      </c>
      <c r="B290" s="35" t="s">
        <v>299</v>
      </c>
      <c r="C290" s="254">
        <f>E219</f>
        <v>0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f>SUM(C283:C290)</f>
        <v>19954394</v>
      </c>
      <c r="E291" s="16"/>
    </row>
    <row r="292" spans="1:5" x14ac:dyDescent="0.25">
      <c r="A292" s="16" t="s">
        <v>443</v>
      </c>
      <c r="B292" s="35" t="s">
        <v>299</v>
      </c>
      <c r="C292" s="254">
        <f>E233</f>
        <v>8655645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f>D291-C292</f>
        <v>11298749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299</v>
      </c>
      <c r="C295" s="254">
        <v>0</v>
      </c>
      <c r="D295" s="16"/>
      <c r="E295" s="16"/>
    </row>
    <row r="296" spans="1:5" x14ac:dyDescent="0.25">
      <c r="A296" s="16" t="s">
        <v>447</v>
      </c>
      <c r="B296" s="35" t="s">
        <v>299</v>
      </c>
      <c r="C296" s="254">
        <v>0</v>
      </c>
      <c r="D296" s="16"/>
      <c r="E296" s="16"/>
    </row>
    <row r="297" spans="1:5" x14ac:dyDescent="0.25">
      <c r="A297" s="16" t="s">
        <v>448</v>
      </c>
      <c r="B297" s="35" t="s">
        <v>299</v>
      </c>
      <c r="C297" s="254">
        <v>0</v>
      </c>
      <c r="D297" s="16"/>
      <c r="E297" s="16"/>
    </row>
    <row r="298" spans="1:5" x14ac:dyDescent="0.25">
      <c r="A298" s="16" t="s">
        <v>436</v>
      </c>
      <c r="B298" s="35" t="s">
        <v>299</v>
      </c>
      <c r="C298" s="254">
        <v>34516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f>C295-C296+C297+C298</f>
        <v>34516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299</v>
      </c>
      <c r="C302" s="254">
        <v>0</v>
      </c>
      <c r="D302" s="16"/>
      <c r="E302" s="16"/>
    </row>
    <row r="303" spans="1:5" x14ac:dyDescent="0.25">
      <c r="A303" s="16" t="s">
        <v>452</v>
      </c>
      <c r="B303" s="35" t="s">
        <v>299</v>
      </c>
      <c r="C303" s="254">
        <v>0</v>
      </c>
      <c r="D303" s="16"/>
      <c r="E303" s="16"/>
    </row>
    <row r="304" spans="1:5" x14ac:dyDescent="0.25">
      <c r="A304" s="16" t="s">
        <v>453</v>
      </c>
      <c r="B304" s="35" t="s">
        <v>299</v>
      </c>
      <c r="C304" s="254">
        <v>0</v>
      </c>
      <c r="D304" s="16"/>
      <c r="E304" s="16"/>
    </row>
    <row r="305" spans="1:6" x14ac:dyDescent="0.25">
      <c r="A305" s="16" t="s">
        <v>454</v>
      </c>
      <c r="B305" s="35" t="s">
        <v>299</v>
      </c>
      <c r="C305" s="254">
        <v>0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f>D276+D281+D293+D299+D306</f>
        <v>19763674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19763674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299</v>
      </c>
      <c r="C314" s="254">
        <v>0</v>
      </c>
      <c r="D314" s="16"/>
      <c r="E314" s="16"/>
    </row>
    <row r="315" spans="1:6" x14ac:dyDescent="0.25">
      <c r="A315" s="16" t="s">
        <v>460</v>
      </c>
      <c r="B315" s="35" t="s">
        <v>299</v>
      </c>
      <c r="C315" s="254">
        <v>553703</v>
      </c>
      <c r="D315" s="16"/>
      <c r="E315" s="16"/>
    </row>
    <row r="316" spans="1:6" x14ac:dyDescent="0.25">
      <c r="A316" s="16" t="s">
        <v>461</v>
      </c>
      <c r="B316" s="35" t="s">
        <v>299</v>
      </c>
      <c r="C316" s="254">
        <v>525196</v>
      </c>
      <c r="D316" s="16"/>
      <c r="E316" s="16"/>
    </row>
    <row r="317" spans="1:6" x14ac:dyDescent="0.25">
      <c r="A317" s="16" t="s">
        <v>462</v>
      </c>
      <c r="B317" s="35" t="s">
        <v>299</v>
      </c>
      <c r="C317" s="254">
        <v>0</v>
      </c>
      <c r="D317" s="16"/>
      <c r="E317" s="16"/>
    </row>
    <row r="318" spans="1:6" x14ac:dyDescent="0.25">
      <c r="A318" s="16" t="s">
        <v>463</v>
      </c>
      <c r="B318" s="35" t="s">
        <v>299</v>
      </c>
      <c r="C318" s="254">
        <v>0</v>
      </c>
      <c r="D318" s="16"/>
      <c r="E318" s="16"/>
    </row>
    <row r="319" spans="1:6" x14ac:dyDescent="0.25">
      <c r="A319" s="16" t="s">
        <v>464</v>
      </c>
      <c r="B319" s="35" t="s">
        <v>299</v>
      </c>
      <c r="C319" s="254">
        <v>0</v>
      </c>
      <c r="D319" s="16"/>
      <c r="E319" s="16"/>
    </row>
    <row r="320" spans="1:6" x14ac:dyDescent="0.25">
      <c r="A320" s="16" t="s">
        <v>465</v>
      </c>
      <c r="B320" s="35" t="s">
        <v>299</v>
      </c>
      <c r="C320" s="254">
        <v>0</v>
      </c>
      <c r="D320" s="16"/>
      <c r="E320" s="16"/>
    </row>
    <row r="321" spans="1:5" x14ac:dyDescent="0.25">
      <c r="A321" s="16" t="s">
        <v>466</v>
      </c>
      <c r="B321" s="35" t="s">
        <v>299</v>
      </c>
      <c r="C321" s="254">
        <v>0</v>
      </c>
      <c r="D321" s="16"/>
      <c r="E321" s="16"/>
    </row>
    <row r="322" spans="1:5" x14ac:dyDescent="0.25">
      <c r="A322" s="16" t="s">
        <v>467</v>
      </c>
      <c r="B322" s="35" t="s">
        <v>299</v>
      </c>
      <c r="C322" s="254">
        <v>161768</v>
      </c>
      <c r="D322" s="16"/>
      <c r="E322" s="16"/>
    </row>
    <row r="323" spans="1:5" x14ac:dyDescent="0.25">
      <c r="A323" s="16" t="s">
        <v>468</v>
      </c>
      <c r="B323" s="35" t="s">
        <v>299</v>
      </c>
      <c r="C323" s="254">
        <v>0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f>SUM(C314:C323)</f>
        <v>1240667</v>
      </c>
      <c r="E324" s="16"/>
    </row>
    <row r="325" spans="1:5" x14ac:dyDescent="0.25">
      <c r="A325" s="34" t="s">
        <v>470</v>
      </c>
      <c r="B325" s="34"/>
      <c r="C325" s="34"/>
      <c r="D325" s="34"/>
      <c r="E325" s="34"/>
    </row>
    <row r="326" spans="1:5" x14ac:dyDescent="0.25">
      <c r="A326" s="16" t="s">
        <v>471</v>
      </c>
      <c r="B326" s="35" t="s">
        <v>299</v>
      </c>
      <c r="C326" s="254">
        <v>0</v>
      </c>
      <c r="D326" s="16"/>
      <c r="E326" s="16"/>
    </row>
    <row r="327" spans="1:5" x14ac:dyDescent="0.25">
      <c r="A327" s="16" t="s">
        <v>472</v>
      </c>
      <c r="B327" s="35" t="s">
        <v>299</v>
      </c>
      <c r="C327" s="254">
        <v>492000</v>
      </c>
      <c r="D327" s="16"/>
      <c r="E327" s="16"/>
    </row>
    <row r="328" spans="1:5" x14ac:dyDescent="0.25">
      <c r="A328" s="16" t="s">
        <v>473</v>
      </c>
      <c r="B328" s="35" t="s">
        <v>299</v>
      </c>
      <c r="C328" s="254">
        <v>0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f>SUM(C326:C328)</f>
        <v>492000</v>
      </c>
      <c r="E329" s="16"/>
    </row>
    <row r="330" spans="1:5" x14ac:dyDescent="0.25">
      <c r="A330" s="34" t="s">
        <v>475</v>
      </c>
      <c r="B330" s="34"/>
      <c r="C330" s="34"/>
      <c r="D330" s="34"/>
      <c r="E330" s="34"/>
    </row>
    <row r="331" spans="1:5" x14ac:dyDescent="0.25">
      <c r="A331" s="16" t="s">
        <v>476</v>
      </c>
      <c r="B331" s="35" t="s">
        <v>299</v>
      </c>
      <c r="C331" s="254">
        <v>0</v>
      </c>
      <c r="D331" s="16"/>
      <c r="E331" s="16"/>
    </row>
    <row r="332" spans="1:5" x14ac:dyDescent="0.25">
      <c r="A332" s="16" t="s">
        <v>477</v>
      </c>
      <c r="B332" s="35" t="s">
        <v>299</v>
      </c>
      <c r="C332" s="254">
        <v>0</v>
      </c>
      <c r="D332" s="16"/>
      <c r="E332" s="16"/>
    </row>
    <row r="333" spans="1:5" x14ac:dyDescent="0.25">
      <c r="A333" s="16" t="s">
        <v>478</v>
      </c>
      <c r="B333" s="35" t="s">
        <v>299</v>
      </c>
      <c r="C333" s="254">
        <v>0</v>
      </c>
      <c r="D333" s="16"/>
      <c r="E333" s="16"/>
    </row>
    <row r="334" spans="1:5" x14ac:dyDescent="0.25">
      <c r="A334" s="21" t="s">
        <v>479</v>
      </c>
      <c r="B334" s="35" t="s">
        <v>299</v>
      </c>
      <c r="C334" s="254">
        <v>1960999</v>
      </c>
      <c r="D334" s="16"/>
      <c r="E334" s="16"/>
    </row>
    <row r="335" spans="1:5" x14ac:dyDescent="0.25">
      <c r="A335" s="16" t="s">
        <v>480</v>
      </c>
      <c r="B335" s="35" t="s">
        <v>299</v>
      </c>
      <c r="C335" s="254">
        <v>7610614</v>
      </c>
      <c r="D335" s="16"/>
      <c r="E335" s="16"/>
    </row>
    <row r="336" spans="1:5" x14ac:dyDescent="0.25">
      <c r="A336" s="21" t="s">
        <v>481</v>
      </c>
      <c r="B336" s="35" t="s">
        <v>299</v>
      </c>
      <c r="C336" s="254">
        <v>0</v>
      </c>
      <c r="D336" s="16"/>
      <c r="E336" s="16"/>
    </row>
    <row r="337" spans="1:5" x14ac:dyDescent="0.25">
      <c r="A337" s="21" t="s">
        <v>482</v>
      </c>
      <c r="B337" s="35" t="s">
        <v>299</v>
      </c>
      <c r="C337" s="277">
        <v>0</v>
      </c>
      <c r="D337" s="16"/>
      <c r="E337" s="16"/>
    </row>
    <row r="338" spans="1:5" x14ac:dyDescent="0.25">
      <c r="A338" s="16" t="s">
        <v>483</v>
      </c>
      <c r="B338" s="35" t="s">
        <v>299</v>
      </c>
      <c r="C338" s="254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9571613</v>
      </c>
      <c r="E339" s="16"/>
    </row>
    <row r="340" spans="1:5" x14ac:dyDescent="0.25">
      <c r="A340" s="16" t="s">
        <v>485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486</v>
      </c>
      <c r="B341" s="16"/>
      <c r="C341" s="22"/>
      <c r="D341" s="25">
        <f>D339-D340</f>
        <v>9571613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9">
        <v>8459394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f>D324+D329+D341+C343+C347+C348</f>
        <v>19763674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f>D308</f>
        <v>19763674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4">
        <v>1417949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4">
        <v>10724014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f>SUM(C358:C359)</f>
        <v>12141963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404</v>
      </c>
      <c r="B362" s="34"/>
      <c r="C362" s="254">
        <v>1358931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4">
        <v>2673525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4">
        <v>850453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4">
        <v>0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f>SUM(C362:C365)</f>
        <v>4882909</v>
      </c>
      <c r="E366" s="16"/>
    </row>
    <row r="367" spans="1:5" x14ac:dyDescent="0.25">
      <c r="A367" s="16" t="s">
        <v>504</v>
      </c>
      <c r="B367" s="16"/>
      <c r="C367" s="22"/>
      <c r="D367" s="25">
        <f>D360-D366</f>
        <v>7259054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4">
        <v>0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4">
        <v>1529191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4">
        <v>30099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4">
        <v>900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4">
        <v>0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6">
        <v>36343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518</v>
      </c>
      <c r="B381" s="35"/>
      <c r="C381" s="35"/>
      <c r="D381" s="25">
        <f>SUM(C370:C380)</f>
        <v>1596533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4">
        <v>1234465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f>D381+C382</f>
        <v>2830998</v>
      </c>
      <c r="E383" s="16"/>
    </row>
    <row r="384" spans="1:6" x14ac:dyDescent="0.25">
      <c r="A384" s="16" t="s">
        <v>521</v>
      </c>
      <c r="B384" s="16"/>
      <c r="C384" s="22"/>
      <c r="D384" s="25">
        <f>D367+D383</f>
        <v>10090052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4">
        <v>6134087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4">
        <v>1400347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4">
        <v>3249030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4">
        <v>883932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4">
        <v>248396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4">
        <v>0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4">
        <v>761318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4">
        <v>70672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6">
        <v>203242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6">
        <f>49865+90697</f>
        <v>140562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6">
        <v>354135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4">
        <v>0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4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4">
        <v>140760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4">
        <v>67887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4">
        <v>11143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4">
        <v>0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6">
        <f>402044-SUM(C401:C413)</f>
        <v>182254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f>SUM(C401:C414)</f>
        <v>402044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f>SUM(C389:C399,D415)</f>
        <v>13847765</v>
      </c>
      <c r="E416" s="25"/>
    </row>
    <row r="417" spans="1:13" x14ac:dyDescent="0.25">
      <c r="A417" s="25" t="s">
        <v>535</v>
      </c>
      <c r="B417" s="16"/>
      <c r="C417" s="22"/>
      <c r="D417" s="25">
        <f>D384-D416</f>
        <v>-3757713</v>
      </c>
      <c r="E417" s="25"/>
    </row>
    <row r="418" spans="1:13" x14ac:dyDescent="0.25">
      <c r="A418" s="25" t="s">
        <v>536</v>
      </c>
      <c r="B418" s="16"/>
      <c r="C418" s="256">
        <v>31738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f>SUM(C418:C419)</f>
        <v>31738</v>
      </c>
      <c r="E420" s="25"/>
      <c r="F420" s="11">
        <f>D420-C399</f>
        <v>-322397</v>
      </c>
    </row>
    <row r="421" spans="1:13" x14ac:dyDescent="0.25">
      <c r="A421" s="25" t="s">
        <v>539</v>
      </c>
      <c r="B421" s="16"/>
      <c r="C421" s="22"/>
      <c r="D421" s="25">
        <f>D417+D420</f>
        <v>-3725975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f>D421+C422-C423</f>
        <v>-3725975</v>
      </c>
      <c r="E424" s="16"/>
    </row>
    <row r="426" spans="1:13" ht="29.25" customHeight="1" x14ac:dyDescent="0.25">
      <c r="A426" s="321" t="s">
        <v>1381</v>
      </c>
      <c r="B426" s="321"/>
      <c r="C426" s="321"/>
      <c r="D426" s="321"/>
      <c r="E426" s="321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543</v>
      </c>
      <c r="D612" s="217">
        <f>CE90-(BE90+CD90)</f>
        <v>16400</v>
      </c>
      <c r="E612" s="219">
        <f>SUM(C624:D647)+SUM(C668:D713)</f>
        <v>11521074.307499997</v>
      </c>
      <c r="F612" s="219">
        <f>CE64-(AX64+BD64+BE64+BG64+BJ64+BN64+BP64+BQ64+CB64+CC64+CD64)</f>
        <v>844896</v>
      </c>
      <c r="G612" s="217">
        <f>CE91-(AX91+AY91+BD91+BE91+BG91+BJ91+BN91+BP91+BQ91+CB91+CC91+CD91)</f>
        <v>5045</v>
      </c>
      <c r="H612" s="222">
        <f>CE60-(AX60+AY60+AZ60+BD60+BE60+BG60+BJ60+BN60+BO60+BP60+BQ60+BR60+CB60+CC60+CD60)</f>
        <v>60.759999999999991</v>
      </c>
      <c r="I612" s="217">
        <f>CE92-(AX92+AY92+AZ92+BD92+BE92+BF92+BG92+BJ92+BN92+BO92+BP92+BQ92+BR92+CB92+CC92+CD92)</f>
        <v>5027</v>
      </c>
      <c r="J612" s="217">
        <f>CE93-(AX93+AY93+AZ93+BA93+BD93+BE93+BF93+BG93+BJ93+BN93+BO93+BP93+BQ93+BR93+CB93+CC93+CD93)</f>
        <v>19232</v>
      </c>
      <c r="K612" s="217">
        <f>CE89-(AW89+AX89+AY89+AZ89+BA89+BB89+BC89+BD89+BE89+BF89+BG89+BH89+BI89+BJ89+BK89+BL89+BM89+BN89+BO89+BP89+BQ89+BR89+BS89+BT89+BU89+BV89+BW89+BX89+CB89+CC89+CD89)</f>
        <v>12141963</v>
      </c>
      <c r="L612" s="223">
        <f>CE94-(AW94+AX94+AY94+AZ94+BA94+BB94+BC94+BD94+BE94+BF94+BG94+BH94+BI94+BJ94+BK94+BL94+BM94+BN94+BO94+BP94+BQ94+BR94+BS94+BT94+BU94+BV94+BW94+BX94+BY94+BZ94+CA94+CB94+CC94+CD94)</f>
        <v>17.689999999999998</v>
      </c>
    </row>
    <row r="613" spans="1:14" s="202" customFormat="1" ht="12.6" customHeight="1" x14ac:dyDescent="0.2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" customHeight="1" x14ac:dyDescent="0.2">
      <c r="A614" s="212">
        <v>8430</v>
      </c>
      <c r="B614" s="211" t="s">
        <v>167</v>
      </c>
      <c r="C614" s="217">
        <f>BE85</f>
        <v>787487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" customHeight="1" x14ac:dyDescent="0.2">
      <c r="A615" s="212"/>
      <c r="B615" s="211" t="s">
        <v>555</v>
      </c>
      <c r="C615" s="217">
        <f>CD69-CD84</f>
        <v>0</v>
      </c>
      <c r="D615" s="217">
        <f>SUM(C614:C615)</f>
        <v>787487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" customHeight="1" x14ac:dyDescent="0.2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" customHeight="1" x14ac:dyDescent="0.2">
      <c r="A617" s="212">
        <v>8510</v>
      </c>
      <c r="B617" s="216" t="s">
        <v>172</v>
      </c>
      <c r="C617" s="217">
        <f>BJ85</f>
        <v>60590</v>
      </c>
      <c r="D617" s="217">
        <f>(D615/D612)*BJ90</f>
        <v>5041.8374999999996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" customHeight="1" x14ac:dyDescent="0.2">
      <c r="A618" s="212">
        <v>8470</v>
      </c>
      <c r="B618" s="216" t="s">
        <v>560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" customHeight="1" x14ac:dyDescent="0.2">
      <c r="A619" s="212">
        <v>8610</v>
      </c>
      <c r="B619" s="216" t="s">
        <v>562</v>
      </c>
      <c r="C619" s="217">
        <f>BN85</f>
        <v>1385169</v>
      </c>
      <c r="D619" s="217">
        <f>(D615/D612)*BN90</f>
        <v>177952.85499999998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" customHeight="1" x14ac:dyDescent="0.2">
      <c r="A620" s="212">
        <v>8790</v>
      </c>
      <c r="B620" s="216" t="s">
        <v>564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" customHeight="1" x14ac:dyDescent="0.2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" customHeight="1" x14ac:dyDescent="0.2">
      <c r="A622" s="212">
        <v>8770</v>
      </c>
      <c r="B622" s="211" t="s">
        <v>568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" customHeight="1" x14ac:dyDescent="0.2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1628753.6924999999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" customHeight="1" x14ac:dyDescent="0.2">
      <c r="A624" s="212">
        <v>8420</v>
      </c>
      <c r="B624" s="216" t="s">
        <v>166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572</v>
      </c>
    </row>
    <row r="625" spans="1:14" s="202" customFormat="1" ht="12.6" customHeight="1" x14ac:dyDescent="0.2">
      <c r="A625" s="212">
        <v>8320</v>
      </c>
      <c r="B625" s="216" t="s">
        <v>162</v>
      </c>
      <c r="C625" s="217">
        <f>AY85</f>
        <v>273075</v>
      </c>
      <c r="D625" s="217">
        <f>(D615/D612)*AY90</f>
        <v>26937.817499999997</v>
      </c>
      <c r="E625" s="219">
        <f>(E623/E612)*SUM(C625:D625)</f>
        <v>42413.317652361104</v>
      </c>
      <c r="F625" s="219">
        <f>(F624/F612)*AY64</f>
        <v>0</v>
      </c>
      <c r="G625" s="217">
        <f>SUM(C625:F625)</f>
        <v>342426.13515236112</v>
      </c>
      <c r="H625" s="219"/>
      <c r="I625" s="217"/>
      <c r="J625" s="217"/>
      <c r="N625" s="213" t="s">
        <v>573</v>
      </c>
    </row>
    <row r="626" spans="1:14" s="202" customFormat="1" ht="12.6" customHeight="1" x14ac:dyDescent="0.2">
      <c r="A626" s="212">
        <v>8650</v>
      </c>
      <c r="B626" s="216" t="s">
        <v>179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2" customFormat="1" ht="12.6" customHeight="1" x14ac:dyDescent="0.2">
      <c r="A627" s="212">
        <v>8620</v>
      </c>
      <c r="B627" s="211" t="s">
        <v>575</v>
      </c>
      <c r="C627" s="217">
        <f>BO85</f>
        <v>13130</v>
      </c>
      <c r="D627" s="217">
        <f>(D615/D612)*BO90</f>
        <v>0</v>
      </c>
      <c r="E627" s="219">
        <f>(E623/E612)*SUM(C627:D627)</f>
        <v>1856.2102293362893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2" customFormat="1" ht="12.6" customHeight="1" x14ac:dyDescent="0.2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14986.21022933629</v>
      </c>
      <c r="I628" s="217"/>
      <c r="J628" s="217"/>
      <c r="N628" s="213" t="s">
        <v>577</v>
      </c>
    </row>
    <row r="629" spans="1:14" s="202" customFormat="1" ht="12.6" customHeight="1" x14ac:dyDescent="0.2">
      <c r="A629" s="212">
        <v>8460</v>
      </c>
      <c r="B629" s="216" t="s">
        <v>168</v>
      </c>
      <c r="C629" s="217">
        <f>BF85</f>
        <v>281266</v>
      </c>
      <c r="D629" s="217">
        <f>(D615/D612)*BF90</f>
        <v>5522.0124999999998</v>
      </c>
      <c r="E629" s="219">
        <f>(E623/E612)*SUM(C629:D629)</f>
        <v>40543.704680390219</v>
      </c>
      <c r="F629" s="219">
        <f>(F624/F612)*BF64</f>
        <v>0</v>
      </c>
      <c r="G629" s="217">
        <f>(G625/G612)*BF91</f>
        <v>0</v>
      </c>
      <c r="H629" s="219">
        <f>(H628/H612)*BF60</f>
        <v>1114.8398656451618</v>
      </c>
      <c r="I629" s="217">
        <f>SUM(C629:H629)</f>
        <v>328446.55704603542</v>
      </c>
      <c r="J629" s="217"/>
      <c r="N629" s="213" t="s">
        <v>578</v>
      </c>
    </row>
    <row r="630" spans="1:14" s="202" customFormat="1" ht="12.6" customHeight="1" x14ac:dyDescent="0.2">
      <c r="A630" s="212">
        <v>8350</v>
      </c>
      <c r="B630" s="216" t="s">
        <v>579</v>
      </c>
      <c r="C630" s="217">
        <f>BA85</f>
        <v>35502</v>
      </c>
      <c r="D630" s="217">
        <f>(D615/D612)*BA90</f>
        <v>1872.6824999999999</v>
      </c>
      <c r="E630" s="219">
        <f>(E623/E612)*SUM(C630:D630)</f>
        <v>5283.7218564124905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1045.383909436357</v>
      </c>
      <c r="J630" s="217">
        <f>SUM(C630:I630)</f>
        <v>43703.788265848852</v>
      </c>
      <c r="N630" s="213" t="s">
        <v>580</v>
      </c>
    </row>
    <row r="631" spans="1:14" s="202" customFormat="1" ht="12.6" customHeight="1" x14ac:dyDescent="0.2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582</v>
      </c>
    </row>
    <row r="632" spans="1:14" s="202" customFormat="1" ht="12.6" customHeight="1" x14ac:dyDescent="0.2">
      <c r="A632" s="212">
        <v>8360</v>
      </c>
      <c r="B632" s="216" t="s">
        <v>583</v>
      </c>
      <c r="C632" s="217">
        <f>BB85</f>
        <v>70979</v>
      </c>
      <c r="D632" s="217">
        <f>(D615/D612)*BB90</f>
        <v>18150.614999999998</v>
      </c>
      <c r="E632" s="219">
        <f>(E623/E612)*SUM(C632:D632)</f>
        <v>12600.403891835884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10388.502600023798</v>
      </c>
      <c r="J632" s="217">
        <f>(J630/J612)*BB93</f>
        <v>0</v>
      </c>
      <c r="N632" s="213" t="s">
        <v>584</v>
      </c>
    </row>
    <row r="633" spans="1:14" s="202" customFormat="1" ht="12.6" customHeight="1" x14ac:dyDescent="0.2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586</v>
      </c>
    </row>
    <row r="634" spans="1:14" s="202" customFormat="1" ht="12.6" customHeight="1" x14ac:dyDescent="0.2">
      <c r="A634" s="212">
        <v>8490</v>
      </c>
      <c r="B634" s="216" t="s">
        <v>587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588</v>
      </c>
    </row>
    <row r="635" spans="1:14" s="202" customFormat="1" ht="12.6" customHeight="1" x14ac:dyDescent="0.2">
      <c r="A635" s="212">
        <v>8530</v>
      </c>
      <c r="B635" s="216" t="s">
        <v>589</v>
      </c>
      <c r="C635" s="217">
        <f>BK85</f>
        <v>739462</v>
      </c>
      <c r="D635" s="217">
        <f>(D615/D612)*BK90</f>
        <v>14549.3025</v>
      </c>
      <c r="E635" s="219">
        <f>(E623/E612)*SUM(C635:D635)</f>
        <v>106595.84864704336</v>
      </c>
      <c r="F635" s="219">
        <f>(F624/F612)*BK64</f>
        <v>0</v>
      </c>
      <c r="G635" s="217">
        <f>(G625/G612)*BK91</f>
        <v>0</v>
      </c>
      <c r="H635" s="219">
        <f>(H628/H612)*BK60</f>
        <v>1918.9057864423362</v>
      </c>
      <c r="I635" s="217">
        <f>(I629/I612)*BK92</f>
        <v>8363.0712754908564</v>
      </c>
      <c r="J635" s="217">
        <f>(J630/J612)*BK93</f>
        <v>0</v>
      </c>
      <c r="N635" s="213" t="s">
        <v>590</v>
      </c>
    </row>
    <row r="636" spans="1:14" s="202" customFormat="1" ht="12.6" customHeight="1" x14ac:dyDescent="0.2">
      <c r="A636" s="212">
        <v>8480</v>
      </c>
      <c r="B636" s="216" t="s">
        <v>591</v>
      </c>
      <c r="C636" s="217">
        <f>BH85</f>
        <v>795427</v>
      </c>
      <c r="D636" s="217">
        <f>(D615/D612)*BH90</f>
        <v>61126.277499999997</v>
      </c>
      <c r="E636" s="219">
        <f>(E623/E612)*SUM(C636:D636)</f>
        <v>121092.38047730581</v>
      </c>
      <c r="F636" s="219">
        <f>(F624/F612)*BH64</f>
        <v>0</v>
      </c>
      <c r="G636" s="217">
        <f>(G625/G612)*BH91</f>
        <v>0</v>
      </c>
      <c r="H636" s="219">
        <f>(H628/H612)*BH60</f>
        <v>456.29507775299771</v>
      </c>
      <c r="I636" s="217">
        <f>(I629/I612)*BH92</f>
        <v>35085.697460457734</v>
      </c>
      <c r="J636" s="217">
        <f>(J630/J612)*BH93</f>
        <v>0</v>
      </c>
      <c r="N636" s="213" t="s">
        <v>592</v>
      </c>
    </row>
    <row r="637" spans="1:14" s="202" customFormat="1" ht="12.6" customHeight="1" x14ac:dyDescent="0.2">
      <c r="A637" s="212">
        <v>8560</v>
      </c>
      <c r="B637" s="216" t="s">
        <v>174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593</v>
      </c>
    </row>
    <row r="638" spans="1:14" s="202" customFormat="1" ht="12.6" customHeight="1" x14ac:dyDescent="0.2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595</v>
      </c>
    </row>
    <row r="639" spans="1:14" s="202" customFormat="1" ht="12.6" customHeight="1" x14ac:dyDescent="0.2">
      <c r="A639" s="212">
        <v>8660</v>
      </c>
      <c r="B639" s="216" t="s">
        <v>596</v>
      </c>
      <c r="C639" s="217">
        <f>BS85</f>
        <v>14994</v>
      </c>
      <c r="D639" s="217">
        <f>(D615/D612)*BS90</f>
        <v>0</v>
      </c>
      <c r="E639" s="219">
        <f>(E623/E612)*SUM(C639:D639)</f>
        <v>2119.7270509267573</v>
      </c>
      <c r="F639" s="219">
        <f>(F624/F612)*BS64</f>
        <v>0</v>
      </c>
      <c r="G639" s="217">
        <f>(G625/G612)*BS91</f>
        <v>0</v>
      </c>
      <c r="H639" s="219">
        <f>(H628/H612)*BS60</f>
        <v>7.3993796392378002</v>
      </c>
      <c r="I639" s="217">
        <f>(I629/I612)*BS92</f>
        <v>0</v>
      </c>
      <c r="J639" s="217">
        <f>(J630/J612)*BS93</f>
        <v>0</v>
      </c>
      <c r="N639" s="213" t="s">
        <v>597</v>
      </c>
    </row>
    <row r="640" spans="1:14" s="202" customFormat="1" ht="12.6" customHeight="1" x14ac:dyDescent="0.2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599</v>
      </c>
    </row>
    <row r="641" spans="1:14" s="202" customFormat="1" ht="12.6" customHeight="1" x14ac:dyDescent="0.2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601</v>
      </c>
    </row>
    <row r="642" spans="1:14" s="202" customFormat="1" ht="12.6" customHeight="1" x14ac:dyDescent="0.2">
      <c r="A642" s="212">
        <v>8690</v>
      </c>
      <c r="B642" s="216" t="s">
        <v>602</v>
      </c>
      <c r="C642" s="217">
        <f>BV85</f>
        <v>143773</v>
      </c>
      <c r="D642" s="217">
        <f>(D615/D612)*BV90</f>
        <v>44752.31</v>
      </c>
      <c r="E642" s="219">
        <f>(E623/E612)*SUM(C642:D642)</f>
        <v>26652.140815749812</v>
      </c>
      <c r="F642" s="219">
        <f>(F624/F612)*BV64</f>
        <v>0</v>
      </c>
      <c r="G642" s="217">
        <f>(G625/G612)*BV91</f>
        <v>0</v>
      </c>
      <c r="H642" s="219">
        <f>(H628/H612)*BV60</f>
        <v>244.1795280948474</v>
      </c>
      <c r="I642" s="217">
        <f>(I629/I612)*BV92</f>
        <v>25677.24227553052</v>
      </c>
      <c r="J642" s="217">
        <f>(J630/J612)*BV93</f>
        <v>0</v>
      </c>
      <c r="N642" s="213" t="s">
        <v>603</v>
      </c>
    </row>
    <row r="643" spans="1:14" s="202" customFormat="1" ht="12.6" customHeight="1" x14ac:dyDescent="0.2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605</v>
      </c>
    </row>
    <row r="644" spans="1:14" s="202" customFormat="1" ht="12.6" customHeight="1" x14ac:dyDescent="0.2">
      <c r="A644" s="212">
        <v>8710</v>
      </c>
      <c r="B644" s="216" t="s">
        <v>606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2254415.2992662941</v>
      </c>
      <c r="L644" s="219"/>
      <c r="N644" s="213" t="s">
        <v>607</v>
      </c>
    </row>
    <row r="645" spans="1:14" s="202" customFormat="1" ht="12.6" customHeight="1" x14ac:dyDescent="0.2">
      <c r="A645" s="212">
        <v>8720</v>
      </c>
      <c r="B645" s="216" t="s">
        <v>608</v>
      </c>
      <c r="C645" s="217">
        <f>BY85</f>
        <v>217874</v>
      </c>
      <c r="D645" s="217">
        <f>(D615/D612)*BY90</f>
        <v>5137.8724999999995</v>
      </c>
      <c r="E645" s="219">
        <f>(E623/E612)*SUM(C645:D645)</f>
        <v>31527.564280117313</v>
      </c>
      <c r="F645" s="219">
        <f>(F624/F612)*BY64</f>
        <v>0</v>
      </c>
      <c r="G645" s="217">
        <f>(G625/G612)*BY91</f>
        <v>0</v>
      </c>
      <c r="H645" s="219">
        <f>(H628/H612)*BY60</f>
        <v>202.24971013916652</v>
      </c>
      <c r="I645" s="217">
        <f>(I629/I612)*BY92</f>
        <v>2940.1422452897541</v>
      </c>
      <c r="J645" s="217">
        <f>(J630/J612)*BY93</f>
        <v>0</v>
      </c>
      <c r="K645" s="219">
        <v>0</v>
      </c>
      <c r="L645" s="219"/>
      <c r="N645" s="213" t="s">
        <v>609</v>
      </c>
    </row>
    <row r="646" spans="1:14" s="202" customFormat="1" ht="12.6" customHeight="1" x14ac:dyDescent="0.2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611</v>
      </c>
    </row>
    <row r="647" spans="1:14" s="202" customFormat="1" ht="12.6" customHeight="1" x14ac:dyDescent="0.2">
      <c r="A647" s="212">
        <v>8740</v>
      </c>
      <c r="B647" s="216" t="s">
        <v>612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257681.82873554624</v>
      </c>
      <c r="N647" s="213" t="s">
        <v>613</v>
      </c>
    </row>
    <row r="648" spans="1:14" s="202" customFormat="1" ht="12.6" customHeight="1" x14ac:dyDescent="0.2">
      <c r="A648" s="212"/>
      <c r="B648" s="212"/>
      <c r="C648" s="202">
        <f>SUM(C614:C647)</f>
        <v>4818728</v>
      </c>
      <c r="L648" s="215"/>
    </row>
    <row r="666" spans="1:14" s="202" customFormat="1" ht="12.6" customHeight="1" x14ac:dyDescent="0.2">
      <c r="C666" s="210" t="s">
        <v>614</v>
      </c>
      <c r="M666" s="210" t="s">
        <v>615</v>
      </c>
    </row>
    <row r="667" spans="1:14" s="202" customFormat="1" ht="12.6" customHeight="1" x14ac:dyDescent="0.2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" customHeight="1" x14ac:dyDescent="0.2">
      <c r="A668" s="212">
        <v>6010</v>
      </c>
      <c r="B668" s="211" t="s">
        <v>342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5">ROUND(SUM(D668:L668),0)</f>
        <v>0</v>
      </c>
      <c r="N668" s="211" t="s">
        <v>617</v>
      </c>
    </row>
    <row r="669" spans="1:14" s="202" customFormat="1" ht="12.6" customHeight="1" x14ac:dyDescent="0.2">
      <c r="A669" s="212">
        <v>6030</v>
      </c>
      <c r="B669" s="211" t="s">
        <v>343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5"/>
        <v>0</v>
      </c>
      <c r="N669" s="211" t="s">
        <v>618</v>
      </c>
    </row>
    <row r="670" spans="1:14" s="202" customFormat="1" ht="12.6" customHeight="1" x14ac:dyDescent="0.2">
      <c r="A670" s="212">
        <v>6070</v>
      </c>
      <c r="B670" s="211" t="s">
        <v>619</v>
      </c>
      <c r="C670" s="217">
        <f>E85</f>
        <v>347244</v>
      </c>
      <c r="D670" s="217">
        <f>(D615/D612)*E90</f>
        <v>13444.9</v>
      </c>
      <c r="E670" s="219">
        <f>(E623/E612)*SUM(C670:D670)</f>
        <v>50991.19769901401</v>
      </c>
      <c r="F670" s="219">
        <f>(F624/F612)*E64</f>
        <v>0</v>
      </c>
      <c r="G670" s="217">
        <f>(G625/G612)*E91</f>
        <v>53620.742670042673</v>
      </c>
      <c r="H670" s="219">
        <f>(H628/H612)*E60</f>
        <v>436.56339871503019</v>
      </c>
      <c r="I670" s="217">
        <f>(I629/I612)*E92</f>
        <v>7709.7063320931329</v>
      </c>
      <c r="J670" s="217">
        <f>(J630/J612)*E93</f>
        <v>3979.0626691712432</v>
      </c>
      <c r="K670" s="217">
        <f>(K644/K612)*E89</f>
        <v>96625.068901616061</v>
      </c>
      <c r="L670" s="217">
        <f>(L647/L612)*E94</f>
        <v>20393.135117567257</v>
      </c>
      <c r="M670" s="202">
        <f t="shared" si="25"/>
        <v>247200</v>
      </c>
      <c r="N670" s="211" t="s">
        <v>620</v>
      </c>
    </row>
    <row r="671" spans="1:14" s="202" customFormat="1" ht="12.6" customHeight="1" x14ac:dyDescent="0.2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5"/>
        <v>0</v>
      </c>
      <c r="N671" s="211" t="s">
        <v>622</v>
      </c>
    </row>
    <row r="672" spans="1:14" s="202" customFormat="1" ht="12.6" customHeight="1" x14ac:dyDescent="0.2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5"/>
        <v>0</v>
      </c>
      <c r="N672" s="211" t="s">
        <v>624</v>
      </c>
    </row>
    <row r="673" spans="1:14" s="202" customFormat="1" ht="12.6" customHeight="1" x14ac:dyDescent="0.2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5"/>
        <v>0</v>
      </c>
      <c r="N673" s="211" t="s">
        <v>626</v>
      </c>
    </row>
    <row r="674" spans="1:14" s="202" customFormat="1" ht="12.6" customHeight="1" x14ac:dyDescent="0.2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5"/>
        <v>0</v>
      </c>
      <c r="N674" s="211" t="s">
        <v>628</v>
      </c>
    </row>
    <row r="675" spans="1:14" s="202" customFormat="1" ht="12.6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5"/>
        <v>0</v>
      </c>
      <c r="N675" s="211" t="s">
        <v>629</v>
      </c>
    </row>
    <row r="676" spans="1:14" s="202" customFormat="1" ht="12.6" customHeight="1" x14ac:dyDescent="0.2">
      <c r="A676" s="212">
        <v>6200</v>
      </c>
      <c r="B676" s="211" t="s">
        <v>348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5"/>
        <v>0</v>
      </c>
      <c r="N676" s="211" t="s">
        <v>630</v>
      </c>
    </row>
    <row r="677" spans="1:14" s="202" customFormat="1" ht="12.6" customHeight="1" x14ac:dyDescent="0.2">
      <c r="A677" s="212">
        <v>6210</v>
      </c>
      <c r="B677" s="211" t="s">
        <v>349</v>
      </c>
      <c r="C677" s="217">
        <f>L85</f>
        <v>1761552</v>
      </c>
      <c r="D677" s="217">
        <f>(D615/D612)*L90</f>
        <v>68280.884999999995</v>
      </c>
      <c r="E677" s="219">
        <f>(E623/E612)*SUM(C677:D677)</f>
        <v>258686.55895757303</v>
      </c>
      <c r="F677" s="219">
        <f>(F624/F612)*L64</f>
        <v>0</v>
      </c>
      <c r="G677" s="217">
        <f>(G625/G612)*L91</f>
        <v>272040.42610320385</v>
      </c>
      <c r="H677" s="219">
        <f>(H628/H612)*L60</f>
        <v>2212.4145121321026</v>
      </c>
      <c r="I677" s="217">
        <f>(I629/I612)*L92</f>
        <v>39201.896603863388</v>
      </c>
      <c r="J677" s="217">
        <f>(J630/J612)*L93</f>
        <v>20188.459596183508</v>
      </c>
      <c r="K677" s="217">
        <f>(K644/K612)*L89</f>
        <v>137153.60830987699</v>
      </c>
      <c r="L677" s="217">
        <f>(L647/L612)*L94</f>
        <v>103276.66284539418</v>
      </c>
      <c r="M677" s="202">
        <f t="shared" si="25"/>
        <v>901041</v>
      </c>
      <c r="N677" s="211" t="s">
        <v>631</v>
      </c>
    </row>
    <row r="678" spans="1:14" s="202" customFormat="1" ht="12.6" customHeight="1" x14ac:dyDescent="0.2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5"/>
        <v>0</v>
      </c>
      <c r="N678" s="211" t="s">
        <v>633</v>
      </c>
    </row>
    <row r="679" spans="1:14" s="202" customFormat="1" ht="12.6" customHeight="1" x14ac:dyDescent="0.2">
      <c r="A679" s="212">
        <v>6400</v>
      </c>
      <c r="B679" s="211" t="s">
        <v>634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5"/>
        <v>0</v>
      </c>
      <c r="N679" s="211" t="s">
        <v>635</v>
      </c>
    </row>
    <row r="680" spans="1:14" s="202" customFormat="1" ht="12.6" customHeight="1" x14ac:dyDescent="0.2">
      <c r="A680" s="212">
        <v>7010</v>
      </c>
      <c r="B680" s="211" t="s">
        <v>636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5"/>
        <v>0</v>
      </c>
      <c r="N680" s="211" t="s">
        <v>637</v>
      </c>
    </row>
    <row r="681" spans="1:14" s="202" customFormat="1" ht="12.6" customHeight="1" x14ac:dyDescent="0.2">
      <c r="A681" s="212">
        <v>7020</v>
      </c>
      <c r="B681" s="211" t="s">
        <v>638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25"/>
        <v>0</v>
      </c>
      <c r="N681" s="211" t="s">
        <v>639</v>
      </c>
    </row>
    <row r="682" spans="1:14" s="202" customFormat="1" ht="12.6" customHeight="1" x14ac:dyDescent="0.2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5"/>
        <v>0</v>
      </c>
      <c r="N682" s="211" t="s">
        <v>641</v>
      </c>
    </row>
    <row r="683" spans="1:14" s="202" customFormat="1" ht="12.6" customHeight="1" x14ac:dyDescent="0.2">
      <c r="A683" s="212">
        <v>7040</v>
      </c>
      <c r="B683" s="211" t="s">
        <v>133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25"/>
        <v>0</v>
      </c>
      <c r="N683" s="211" t="s">
        <v>642</v>
      </c>
    </row>
    <row r="684" spans="1:14" s="202" customFormat="1" ht="12.6" customHeight="1" x14ac:dyDescent="0.2">
      <c r="A684" s="212">
        <v>7050</v>
      </c>
      <c r="B684" s="211" t="s">
        <v>643</v>
      </c>
      <c r="C684" s="217">
        <f>S85</f>
        <v>79976</v>
      </c>
      <c r="D684" s="217">
        <f>(D615/D612)*S90</f>
        <v>24104.785</v>
      </c>
      <c r="E684" s="219">
        <f>(E623/E612)*SUM(C684:D684)</f>
        <v>14714.075993476848</v>
      </c>
      <c r="F684" s="219">
        <f>(F624/F612)*S64</f>
        <v>0</v>
      </c>
      <c r="G684" s="217">
        <f>(G625/G612)*S91</f>
        <v>0</v>
      </c>
      <c r="H684" s="219">
        <f>(H628/H612)*S60</f>
        <v>236.78014845560961</v>
      </c>
      <c r="I684" s="217">
        <f>(I629/I612)*S92</f>
        <v>13851.336800031731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5"/>
        <v>52907</v>
      </c>
      <c r="N684" s="211" t="s">
        <v>644</v>
      </c>
    </row>
    <row r="685" spans="1:14" s="202" customFormat="1" ht="12.6" customHeight="1" x14ac:dyDescent="0.2">
      <c r="A685" s="212">
        <v>7060</v>
      </c>
      <c r="B685" s="211" t="s">
        <v>645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5"/>
        <v>0</v>
      </c>
      <c r="N685" s="211" t="s">
        <v>646</v>
      </c>
    </row>
    <row r="686" spans="1:14" s="202" customFormat="1" ht="12.6" customHeight="1" x14ac:dyDescent="0.2">
      <c r="A686" s="212">
        <v>7070</v>
      </c>
      <c r="B686" s="211" t="s">
        <v>136</v>
      </c>
      <c r="C686" s="217">
        <f>U85</f>
        <v>766864</v>
      </c>
      <c r="D686" s="217">
        <f>(D615/D612)*U90</f>
        <v>26073.502499999999</v>
      </c>
      <c r="E686" s="219">
        <f>(E623/E612)*SUM(C686:D686)</f>
        <v>112098.91114736248</v>
      </c>
      <c r="F686" s="219">
        <f>(F624/F612)*U64</f>
        <v>0</v>
      </c>
      <c r="G686" s="217">
        <f>(G625/G612)*U91</f>
        <v>0</v>
      </c>
      <c r="H686" s="219">
        <f>(H628/H612)*U60</f>
        <v>1119.7727854046539</v>
      </c>
      <c r="I686" s="217">
        <f>(I629/I612)*U92</f>
        <v>14962.057203807861</v>
      </c>
      <c r="J686" s="217">
        <f>(J630/J612)*U93</f>
        <v>0</v>
      </c>
      <c r="K686" s="217">
        <f>(K644/K612)*U89</f>
        <v>330665.35711922619</v>
      </c>
      <c r="L686" s="217">
        <f>(L647/L612)*U94</f>
        <v>0</v>
      </c>
      <c r="M686" s="202">
        <f t="shared" si="25"/>
        <v>484920</v>
      </c>
      <c r="N686" s="211" t="s">
        <v>647</v>
      </c>
    </row>
    <row r="687" spans="1:14" s="202" customFormat="1" ht="12.6" customHeight="1" x14ac:dyDescent="0.2">
      <c r="A687" s="212">
        <v>7110</v>
      </c>
      <c r="B687" s="211" t="s">
        <v>648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5"/>
        <v>0</v>
      </c>
      <c r="N687" s="211" t="s">
        <v>649</v>
      </c>
    </row>
    <row r="688" spans="1:14" s="202" customFormat="1" ht="12.6" customHeight="1" x14ac:dyDescent="0.2">
      <c r="A688" s="212">
        <v>7120</v>
      </c>
      <c r="B688" s="211" t="s">
        <v>650</v>
      </c>
      <c r="C688" s="217">
        <f>W85</f>
        <v>87440</v>
      </c>
      <c r="D688" s="217">
        <f>(D615/D612)*W90</f>
        <v>1536.56</v>
      </c>
      <c r="E688" s="219">
        <f>(E623/E612)*SUM(C688:D688)</f>
        <v>12578.766248526588</v>
      </c>
      <c r="F688" s="219">
        <f>(F624/F612)*W64</f>
        <v>0</v>
      </c>
      <c r="G688" s="217">
        <f>(G625/G612)*W91</f>
        <v>0</v>
      </c>
      <c r="H688" s="219">
        <f>(H628/H612)*W60</f>
        <v>19.731679037967467</v>
      </c>
      <c r="I688" s="217">
        <f>(I629/I612)*W92</f>
        <v>914.71092075681236</v>
      </c>
      <c r="J688" s="217">
        <f>(J630/J612)*W93</f>
        <v>81.808255905291119</v>
      </c>
      <c r="K688" s="217">
        <f>(K644/K612)*W89</f>
        <v>36036.034153464207</v>
      </c>
      <c r="L688" s="217">
        <f>(L647/L612)*W94</f>
        <v>0</v>
      </c>
      <c r="M688" s="202">
        <f t="shared" si="25"/>
        <v>51168</v>
      </c>
      <c r="N688" s="211" t="s">
        <v>651</v>
      </c>
    </row>
    <row r="689" spans="1:14" s="202" customFormat="1" ht="12.6" customHeight="1" x14ac:dyDescent="0.2">
      <c r="A689" s="212">
        <v>7130</v>
      </c>
      <c r="B689" s="211" t="s">
        <v>652</v>
      </c>
      <c r="C689" s="217">
        <f>X85</f>
        <v>187980</v>
      </c>
      <c r="D689" s="217">
        <f>(D615/D612)*X90</f>
        <v>13060.76</v>
      </c>
      <c r="E689" s="219">
        <f>(E623/E612)*SUM(C689:D689)</f>
        <v>28421.47107582193</v>
      </c>
      <c r="F689" s="219">
        <f>(F624/F612)*X64</f>
        <v>0</v>
      </c>
      <c r="G689" s="217">
        <f>(G625/G612)*X91</f>
        <v>0</v>
      </c>
      <c r="H689" s="219">
        <f>(H628/H612)*X60</f>
        <v>162.78635206323162</v>
      </c>
      <c r="I689" s="217">
        <f>(I629/I612)*X92</f>
        <v>7513.6968490738163</v>
      </c>
      <c r="J689" s="217">
        <f>(J630/J612)*X93</f>
        <v>697.64262674789927</v>
      </c>
      <c r="K689" s="217">
        <f>(K644/K612)*X89</f>
        <v>210371.82618441409</v>
      </c>
      <c r="L689" s="217">
        <f>(L647/L612)*X94</f>
        <v>0</v>
      </c>
      <c r="M689" s="202">
        <f t="shared" si="25"/>
        <v>260228</v>
      </c>
      <c r="N689" s="211" t="s">
        <v>653</v>
      </c>
    </row>
    <row r="690" spans="1:14" s="202" customFormat="1" ht="12.6" customHeight="1" x14ac:dyDescent="0.2">
      <c r="A690" s="212">
        <v>7140</v>
      </c>
      <c r="B690" s="211" t="s">
        <v>654</v>
      </c>
      <c r="C690" s="217">
        <f>Y85</f>
        <v>411644</v>
      </c>
      <c r="D690" s="217">
        <f>(D615/D612)*Y90</f>
        <v>44848.345000000001</v>
      </c>
      <c r="E690" s="219">
        <f>(E623/E612)*SUM(C690:D690)</f>
        <v>64535.092186040398</v>
      </c>
      <c r="F690" s="219">
        <f>(F624/F612)*Y64</f>
        <v>0</v>
      </c>
      <c r="G690" s="217">
        <f>(G625/G612)*Y91</f>
        <v>0</v>
      </c>
      <c r="H690" s="219">
        <f>(H628/H612)*Y60</f>
        <v>557.4199328225809</v>
      </c>
      <c r="I690" s="217">
        <f>(I629/I612)*Y92</f>
        <v>25742.578769870292</v>
      </c>
      <c r="J690" s="217">
        <f>(J630/J612)*Y93</f>
        <v>2399.7088398885394</v>
      </c>
      <c r="K690" s="217">
        <f>(K644/K612)*Y89</f>
        <v>150976.10154010495</v>
      </c>
      <c r="L690" s="217">
        <f>(L647/L612)*Y94</f>
        <v>0</v>
      </c>
      <c r="M690" s="202">
        <f t="shared" si="25"/>
        <v>289059</v>
      </c>
      <c r="N690" s="211" t="s">
        <v>655</v>
      </c>
    </row>
    <row r="691" spans="1:14" s="202" customFormat="1" ht="12.6" customHeight="1" x14ac:dyDescent="0.2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5"/>
        <v>0</v>
      </c>
      <c r="N691" s="211" t="s">
        <v>657</v>
      </c>
    </row>
    <row r="692" spans="1:14" s="202" customFormat="1" ht="12.6" customHeight="1" x14ac:dyDescent="0.2">
      <c r="A692" s="212">
        <v>7160</v>
      </c>
      <c r="B692" s="211" t="s">
        <v>658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5"/>
        <v>0</v>
      </c>
      <c r="N692" s="211" t="s">
        <v>659</v>
      </c>
    </row>
    <row r="693" spans="1:14" s="202" customFormat="1" ht="12.6" customHeight="1" x14ac:dyDescent="0.2">
      <c r="A693" s="212">
        <v>7170</v>
      </c>
      <c r="B693" s="211" t="s">
        <v>142</v>
      </c>
      <c r="C693" s="217">
        <f>AB85</f>
        <v>311395</v>
      </c>
      <c r="D693" s="217">
        <f>(D615/D612)*AB90</f>
        <v>3841.3999999999996</v>
      </c>
      <c r="E693" s="219">
        <f>(E623/E612)*SUM(C693:D693)</f>
        <v>44565.501168251809</v>
      </c>
      <c r="F693" s="219">
        <f>(F624/F612)*AB64</f>
        <v>0</v>
      </c>
      <c r="G693" s="217">
        <f>(G625/G612)*AB91</f>
        <v>0</v>
      </c>
      <c r="H693" s="219">
        <f>(H628/H612)*AB60</f>
        <v>0</v>
      </c>
      <c r="I693" s="217">
        <f>(I629/I612)*AB92</f>
        <v>2221.4408075522588</v>
      </c>
      <c r="J693" s="217">
        <f>(J630/J612)*AB93</f>
        <v>0</v>
      </c>
      <c r="K693" s="217">
        <f>(K644/K612)*AB89</f>
        <v>66853.402196969284</v>
      </c>
      <c r="L693" s="217">
        <f>(L647/L612)*AB94</f>
        <v>0</v>
      </c>
      <c r="M693" s="202">
        <f t="shared" si="25"/>
        <v>117482</v>
      </c>
      <c r="N693" s="211" t="s">
        <v>660</v>
      </c>
    </row>
    <row r="694" spans="1:14" s="202" customFormat="1" ht="12.6" customHeight="1" x14ac:dyDescent="0.2">
      <c r="A694" s="212">
        <v>7180</v>
      </c>
      <c r="B694" s="211" t="s">
        <v>661</v>
      </c>
      <c r="C694" s="217">
        <f>AC85</f>
        <v>13484</v>
      </c>
      <c r="D694" s="217">
        <f>(D615/D612)*AC90</f>
        <v>0</v>
      </c>
      <c r="E694" s="219">
        <f>(E623/E612)*SUM(C694:D694)</f>
        <v>1906.2558059688138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3202.8316930584924</v>
      </c>
      <c r="L694" s="217">
        <f>(L647/L612)*AC94</f>
        <v>0</v>
      </c>
      <c r="M694" s="202">
        <f t="shared" si="25"/>
        <v>5109</v>
      </c>
      <c r="N694" s="211" t="s">
        <v>662</v>
      </c>
    </row>
    <row r="695" spans="1:14" s="202" customFormat="1" ht="12.6" customHeight="1" x14ac:dyDescent="0.2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5"/>
        <v>0</v>
      </c>
      <c r="N695" s="211" t="s">
        <v>663</v>
      </c>
    </row>
    <row r="696" spans="1:14" s="202" customFormat="1" ht="12.6" customHeight="1" x14ac:dyDescent="0.2">
      <c r="A696" s="212">
        <v>7200</v>
      </c>
      <c r="B696" s="211" t="s">
        <v>664</v>
      </c>
      <c r="C696" s="217">
        <f>AE85</f>
        <v>628143</v>
      </c>
      <c r="D696" s="217">
        <f>(D615/D612)*AE90</f>
        <v>32267.759999999998</v>
      </c>
      <c r="E696" s="219">
        <f>(E623/E612)*SUM(C696:D696)</f>
        <v>93363.382199219588</v>
      </c>
      <c r="F696" s="219">
        <f>(F624/F612)*AE64</f>
        <v>0</v>
      </c>
      <c r="G696" s="217">
        <f>(G625/G612)*AE91</f>
        <v>0</v>
      </c>
      <c r="H696" s="219">
        <f>(H628/H612)*AE60</f>
        <v>1144.437384202113</v>
      </c>
      <c r="I696" s="217">
        <f>(I629/I612)*AE92</f>
        <v>18555.564392495337</v>
      </c>
      <c r="J696" s="217">
        <f>(J630/J612)*AE93</f>
        <v>1865.6827249512226</v>
      </c>
      <c r="K696" s="217">
        <f>(K644/K612)*AE89</f>
        <v>151346.14464527977</v>
      </c>
      <c r="L696" s="217">
        <f>(L647/L612)*AE94</f>
        <v>0</v>
      </c>
      <c r="M696" s="202">
        <f t="shared" si="25"/>
        <v>298543</v>
      </c>
      <c r="N696" s="211" t="s">
        <v>665</v>
      </c>
    </row>
    <row r="697" spans="1:14" s="202" customFormat="1" ht="12.6" customHeight="1" x14ac:dyDescent="0.2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5"/>
        <v>0</v>
      </c>
      <c r="N697" s="211" t="s">
        <v>667</v>
      </c>
    </row>
    <row r="698" spans="1:14" s="202" customFormat="1" ht="12.6" customHeight="1" x14ac:dyDescent="0.2">
      <c r="A698" s="212">
        <v>7230</v>
      </c>
      <c r="B698" s="211" t="s">
        <v>668</v>
      </c>
      <c r="C698" s="217">
        <f>AG85</f>
        <v>957829</v>
      </c>
      <c r="D698" s="217">
        <f>(D615/D612)*AG90</f>
        <v>41727.207499999997</v>
      </c>
      <c r="E698" s="219">
        <f>(E623/E612)*SUM(C698:D698)</f>
        <v>141308.94570891748</v>
      </c>
      <c r="F698" s="219">
        <f>(F624/F612)*AG64</f>
        <v>0</v>
      </c>
      <c r="G698" s="217">
        <f>(G625/G612)*AG91</f>
        <v>4615.4563310922804</v>
      </c>
      <c r="H698" s="219">
        <f>(H628/H612)*AG60</f>
        <v>1709.2566966639317</v>
      </c>
      <c r="I698" s="217">
        <f>(I629/I612)*AG92</f>
        <v>23978.49342269644</v>
      </c>
      <c r="J698" s="217">
        <f>(J630/J612)*AG93</f>
        <v>12505.300895744918</v>
      </c>
      <c r="K698" s="217">
        <f>(K644/K612)*AG89</f>
        <v>386319.24598903052</v>
      </c>
      <c r="L698" s="217">
        <f>(L647/L612)*AG94</f>
        <v>67297.345887971955</v>
      </c>
      <c r="M698" s="202">
        <f t="shared" si="25"/>
        <v>679461</v>
      </c>
      <c r="N698" s="211" t="s">
        <v>669</v>
      </c>
    </row>
    <row r="699" spans="1:14" s="202" customFormat="1" ht="12.6" customHeight="1" x14ac:dyDescent="0.2">
      <c r="A699" s="212">
        <v>7240</v>
      </c>
      <c r="B699" s="211" t="s">
        <v>146</v>
      </c>
      <c r="C699" s="217">
        <f>AH85</f>
        <v>265723</v>
      </c>
      <c r="D699" s="217">
        <f>(D615/D612)*AH90</f>
        <v>0</v>
      </c>
      <c r="E699" s="219">
        <f>(E623/E612)*SUM(C699:D699)</f>
        <v>37565.708360238139</v>
      </c>
      <c r="F699" s="219">
        <f>(F624/F612)*AH64</f>
        <v>0</v>
      </c>
      <c r="G699" s="217">
        <f>(G625/G612)*AH91</f>
        <v>0</v>
      </c>
      <c r="H699" s="219">
        <f>(H628/H612)*AH60</f>
        <v>402.03296039858714</v>
      </c>
      <c r="I699" s="217">
        <f>(I629/I612)*AH92</f>
        <v>0</v>
      </c>
      <c r="J699" s="217">
        <f>(J630/J612)*AH93</f>
        <v>763.54372178271706</v>
      </c>
      <c r="K699" s="217">
        <f>(K644/K612)*AH89</f>
        <v>63497.205925448972</v>
      </c>
      <c r="L699" s="217">
        <f>(L647/L612)*AH94</f>
        <v>0</v>
      </c>
      <c r="M699" s="202">
        <f t="shared" si="25"/>
        <v>102228</v>
      </c>
      <c r="N699" s="211" t="s">
        <v>670</v>
      </c>
    </row>
    <row r="700" spans="1:14" s="202" customFormat="1" ht="12.6" customHeight="1" x14ac:dyDescent="0.2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5"/>
        <v>0</v>
      </c>
      <c r="N700" s="211" t="s">
        <v>672</v>
      </c>
    </row>
    <row r="701" spans="1:14" s="202" customFormat="1" ht="12.6" customHeight="1" x14ac:dyDescent="0.2">
      <c r="A701" s="212">
        <v>7260</v>
      </c>
      <c r="B701" s="211" t="s">
        <v>148</v>
      </c>
      <c r="C701" s="217">
        <f>AJ85</f>
        <v>1906849</v>
      </c>
      <c r="D701" s="217">
        <f>(D615/D612)*AJ90</f>
        <v>151351.16</v>
      </c>
      <c r="E701" s="219">
        <f>(E623/E612)*SUM(C701:D701)</f>
        <v>290971.22551512468</v>
      </c>
      <c r="F701" s="219">
        <f>(F624/F612)*AJ64</f>
        <v>0</v>
      </c>
      <c r="G701" s="217">
        <f>(G625/G612)*AJ91</f>
        <v>0</v>
      </c>
      <c r="H701" s="219">
        <f>(H628/H612)*AJ60</f>
        <v>2944.9530964166443</v>
      </c>
      <c r="I701" s="217">
        <f>(I629/I612)*AJ92</f>
        <v>86897.537471897173</v>
      </c>
      <c r="J701" s="217">
        <f>(J630/J612)*AJ93</f>
        <v>322.68812051531495</v>
      </c>
      <c r="K701" s="217">
        <f>(K644/K612)*AJ89</f>
        <v>267491.5907769255</v>
      </c>
      <c r="L701" s="217">
        <f>(L647/L612)*AJ94</f>
        <v>61907.731606900605</v>
      </c>
      <c r="M701" s="202">
        <f t="shared" si="25"/>
        <v>861887</v>
      </c>
      <c r="N701" s="211" t="s">
        <v>673</v>
      </c>
    </row>
    <row r="702" spans="1:14" s="202" customFormat="1" ht="12.6" customHeight="1" x14ac:dyDescent="0.2">
      <c r="A702" s="212">
        <v>7310</v>
      </c>
      <c r="B702" s="211" t="s">
        <v>674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5"/>
        <v>0</v>
      </c>
      <c r="N702" s="211" t="s">
        <v>675</v>
      </c>
    </row>
    <row r="703" spans="1:14" s="202" customFormat="1" ht="12.6" customHeight="1" x14ac:dyDescent="0.2">
      <c r="A703" s="212">
        <v>7320</v>
      </c>
      <c r="B703" s="211" t="s">
        <v>676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5"/>
        <v>0</v>
      </c>
      <c r="N703" s="211" t="s">
        <v>677</v>
      </c>
    </row>
    <row r="704" spans="1:14" s="202" customFormat="1" ht="12.6" customHeight="1" x14ac:dyDescent="0.2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5"/>
        <v>0</v>
      </c>
      <c r="N704" s="211" t="s">
        <v>679</v>
      </c>
    </row>
    <row r="705" spans="1:14" s="202" customFormat="1" ht="12.6" customHeight="1" x14ac:dyDescent="0.2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5"/>
        <v>0</v>
      </c>
      <c r="N705" s="211" t="s">
        <v>681</v>
      </c>
    </row>
    <row r="706" spans="1:14" s="202" customFormat="1" ht="12.6" customHeight="1" x14ac:dyDescent="0.2">
      <c r="A706" s="212">
        <v>7350</v>
      </c>
      <c r="B706" s="211" t="s">
        <v>682</v>
      </c>
      <c r="C706" s="217">
        <f>AO85</f>
        <v>78519</v>
      </c>
      <c r="D706" s="217">
        <f>(D615/D612)*AO90</f>
        <v>3073.12</v>
      </c>
      <c r="E706" s="219">
        <f>(E623/E612)*SUM(C706:D706)</f>
        <v>11534.815519972128</v>
      </c>
      <c r="F706" s="219">
        <f>(F624/F612)*AO64</f>
        <v>0</v>
      </c>
      <c r="G706" s="217">
        <f>(G625/G612)*AO91</f>
        <v>12149.510048022326</v>
      </c>
      <c r="H706" s="219">
        <f>(H628/H612)*AO60</f>
        <v>96.191935310091409</v>
      </c>
      <c r="I706" s="217">
        <f>(I629/I612)*AO92</f>
        <v>1764.0853471738526</v>
      </c>
      <c r="J706" s="217">
        <f>(J630/J612)*AO93</f>
        <v>899.89081495820233</v>
      </c>
      <c r="K706" s="217">
        <f>(K644/K612)*AO89</f>
        <v>35075.184645546658</v>
      </c>
      <c r="L706" s="217">
        <f>(L647/L612)*AO94</f>
        <v>4806.9532777122822</v>
      </c>
      <c r="M706" s="202">
        <f t="shared" si="25"/>
        <v>69400</v>
      </c>
      <c r="N706" s="211" t="s">
        <v>683</v>
      </c>
    </row>
    <row r="707" spans="1:14" s="202" customFormat="1" ht="12.6" customHeight="1" x14ac:dyDescent="0.2">
      <c r="A707" s="212">
        <v>7380</v>
      </c>
      <c r="B707" s="211" t="s">
        <v>684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5"/>
        <v>0</v>
      </c>
      <c r="N707" s="211" t="s">
        <v>685</v>
      </c>
    </row>
    <row r="708" spans="1:14" s="202" customFormat="1" ht="12.6" customHeight="1" x14ac:dyDescent="0.2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5"/>
        <v>0</v>
      </c>
      <c r="N708" s="211" t="s">
        <v>687</v>
      </c>
    </row>
    <row r="709" spans="1:14" s="202" customFormat="1" ht="12.6" customHeight="1" x14ac:dyDescent="0.2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5"/>
        <v>0</v>
      </c>
      <c r="N709" s="211" t="s">
        <v>689</v>
      </c>
    </row>
    <row r="710" spans="1:14" s="202" customFormat="1" ht="12.6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5"/>
        <v>0</v>
      </c>
      <c r="N710" s="211" t="s">
        <v>690</v>
      </c>
    </row>
    <row r="711" spans="1:14" s="202" customFormat="1" ht="12.6" customHeight="1" x14ac:dyDescent="0.2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5"/>
        <v>0</v>
      </c>
      <c r="N711" s="211" t="s">
        <v>692</v>
      </c>
    </row>
    <row r="712" spans="1:14" s="202" customFormat="1" ht="12.6" customHeight="1" x14ac:dyDescent="0.2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5"/>
        <v>0</v>
      </c>
      <c r="N712" s="211" t="s">
        <v>694</v>
      </c>
    </row>
    <row r="713" spans="1:14" s="202" customFormat="1" ht="12.6" customHeight="1" x14ac:dyDescent="0.2">
      <c r="A713" s="212">
        <v>7490</v>
      </c>
      <c r="B713" s="211" t="s">
        <v>695</v>
      </c>
      <c r="C713" s="217">
        <f>AV85</f>
        <v>526458</v>
      </c>
      <c r="D713" s="217">
        <f>(D615/D612)*AV90</f>
        <v>2833.0324999999998</v>
      </c>
      <c r="E713" s="219">
        <f>(E623/E612)*SUM(C713:D713)</f>
        <v>74826.765333013434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1633.4123584943079</v>
      </c>
      <c r="J713" s="217">
        <f>(J630/J612)*AV93</f>
        <v>0</v>
      </c>
      <c r="K713" s="217">
        <f>(K644/K612)*AV89</f>
        <v>318801.69718533254</v>
      </c>
      <c r="L713" s="217">
        <f>(L647/L612)*AV94</f>
        <v>0</v>
      </c>
      <c r="M713" s="202">
        <f t="shared" si="25"/>
        <v>398095</v>
      </c>
      <c r="N713" s="213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13149828</v>
      </c>
      <c r="D715" s="202">
        <f>SUM(D616:D647)+SUM(D668:D713)</f>
        <v>787487</v>
      </c>
      <c r="E715" s="202">
        <f>SUM(E624:E647)+SUM(E668:E713)</f>
        <v>1628753.6925000004</v>
      </c>
      <c r="F715" s="202">
        <f>SUM(F625:F648)+SUM(F668:F713)</f>
        <v>0</v>
      </c>
      <c r="G715" s="202">
        <f>SUM(G626:G647)+SUM(G668:G713)</f>
        <v>342426.13515236112</v>
      </c>
      <c r="H715" s="202">
        <f>SUM(H629:H647)+SUM(H668:H713)</f>
        <v>14986.210229336291</v>
      </c>
      <c r="I715" s="202">
        <f>SUM(I630:I647)+SUM(I668:I713)</f>
        <v>328446.55704603542</v>
      </c>
      <c r="J715" s="202">
        <f>SUM(J631:J647)+SUM(J668:J713)</f>
        <v>43703.78826584886</v>
      </c>
      <c r="K715" s="202">
        <f>SUM(K668:K713)</f>
        <v>2254415.2992662941</v>
      </c>
      <c r="L715" s="202">
        <f>SUM(L668:L713)</f>
        <v>257681.8287355463</v>
      </c>
      <c r="M715" s="202">
        <f>SUM(M668:M713)</f>
        <v>4818728</v>
      </c>
      <c r="N715" s="211" t="s">
        <v>697</v>
      </c>
    </row>
    <row r="716" spans="1:14" s="202" customFormat="1" ht="12.6" customHeight="1" x14ac:dyDescent="0.2">
      <c r="C716" s="214">
        <f>CE85</f>
        <v>13149828</v>
      </c>
      <c r="D716" s="202">
        <f>D615</f>
        <v>787487</v>
      </c>
      <c r="E716" s="202">
        <f>E623</f>
        <v>1628753.6924999999</v>
      </c>
      <c r="F716" s="202">
        <f>F624</f>
        <v>0</v>
      </c>
      <c r="G716" s="202">
        <f>G625</f>
        <v>342426.13515236112</v>
      </c>
      <c r="H716" s="202">
        <f>H628</f>
        <v>14986.21022933629</v>
      </c>
      <c r="I716" s="202">
        <f>I629</f>
        <v>328446.55704603542</v>
      </c>
      <c r="J716" s="202">
        <f>J630</f>
        <v>43703.788265848852</v>
      </c>
      <c r="K716" s="202">
        <f>K644</f>
        <v>2254415.2992662941</v>
      </c>
      <c r="L716" s="202">
        <f>L647</f>
        <v>257681.82873554624</v>
      </c>
      <c r="M716" s="202">
        <f>C648</f>
        <v>4818728</v>
      </c>
      <c r="N716" s="211" t="s">
        <v>698</v>
      </c>
    </row>
  </sheetData>
  <sheetProtection algorithmName="SHA-512" hashValue="zQITue9jh85CXYtjzP8ZiSm1zoPMQa9pbiulZRz8mb+Yn+ihZ3pbzYXZe3zMuokHD1v9k1xWfhOfLbp4OWLFnA==" saltValue="/99/WljRyAJZzDkgHM9vP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22" sqref="E2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700</v>
      </c>
      <c r="G3" s="10"/>
      <c r="J3" s="99"/>
    </row>
    <row r="4" spans="2:10" x14ac:dyDescent="0.25">
      <c r="B4" s="98"/>
      <c r="F4" s="10" t="s">
        <v>701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702</v>
      </c>
      <c r="G8" s="10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10" t="s">
        <v>704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705</v>
      </c>
      <c r="G12" s="10"/>
      <c r="J12" s="99"/>
    </row>
    <row r="13" spans="2:10" x14ac:dyDescent="0.25">
      <c r="B13" s="98"/>
      <c r="F13" s="10" t="s">
        <v>706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+data!C98</f>
        <v>EAST ADAMS RURAL HEALTHCARE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1" t="str">
        <f>+"H-"&amp;data!C97</f>
        <v>H-111</v>
      </c>
      <c r="F18" s="10"/>
      <c r="G18" s="10"/>
      <c r="J18" s="99"/>
    </row>
    <row r="19" spans="2:10" x14ac:dyDescent="0.25">
      <c r="B19" s="98"/>
      <c r="C19" s="53" t="s">
        <v>710</v>
      </c>
      <c r="D19" s="53"/>
      <c r="E19" s="11" t="str">
        <f>+data!C99</f>
        <v>903 S ADAMS STREET</v>
      </c>
      <c r="F19" s="10"/>
      <c r="G19" s="10"/>
      <c r="J19" s="99"/>
    </row>
    <row r="20" spans="2:10" x14ac:dyDescent="0.25">
      <c r="B20" s="98"/>
      <c r="C20" s="53" t="s">
        <v>711</v>
      </c>
      <c r="D20" s="53"/>
      <c r="E20" s="11" t="str">
        <f>+data!C99</f>
        <v>903 S ADAMS STREET</v>
      </c>
      <c r="F20" s="10"/>
      <c r="G20" s="10"/>
      <c r="J20" s="99"/>
    </row>
    <row r="21" spans="2:10" x14ac:dyDescent="0.25">
      <c r="B21" s="98"/>
      <c r="C21" s="53" t="s">
        <v>712</v>
      </c>
      <c r="D21" s="53"/>
      <c r="E21" s="11" t="str">
        <f>CONCATENATE(+data!C100,", ",+data!C102)</f>
        <v>RITZVILLE, 99169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12/31/2022.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718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zoomScale="85" zoomScaleNormal="85" workbookViewId="0">
      <selection activeCell="C32" sqref="C3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1375</v>
      </c>
    </row>
    <row r="3" spans="1:13" x14ac:dyDescent="0.25">
      <c r="A3" s="54"/>
    </row>
    <row r="4" spans="1:13" x14ac:dyDescent="0.25">
      <c r="A4" s="149" t="s">
        <v>721</v>
      </c>
    </row>
    <row r="5" spans="1:13" x14ac:dyDescent="0.25">
      <c r="A5" s="149" t="s">
        <v>722</v>
      </c>
    </row>
    <row r="6" spans="1:13" x14ac:dyDescent="0.25">
      <c r="A6" s="149" t="s">
        <v>723</v>
      </c>
    </row>
    <row r="7" spans="1:13" x14ac:dyDescent="0.25">
      <c r="A7" s="149"/>
    </row>
    <row r="8" spans="1:13" x14ac:dyDescent="0.25">
      <c r="A8" s="2" t="s">
        <v>724</v>
      </c>
    </row>
    <row r="9" spans="1:13" x14ac:dyDescent="0.25">
      <c r="A9" s="149" t="s">
        <v>27</v>
      </c>
    </row>
    <row r="12" spans="1:13" x14ac:dyDescent="0.25">
      <c r="A12" s="1" t="str">
        <f>data!C97</f>
        <v>111</v>
      </c>
      <c r="B12" s="228" t="str">
        <f>RIGHT('Prior Year'!C96,4)</f>
        <v>2021</v>
      </c>
      <c r="C12" s="228" t="str">
        <f>RIGHT(data!C96,4)</f>
        <v>2022</v>
      </c>
      <c r="D12" s="1" t="str">
        <f>RIGHT('Prior Year'!C96,4)</f>
        <v>2021</v>
      </c>
      <c r="E12" s="228" t="str">
        <f>RIGHT(data!C96,4)</f>
        <v>2022</v>
      </c>
      <c r="F12" s="1" t="str">
        <f>RIGHT('Prior Year'!C96,4)</f>
        <v>2021</v>
      </c>
      <c r="G12" s="228" t="str">
        <f>RIGHT(data!C96,4)</f>
        <v>2022</v>
      </c>
      <c r="H12" s="3"/>
    </row>
    <row r="13" spans="1:13" x14ac:dyDescent="0.25">
      <c r="A13" s="2"/>
      <c r="B13" s="228" t="s">
        <v>725</v>
      </c>
      <c r="C13" s="228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28" t="s">
        <v>364</v>
      </c>
      <c r="C14" s="228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5" t="s">
        <v>734</v>
      </c>
    </row>
    <row r="15" spans="1:13" x14ac:dyDescent="0.25">
      <c r="A15" s="1" t="s">
        <v>735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5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737</v>
      </c>
      <c r="B17" s="228">
        <f>ROUND(N('Prior Year'!E85), 0)</f>
        <v>91495</v>
      </c>
      <c r="C17" s="228">
        <f>data!E85</f>
        <v>347244</v>
      </c>
      <c r="D17" s="228">
        <f>ROUND(N('Prior Year'!E59), 0)</f>
        <v>75</v>
      </c>
      <c r="E17" s="1">
        <f>data!E59</f>
        <v>261</v>
      </c>
      <c r="F17" s="205">
        <f t="shared" si="0"/>
        <v>1219.9333333333334</v>
      </c>
      <c r="G17" s="205">
        <f t="shared" si="1"/>
        <v>1330.4367816091954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738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739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740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741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742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743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744</v>
      </c>
      <c r="B24" s="228">
        <f>ROUND(N('Prior Year'!L85), 0)</f>
        <v>1811649</v>
      </c>
      <c r="C24" s="228">
        <f>data!L85</f>
        <v>1761552</v>
      </c>
      <c r="D24" s="228">
        <f>ROUND(N('Prior Year'!L59), 0)</f>
        <v>1485</v>
      </c>
      <c r="E24" s="1">
        <f>data!L59</f>
        <v>1324</v>
      </c>
      <c r="F24" s="205">
        <f t="shared" si="0"/>
        <v>1219.9656565656567</v>
      </c>
      <c r="G24" s="205">
        <f t="shared" si="1"/>
        <v>1330.4773413897281</v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745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747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748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749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750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751</v>
      </c>
      <c r="B31" s="228">
        <f>ROUND(N('Prior Year'!S85), 0)</f>
        <v>138931</v>
      </c>
      <c r="C31" s="228">
        <f>data!S85</f>
        <v>79976</v>
      </c>
      <c r="D31" s="228" t="s">
        <v>752</v>
      </c>
      <c r="E31" s="4" t="s">
        <v>752</v>
      </c>
      <c r="F31" s="205" t="s">
        <v>5</v>
      </c>
      <c r="G31" s="205" t="str">
        <f>IFERROR(IF(C31=0,"",IF(E31=0,"",C31/E31)),"")</f>
        <v/>
      </c>
      <c r="H31" s="6" t="s">
        <v>5</v>
      </c>
      <c r="I31" s="228" t="str">
        <f t="shared" si="3"/>
        <v/>
      </c>
      <c r="M31" s="7"/>
    </row>
    <row r="32" spans="1:13" x14ac:dyDescent="0.25">
      <c r="A32" s="1" t="s">
        <v>753</v>
      </c>
      <c r="B32" s="228">
        <f>ROUND(N('Prior Year'!T85), 0)</f>
        <v>0</v>
      </c>
      <c r="C32" s="228">
        <f>data!T85</f>
        <v>0</v>
      </c>
      <c r="D32" s="228" t="s">
        <v>752</v>
      </c>
      <c r="E32" s="4" t="s">
        <v>752</v>
      </c>
      <c r="F32" s="205" t="s">
        <v>5</v>
      </c>
      <c r="G32" s="205" t="str">
        <f>IFERROR(IF(C32=0,"",IF(E32=0,"",C32/E32)),"")</f>
        <v/>
      </c>
      <c r="H32" s="6" t="s">
        <v>5</v>
      </c>
      <c r="I32" s="228" t="str">
        <f t="shared" si="3"/>
        <v/>
      </c>
      <c r="M32" s="7"/>
    </row>
    <row r="33" spans="1:13" x14ac:dyDescent="0.25">
      <c r="A33" s="1" t="s">
        <v>754</v>
      </c>
      <c r="B33" s="228">
        <f>ROUND(N('Prior Year'!U85), 0)</f>
        <v>696901</v>
      </c>
      <c r="C33" s="228">
        <f>data!U85</f>
        <v>766864</v>
      </c>
      <c r="D33" s="228">
        <f>ROUND(N('Prior Year'!U59), 0)</f>
        <v>14884</v>
      </c>
      <c r="E33" s="1">
        <f>data!U59</f>
        <v>16788</v>
      </c>
      <c r="F33" s="205">
        <f t="shared" si="0"/>
        <v>46.822158022037087</v>
      </c>
      <c r="G33" s="205">
        <f t="shared" ref="G33:G69" si="4">IF(C33=0,"",IF(E33=0,"",C33/E33))</f>
        <v>45.67929473433405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755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756</v>
      </c>
      <c r="B35" s="228">
        <f>ROUND(N('Prior Year'!W85), 0)</f>
        <v>85094</v>
      </c>
      <c r="C35" s="228">
        <f>data!W85</f>
        <v>87440</v>
      </c>
      <c r="D35" s="228">
        <f>ROUND(N('Prior Year'!W59), 0)</f>
        <v>64</v>
      </c>
      <c r="E35" s="1">
        <f>data!W59</f>
        <v>75</v>
      </c>
      <c r="F35" s="205">
        <f t="shared" si="0"/>
        <v>1329.59375</v>
      </c>
      <c r="G35" s="205">
        <f t="shared" si="4"/>
        <v>1165.8666666666666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757</v>
      </c>
      <c r="B36" s="228">
        <f>ROUND(N('Prior Year'!X85), 0)</f>
        <v>153577</v>
      </c>
      <c r="C36" s="228">
        <f>data!X85</f>
        <v>187980</v>
      </c>
      <c r="D36" s="228">
        <f>ROUND(N('Prior Year'!X59), 0)</f>
        <v>596</v>
      </c>
      <c r="E36" s="1">
        <f>data!X59</f>
        <v>634</v>
      </c>
      <c r="F36" s="205">
        <f t="shared" si="0"/>
        <v>257.67953020134229</v>
      </c>
      <c r="G36" s="205">
        <f t="shared" si="4"/>
        <v>296.49842271293375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758</v>
      </c>
      <c r="B37" s="228">
        <f>ROUND(N('Prior Year'!Y85), 0)</f>
        <v>305501</v>
      </c>
      <c r="C37" s="228">
        <f>data!Y85</f>
        <v>411644</v>
      </c>
      <c r="D37" s="228">
        <f>ROUND(N('Prior Year'!Y59), 0)</f>
        <v>2007</v>
      </c>
      <c r="E37" s="1">
        <f>data!Y59</f>
        <v>2180</v>
      </c>
      <c r="F37" s="205">
        <f t="shared" si="0"/>
        <v>152.2177379172895</v>
      </c>
      <c r="G37" s="205">
        <f t="shared" si="4"/>
        <v>188.82752293577983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759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760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761</v>
      </c>
      <c r="B40" s="228">
        <f>ROUND(N('Prior Year'!AB85), 0)</f>
        <v>261882</v>
      </c>
      <c r="C40" s="228">
        <f>data!AB85</f>
        <v>311395</v>
      </c>
      <c r="D40" s="228" t="s">
        <v>752</v>
      </c>
      <c r="E40" s="4" t="s">
        <v>752</v>
      </c>
      <c r="F40" s="205" t="s">
        <v>5</v>
      </c>
      <c r="G40" s="205" t="str">
        <f>IFERROR(IF(C40=0,"",IF(E40=0,"",C40/E40)),"")</f>
        <v/>
      </c>
      <c r="H40" s="6" t="s">
        <v>5</v>
      </c>
      <c r="I40" s="228" t="str">
        <f t="shared" si="3"/>
        <v/>
      </c>
      <c r="M40" s="7"/>
    </row>
    <row r="41" spans="1:13" x14ac:dyDescent="0.25">
      <c r="A41" s="1" t="s">
        <v>762</v>
      </c>
      <c r="B41" s="228">
        <f>ROUND(N('Prior Year'!AC85), 0)</f>
        <v>12856</v>
      </c>
      <c r="C41" s="228">
        <f>data!AC85</f>
        <v>13484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763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764</v>
      </c>
      <c r="B43" s="228">
        <f>ROUND(N('Prior Year'!AE85), 0)</f>
        <v>567814</v>
      </c>
      <c r="C43" s="228">
        <f>data!AE85</f>
        <v>628143</v>
      </c>
      <c r="D43" s="228">
        <f>ROUND(N('Prior Year'!AE59), 0)</f>
        <v>7905</v>
      </c>
      <c r="E43" s="1">
        <f>data!AE59</f>
        <v>6324</v>
      </c>
      <c r="F43" s="205">
        <f t="shared" si="0"/>
        <v>71.829728020240353</v>
      </c>
      <c r="G43" s="205">
        <f t="shared" si="4"/>
        <v>99.326850094876662</v>
      </c>
      <c r="H43" s="6">
        <f t="shared" si="6"/>
        <v>0.38280977573642083</v>
      </c>
      <c r="I43" s="228" t="s">
        <v>1376</v>
      </c>
      <c r="M43" s="7"/>
    </row>
    <row r="44" spans="1:13" x14ac:dyDescent="0.25">
      <c r="A44" s="1" t="s">
        <v>765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766</v>
      </c>
      <c r="B45" s="228">
        <f>ROUND(N('Prior Year'!AG85), 0)</f>
        <v>776831</v>
      </c>
      <c r="C45" s="228">
        <f>data!AG85</f>
        <v>957829</v>
      </c>
      <c r="D45" s="228">
        <f>ROUND(N('Prior Year'!AG59), 0)</f>
        <v>1170</v>
      </c>
      <c r="E45" s="1">
        <f>data!AG59</f>
        <v>1408</v>
      </c>
      <c r="F45" s="205">
        <f t="shared" si="0"/>
        <v>663.9581196581197</v>
      </c>
      <c r="G45" s="205">
        <f t="shared" si="4"/>
        <v>680.27627840909088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767</v>
      </c>
      <c r="B46" s="228">
        <f>ROUND(N('Prior Year'!AH85), 0)</f>
        <v>265267</v>
      </c>
      <c r="C46" s="228">
        <f>data!AH85</f>
        <v>265723</v>
      </c>
      <c r="D46" s="228">
        <v>476</v>
      </c>
      <c r="E46" s="1">
        <f>data!AH59</f>
        <v>324</v>
      </c>
      <c r="F46" s="205">
        <f t="shared" si="0"/>
        <v>557.28361344537814</v>
      </c>
      <c r="G46" s="205">
        <f t="shared" si="4"/>
        <v>820.13271604938268</v>
      </c>
      <c r="H46" s="6">
        <f t="shared" si="6"/>
        <v>0.4716612802930864</v>
      </c>
      <c r="I46" s="1" t="s">
        <v>1377</v>
      </c>
      <c r="J46" s="228" t="s">
        <v>1374</v>
      </c>
      <c r="M46" s="7"/>
    </row>
    <row r="47" spans="1:13" x14ac:dyDescent="0.25">
      <c r="A47" s="1" t="s">
        <v>768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28">
        <f>ROUND(N('Prior Year'!AJ85), 0)</f>
        <v>1480159</v>
      </c>
      <c r="C48" s="228">
        <f>data!AJ85</f>
        <v>1906849</v>
      </c>
      <c r="D48" s="228">
        <f>ROUND(N('Prior Year'!AJ59), 0)</f>
        <v>3920</v>
      </c>
      <c r="E48" s="1">
        <f>data!AJ59</f>
        <v>4820</v>
      </c>
      <c r="F48" s="205">
        <f t="shared" si="0"/>
        <v>377.59158163265306</v>
      </c>
      <c r="G48" s="205">
        <f t="shared" si="4"/>
        <v>395.61182572614109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770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771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772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773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774</v>
      </c>
      <c r="B53" s="228">
        <f>ROUND(N('Prior Year'!AO85), 0)</f>
        <v>54903</v>
      </c>
      <c r="C53" s="228">
        <f>data!AO85</f>
        <v>78519</v>
      </c>
      <c r="D53" s="228">
        <f>ROUND(N('Prior Year'!AO59), 0)</f>
        <v>1080</v>
      </c>
      <c r="E53" s="1">
        <f>data!AO59</f>
        <v>1416</v>
      </c>
      <c r="F53" s="205">
        <f t="shared" si="0"/>
        <v>50.836111111111109</v>
      </c>
      <c r="G53" s="205">
        <f t="shared" si="4"/>
        <v>55.451271186440678</v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775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776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777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778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779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780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781</v>
      </c>
      <c r="B60" s="228">
        <f>ROUND(N('Prior Year'!AV85), 0)</f>
        <v>213078</v>
      </c>
      <c r="C60" s="228">
        <f>data!AV85</f>
        <v>526458</v>
      </c>
      <c r="D60" s="228" t="s">
        <v>752</v>
      </c>
      <c r="E60" s="4" t="s">
        <v>752</v>
      </c>
      <c r="F60" s="205" t="s">
        <v>5</v>
      </c>
      <c r="G60" s="205"/>
      <c r="H60" s="6" t="s">
        <v>5</v>
      </c>
      <c r="I60" s="228" t="str">
        <f t="shared" si="7"/>
        <v/>
      </c>
      <c r="M60" s="7"/>
    </row>
    <row r="61" spans="1:13" x14ac:dyDescent="0.25">
      <c r="A61" s="1" t="s">
        <v>782</v>
      </c>
      <c r="B61" s="228">
        <f>ROUND(N('Prior Year'!AW85), 0)</f>
        <v>0</v>
      </c>
      <c r="C61" s="228">
        <f>data!AW85</f>
        <v>0</v>
      </c>
      <c r="D61" s="228" t="s">
        <v>752</v>
      </c>
      <c r="E61" s="4" t="s">
        <v>752</v>
      </c>
      <c r="F61" s="205" t="s">
        <v>5</v>
      </c>
      <c r="G61" s="205"/>
      <c r="H61" s="6" t="s">
        <v>5</v>
      </c>
      <c r="I61" s="228" t="str">
        <f t="shared" si="7"/>
        <v/>
      </c>
      <c r="M61" s="7"/>
    </row>
    <row r="62" spans="1:13" x14ac:dyDescent="0.25">
      <c r="A62" s="1" t="s">
        <v>783</v>
      </c>
      <c r="B62" s="228">
        <f>ROUND(N('Prior Year'!AX85), 0)</f>
        <v>0</v>
      </c>
      <c r="C62" s="228">
        <f>data!AX85</f>
        <v>0</v>
      </c>
      <c r="D62" s="228" t="s">
        <v>752</v>
      </c>
      <c r="E62" s="4" t="s">
        <v>752</v>
      </c>
      <c r="F62" s="205" t="s">
        <v>5</v>
      </c>
      <c r="G62" s="205"/>
      <c r="H62" s="6" t="s">
        <v>5</v>
      </c>
      <c r="I62" s="228" t="str">
        <f t="shared" si="7"/>
        <v/>
      </c>
      <c r="M62" s="7"/>
    </row>
    <row r="63" spans="1:13" x14ac:dyDescent="0.25">
      <c r="A63" s="1" t="s">
        <v>784</v>
      </c>
      <c r="B63" s="228">
        <f>ROUND(N('Prior Year'!AY85), 0)</f>
        <v>246295</v>
      </c>
      <c r="C63" s="228">
        <f>data!AY85</f>
        <v>273075</v>
      </c>
      <c r="D63" s="228">
        <f>ROUND(N('Prior Year'!AY59), 0)</f>
        <v>4808</v>
      </c>
      <c r="E63" s="1">
        <f>data!AY59</f>
        <v>5045</v>
      </c>
      <c r="F63" s="205">
        <f>IF(B63=0,"",IF(D63=0,"",B63/D63))</f>
        <v>51.226081530782032</v>
      </c>
      <c r="G63" s="205">
        <f t="shared" si="4"/>
        <v>54.127849355797821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785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786</v>
      </c>
      <c r="B65" s="228">
        <f>ROUND(N('Prior Year'!BA85), 0)</f>
        <v>24768</v>
      </c>
      <c r="C65" s="228">
        <f>data!BA85</f>
        <v>35502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787</v>
      </c>
      <c r="B66" s="228">
        <f>ROUND(N('Prior Year'!BB85), 0)</f>
        <v>69016</v>
      </c>
      <c r="C66" s="228">
        <f>data!BB85</f>
        <v>70979</v>
      </c>
      <c r="D66" s="228" t="s">
        <v>752</v>
      </c>
      <c r="E66" s="4" t="s">
        <v>752</v>
      </c>
      <c r="F66" s="205" t="s">
        <v>5</v>
      </c>
      <c r="G66" s="205" t="str">
        <f t="shared" ref="G66:G68" si="8">IFERROR(IF(C66=0,"",IF(E66=0,"",C66/E66)),"")</f>
        <v/>
      </c>
      <c r="H66" s="6" t="s">
        <v>5</v>
      </c>
      <c r="I66" s="228" t="str">
        <f t="shared" si="7"/>
        <v/>
      </c>
      <c r="M66" s="7"/>
    </row>
    <row r="67" spans="1:13" x14ac:dyDescent="0.25">
      <c r="A67" s="1" t="s">
        <v>788</v>
      </c>
      <c r="B67" s="228">
        <f>ROUND(N('Prior Year'!BC85), 0)</f>
        <v>0</v>
      </c>
      <c r="C67" s="228">
        <f>data!BC85</f>
        <v>0</v>
      </c>
      <c r="D67" s="228" t="s">
        <v>752</v>
      </c>
      <c r="E67" s="4" t="s">
        <v>752</v>
      </c>
      <c r="F67" s="205" t="s">
        <v>5</v>
      </c>
      <c r="G67" s="205" t="str">
        <f t="shared" si="8"/>
        <v/>
      </c>
      <c r="H67" s="6" t="s">
        <v>5</v>
      </c>
      <c r="I67" s="228" t="str">
        <f t="shared" si="7"/>
        <v/>
      </c>
      <c r="M67" s="7"/>
    </row>
    <row r="68" spans="1:13" x14ac:dyDescent="0.25">
      <c r="A68" s="1" t="s">
        <v>789</v>
      </c>
      <c r="B68" s="228">
        <f>ROUND(N('Prior Year'!BD85), 0)</f>
        <v>0</v>
      </c>
      <c r="C68" s="228">
        <f>data!BD85</f>
        <v>0</v>
      </c>
      <c r="D68" s="228" t="s">
        <v>752</v>
      </c>
      <c r="E68" s="4" t="s">
        <v>752</v>
      </c>
      <c r="F68" s="205" t="s">
        <v>5</v>
      </c>
      <c r="G68" s="205" t="str">
        <f t="shared" si="8"/>
        <v/>
      </c>
      <c r="H68" s="6" t="s">
        <v>5</v>
      </c>
      <c r="I68" s="228" t="str">
        <f t="shared" si="7"/>
        <v/>
      </c>
      <c r="M68" s="7"/>
    </row>
    <row r="69" spans="1:13" x14ac:dyDescent="0.25">
      <c r="A69" s="1" t="s">
        <v>790</v>
      </c>
      <c r="B69" s="228">
        <f>ROUND(N('Prior Year'!BE85), 0)</f>
        <v>613538</v>
      </c>
      <c r="C69" s="228">
        <f>data!BE85</f>
        <v>787487</v>
      </c>
      <c r="D69" s="228">
        <f>ROUND(N('Prior Year'!BE59), 0)</f>
        <v>22273</v>
      </c>
      <c r="E69" s="1">
        <f>data!BE59</f>
        <v>22273</v>
      </c>
      <c r="F69" s="205">
        <f>IF(B69=0,"",IF(D69=0,"",B69/D69))</f>
        <v>27.546266780406771</v>
      </c>
      <c r="G69" s="205">
        <f t="shared" si="4"/>
        <v>35.356126251515285</v>
      </c>
      <c r="H69" s="6">
        <f>IF(B69 = 0, "", IF(C69 = 0, "", IF(D69 = 0, "", IF(E69 = 0, "", IF(G69 / F69 - 1 &lt; -0.25, G69 / F69 - 1, IF(G69 / F69 - 1 &gt; 0.25, G69 / F69 - 1, ""))))))</f>
        <v>0.2835178913123555</v>
      </c>
      <c r="I69" s="228" t="s">
        <v>1378</v>
      </c>
      <c r="M69" s="7"/>
    </row>
    <row r="70" spans="1:13" x14ac:dyDescent="0.25">
      <c r="A70" s="1" t="s">
        <v>791</v>
      </c>
      <c r="B70" s="228">
        <f>ROUND(N('Prior Year'!BF85), 0)</f>
        <v>202569</v>
      </c>
      <c r="C70" s="228">
        <f>data!BF85</f>
        <v>281266</v>
      </c>
      <c r="D70" s="228" t="s">
        <v>752</v>
      </c>
      <c r="E70" s="4" t="s">
        <v>752</v>
      </c>
      <c r="F70" s="205" t="s">
        <v>5</v>
      </c>
      <c r="G70" s="205" t="str">
        <f t="shared" ref="G70:G94" si="9">IFERROR(IF(C70=0,"",IF(E70=0,"",C70/E70)),"")</f>
        <v/>
      </c>
      <c r="H70" s="6" t="s">
        <v>5</v>
      </c>
      <c r="I70" s="228" t="str">
        <f t="shared" si="7"/>
        <v/>
      </c>
      <c r="M70" s="7"/>
    </row>
    <row r="71" spans="1:13" x14ac:dyDescent="0.25">
      <c r="A71" s="1" t="s">
        <v>792</v>
      </c>
      <c r="B71" s="228">
        <f>ROUND(N('Prior Year'!BG85), 0)</f>
        <v>0</v>
      </c>
      <c r="C71" s="228">
        <f>data!BG85</f>
        <v>0</v>
      </c>
      <c r="D71" s="228" t="s">
        <v>752</v>
      </c>
      <c r="E71" s="4" t="s">
        <v>752</v>
      </c>
      <c r="F71" s="205" t="s">
        <v>5</v>
      </c>
      <c r="G71" s="205" t="str">
        <f t="shared" si="9"/>
        <v/>
      </c>
      <c r="H71" s="6" t="s">
        <v>5</v>
      </c>
      <c r="I71" s="228" t="str">
        <f t="shared" si="7"/>
        <v/>
      </c>
      <c r="M71" s="7"/>
    </row>
    <row r="72" spans="1:13" x14ac:dyDescent="0.25">
      <c r="A72" s="1" t="s">
        <v>793</v>
      </c>
      <c r="B72" s="228">
        <f>ROUND(N('Prior Year'!BH85), 0)</f>
        <v>670382</v>
      </c>
      <c r="C72" s="228">
        <f>data!BH85</f>
        <v>795427</v>
      </c>
      <c r="D72" s="228" t="s">
        <v>752</v>
      </c>
      <c r="E72" s="4" t="s">
        <v>752</v>
      </c>
      <c r="F72" s="205" t="s">
        <v>5</v>
      </c>
      <c r="G72" s="205" t="str">
        <f t="shared" si="9"/>
        <v/>
      </c>
      <c r="H72" s="6" t="s">
        <v>5</v>
      </c>
      <c r="I72" s="228" t="str">
        <f t="shared" si="7"/>
        <v/>
      </c>
      <c r="M72" s="7"/>
    </row>
    <row r="73" spans="1:13" x14ac:dyDescent="0.25">
      <c r="A73" s="1" t="s">
        <v>794</v>
      </c>
      <c r="B73" s="228">
        <f>ROUND(N('Prior Year'!BI85), 0)</f>
        <v>0</v>
      </c>
      <c r="C73" s="228">
        <f>data!BI85</f>
        <v>0</v>
      </c>
      <c r="D73" s="228" t="s">
        <v>752</v>
      </c>
      <c r="E73" s="4" t="s">
        <v>752</v>
      </c>
      <c r="F73" s="205" t="s">
        <v>5</v>
      </c>
      <c r="G73" s="205" t="str">
        <f t="shared" si="9"/>
        <v/>
      </c>
      <c r="H73" s="6" t="s">
        <v>5</v>
      </c>
      <c r="I73" s="228" t="str">
        <f t="shared" si="7"/>
        <v/>
      </c>
      <c r="M73" s="7"/>
    </row>
    <row r="74" spans="1:13" x14ac:dyDescent="0.25">
      <c r="A74" s="1" t="s">
        <v>795</v>
      </c>
      <c r="B74" s="228">
        <f>ROUND(N('Prior Year'!BJ85), 0)</f>
        <v>102859</v>
      </c>
      <c r="C74" s="228">
        <f>data!BJ85</f>
        <v>60590</v>
      </c>
      <c r="D74" s="228" t="s">
        <v>752</v>
      </c>
      <c r="E74" s="4" t="s">
        <v>752</v>
      </c>
      <c r="F74" s="205" t="s">
        <v>5</v>
      </c>
      <c r="G74" s="205" t="str">
        <f t="shared" si="9"/>
        <v/>
      </c>
      <c r="H74" s="6" t="s">
        <v>5</v>
      </c>
      <c r="I74" s="228" t="str">
        <f t="shared" si="7"/>
        <v/>
      </c>
      <c r="M74" s="7"/>
    </row>
    <row r="75" spans="1:13" x14ac:dyDescent="0.25">
      <c r="A75" s="1" t="s">
        <v>796</v>
      </c>
      <c r="B75" s="228">
        <f>ROUND(N('Prior Year'!BK85), 0)</f>
        <v>415044</v>
      </c>
      <c r="C75" s="228">
        <f>data!BK85</f>
        <v>739462</v>
      </c>
      <c r="D75" s="228" t="s">
        <v>752</v>
      </c>
      <c r="E75" s="4" t="s">
        <v>752</v>
      </c>
      <c r="F75" s="205" t="s">
        <v>5</v>
      </c>
      <c r="G75" s="205" t="str">
        <f t="shared" si="9"/>
        <v/>
      </c>
      <c r="H75" s="6" t="s">
        <v>5</v>
      </c>
      <c r="I75" s="228" t="str">
        <f t="shared" si="7"/>
        <v/>
      </c>
      <c r="M75" s="7"/>
    </row>
    <row r="76" spans="1:13" x14ac:dyDescent="0.25">
      <c r="A76" s="1" t="s">
        <v>797</v>
      </c>
      <c r="B76" s="228">
        <f>ROUND(N('Prior Year'!BL85), 0)</f>
        <v>0</v>
      </c>
      <c r="C76" s="228">
        <f>data!BL85</f>
        <v>0</v>
      </c>
      <c r="D76" s="228" t="s">
        <v>752</v>
      </c>
      <c r="E76" s="4" t="s">
        <v>752</v>
      </c>
      <c r="F76" s="205" t="s">
        <v>5</v>
      </c>
      <c r="G76" s="205" t="str">
        <f t="shared" si="9"/>
        <v/>
      </c>
      <c r="H76" s="6" t="s">
        <v>5</v>
      </c>
      <c r="I76" s="228" t="str">
        <f t="shared" si="7"/>
        <v/>
      </c>
      <c r="M76" s="7"/>
    </row>
    <row r="77" spans="1:13" x14ac:dyDescent="0.25">
      <c r="A77" s="1" t="s">
        <v>798</v>
      </c>
      <c r="B77" s="228">
        <f>ROUND(N('Prior Year'!BM85), 0)</f>
        <v>0</v>
      </c>
      <c r="C77" s="228">
        <f>data!BM85</f>
        <v>0</v>
      </c>
      <c r="D77" s="228" t="s">
        <v>752</v>
      </c>
      <c r="E77" s="4" t="s">
        <v>752</v>
      </c>
      <c r="F77" s="205" t="s">
        <v>5</v>
      </c>
      <c r="G77" s="205" t="str">
        <f t="shared" si="9"/>
        <v/>
      </c>
      <c r="H77" s="6" t="s">
        <v>5</v>
      </c>
      <c r="I77" s="228" t="str">
        <f t="shared" si="7"/>
        <v/>
      </c>
      <c r="M77" s="7"/>
    </row>
    <row r="78" spans="1:13" x14ac:dyDescent="0.25">
      <c r="A78" s="1" t="s">
        <v>799</v>
      </c>
      <c r="B78" s="228">
        <f>ROUND(N('Prior Year'!BN85), 0)</f>
        <v>1542514</v>
      </c>
      <c r="C78" s="228">
        <f>data!BN85</f>
        <v>1385169</v>
      </c>
      <c r="D78" s="228" t="s">
        <v>752</v>
      </c>
      <c r="E78" s="4" t="s">
        <v>752</v>
      </c>
      <c r="F78" s="205" t="s">
        <v>5</v>
      </c>
      <c r="G78" s="205" t="str">
        <f t="shared" si="9"/>
        <v/>
      </c>
      <c r="H78" s="6" t="s">
        <v>5</v>
      </c>
      <c r="I78" s="228" t="str">
        <f t="shared" si="7"/>
        <v/>
      </c>
      <c r="M78" s="7"/>
    </row>
    <row r="79" spans="1:13" x14ac:dyDescent="0.25">
      <c r="A79" s="1" t="s">
        <v>800</v>
      </c>
      <c r="B79" s="228">
        <f>ROUND(N('Prior Year'!BO85), 0)</f>
        <v>0</v>
      </c>
      <c r="C79" s="228">
        <f>data!BO85</f>
        <v>13130</v>
      </c>
      <c r="D79" s="228" t="s">
        <v>752</v>
      </c>
      <c r="E79" s="4" t="s">
        <v>752</v>
      </c>
      <c r="F79" s="205" t="s">
        <v>5</v>
      </c>
      <c r="G79" s="205" t="str">
        <f t="shared" si="9"/>
        <v/>
      </c>
      <c r="H79" s="6" t="s">
        <v>5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28">
        <f>ROUND(N('Prior Year'!BP85), 0)</f>
        <v>0</v>
      </c>
      <c r="C80" s="228">
        <f>data!BP85</f>
        <v>0</v>
      </c>
      <c r="D80" s="228" t="s">
        <v>752</v>
      </c>
      <c r="E80" s="4" t="s">
        <v>752</v>
      </c>
      <c r="F80" s="205" t="s">
        <v>5</v>
      </c>
      <c r="G80" s="205" t="str">
        <f t="shared" si="9"/>
        <v/>
      </c>
      <c r="H80" s="6" t="s">
        <v>5</v>
      </c>
      <c r="I80" s="228" t="str">
        <f t="shared" si="10"/>
        <v/>
      </c>
      <c r="M80" s="7"/>
    </row>
    <row r="81" spans="1:13" x14ac:dyDescent="0.25">
      <c r="A81" s="1" t="s">
        <v>802</v>
      </c>
      <c r="B81" s="228">
        <f>ROUND(N('Prior Year'!BQ85), 0)</f>
        <v>0</v>
      </c>
      <c r="C81" s="228">
        <f>data!BQ85</f>
        <v>0</v>
      </c>
      <c r="D81" s="228" t="s">
        <v>752</v>
      </c>
      <c r="E81" s="4" t="s">
        <v>752</v>
      </c>
      <c r="F81" s="205" t="s">
        <v>5</v>
      </c>
      <c r="G81" s="205" t="str">
        <f t="shared" si="9"/>
        <v/>
      </c>
      <c r="H81" s="6" t="s">
        <v>5</v>
      </c>
      <c r="I81" s="228" t="str">
        <f t="shared" si="10"/>
        <v/>
      </c>
      <c r="M81" s="7"/>
    </row>
    <row r="82" spans="1:13" x14ac:dyDescent="0.25">
      <c r="A82" s="1" t="s">
        <v>803</v>
      </c>
      <c r="B82" s="228">
        <f>ROUND(N('Prior Year'!BR85), 0)</f>
        <v>0</v>
      </c>
      <c r="C82" s="228">
        <f>data!BR85</f>
        <v>0</v>
      </c>
      <c r="D82" s="228" t="s">
        <v>752</v>
      </c>
      <c r="E82" s="4" t="s">
        <v>752</v>
      </c>
      <c r="F82" s="205" t="s">
        <v>5</v>
      </c>
      <c r="G82" s="205" t="str">
        <f t="shared" si="9"/>
        <v/>
      </c>
      <c r="H82" s="6" t="s">
        <v>5</v>
      </c>
      <c r="I82" s="228" t="str">
        <f t="shared" si="10"/>
        <v/>
      </c>
      <c r="M82" s="7"/>
    </row>
    <row r="83" spans="1:13" x14ac:dyDescent="0.25">
      <c r="A83" s="1" t="s">
        <v>804</v>
      </c>
      <c r="B83" s="228">
        <f>ROUND(N('Prior Year'!BS85), 0)</f>
        <v>10582</v>
      </c>
      <c r="C83" s="228">
        <f>data!BS85</f>
        <v>14994</v>
      </c>
      <c r="D83" s="228" t="s">
        <v>752</v>
      </c>
      <c r="E83" s="4" t="s">
        <v>752</v>
      </c>
      <c r="F83" s="205" t="s">
        <v>5</v>
      </c>
      <c r="G83" s="205" t="str">
        <f t="shared" si="9"/>
        <v/>
      </c>
      <c r="H83" s="6" t="s">
        <v>5</v>
      </c>
      <c r="I83" s="228" t="str">
        <f t="shared" si="10"/>
        <v/>
      </c>
      <c r="M83" s="7"/>
    </row>
    <row r="84" spans="1:13" x14ac:dyDescent="0.25">
      <c r="A84" s="1" t="s">
        <v>805</v>
      </c>
      <c r="B84" s="228">
        <f>ROUND(N('Prior Year'!BT85), 0)</f>
        <v>0</v>
      </c>
      <c r="C84" s="228">
        <f>data!BT85</f>
        <v>0</v>
      </c>
      <c r="D84" s="228" t="s">
        <v>752</v>
      </c>
      <c r="E84" s="4" t="s">
        <v>752</v>
      </c>
      <c r="F84" s="205" t="s">
        <v>5</v>
      </c>
      <c r="G84" s="205" t="str">
        <f t="shared" si="9"/>
        <v/>
      </c>
      <c r="H84" s="6" t="s">
        <v>5</v>
      </c>
      <c r="I84" s="228" t="str">
        <f t="shared" si="10"/>
        <v/>
      </c>
      <c r="M84" s="7"/>
    </row>
    <row r="85" spans="1:13" x14ac:dyDescent="0.25">
      <c r="A85" s="1" t="s">
        <v>806</v>
      </c>
      <c r="B85" s="228">
        <f>ROUND(N('Prior Year'!BU85), 0)</f>
        <v>0</v>
      </c>
      <c r="C85" s="228">
        <f>data!BU85</f>
        <v>0</v>
      </c>
      <c r="D85" s="228" t="s">
        <v>752</v>
      </c>
      <c r="E85" s="4" t="s">
        <v>752</v>
      </c>
      <c r="F85" s="205" t="s">
        <v>5</v>
      </c>
      <c r="G85" s="205" t="str">
        <f t="shared" si="9"/>
        <v/>
      </c>
      <c r="H85" s="6" t="s">
        <v>5</v>
      </c>
      <c r="I85" s="228" t="str">
        <f t="shared" si="10"/>
        <v/>
      </c>
      <c r="M85" s="7"/>
    </row>
    <row r="86" spans="1:13" x14ac:dyDescent="0.25">
      <c r="A86" s="1" t="s">
        <v>807</v>
      </c>
      <c r="B86" s="228">
        <f>ROUND(N('Prior Year'!BV85), 0)</f>
        <v>101858</v>
      </c>
      <c r="C86" s="228">
        <f>data!BV85</f>
        <v>143773</v>
      </c>
      <c r="D86" s="228" t="s">
        <v>752</v>
      </c>
      <c r="E86" s="4" t="s">
        <v>752</v>
      </c>
      <c r="F86" s="205" t="s">
        <v>5</v>
      </c>
      <c r="G86" s="205" t="str">
        <f t="shared" si="9"/>
        <v/>
      </c>
      <c r="H86" s="6" t="s">
        <v>5</v>
      </c>
      <c r="I86" s="228" t="str">
        <f t="shared" si="10"/>
        <v/>
      </c>
      <c r="M86" s="7"/>
    </row>
    <row r="87" spans="1:13" x14ac:dyDescent="0.25">
      <c r="A87" s="1" t="s">
        <v>808</v>
      </c>
      <c r="B87" s="228">
        <f>ROUND(N('Prior Year'!BW85), 0)</f>
        <v>0</v>
      </c>
      <c r="C87" s="228">
        <f>data!BW85</f>
        <v>0</v>
      </c>
      <c r="D87" s="228" t="s">
        <v>752</v>
      </c>
      <c r="E87" s="4" t="s">
        <v>752</v>
      </c>
      <c r="F87" s="205" t="s">
        <v>5</v>
      </c>
      <c r="G87" s="205" t="str">
        <f t="shared" si="9"/>
        <v/>
      </c>
      <c r="H87" s="6" t="s">
        <v>5</v>
      </c>
      <c r="I87" s="228" t="str">
        <f t="shared" si="10"/>
        <v/>
      </c>
      <c r="M87" s="7"/>
    </row>
    <row r="88" spans="1:13" x14ac:dyDescent="0.25">
      <c r="A88" s="1" t="s">
        <v>809</v>
      </c>
      <c r="B88" s="228">
        <f>ROUND(N('Prior Year'!BX85), 0)</f>
        <v>0</v>
      </c>
      <c r="C88" s="228">
        <f>data!BX85</f>
        <v>0</v>
      </c>
      <c r="D88" s="228" t="s">
        <v>752</v>
      </c>
      <c r="E88" s="4" t="s">
        <v>752</v>
      </c>
      <c r="F88" s="205" t="s">
        <v>5</v>
      </c>
      <c r="G88" s="205" t="str">
        <f t="shared" si="9"/>
        <v/>
      </c>
      <c r="H88" s="6" t="s">
        <v>5</v>
      </c>
      <c r="I88" s="228" t="str">
        <f t="shared" si="10"/>
        <v/>
      </c>
      <c r="M88" s="7"/>
    </row>
    <row r="89" spans="1:13" x14ac:dyDescent="0.25">
      <c r="A89" s="1" t="s">
        <v>810</v>
      </c>
      <c r="B89" s="228">
        <f>ROUND(N('Prior Year'!BY85), 0)</f>
        <v>200522</v>
      </c>
      <c r="C89" s="228">
        <f>data!BY85</f>
        <v>217874</v>
      </c>
      <c r="D89" s="228" t="s">
        <v>752</v>
      </c>
      <c r="E89" s="4" t="s">
        <v>752</v>
      </c>
      <c r="F89" s="205" t="s">
        <v>5</v>
      </c>
      <c r="G89" s="205" t="str">
        <f t="shared" si="9"/>
        <v/>
      </c>
      <c r="H89" s="6" t="s">
        <v>5</v>
      </c>
      <c r="I89" s="228" t="str">
        <f t="shared" si="10"/>
        <v/>
      </c>
      <c r="M89" s="7"/>
    </row>
    <row r="90" spans="1:13" x14ac:dyDescent="0.25">
      <c r="A90" s="1" t="s">
        <v>811</v>
      </c>
      <c r="B90" s="228">
        <f>ROUND(N('Prior Year'!BZ85), 0)</f>
        <v>0</v>
      </c>
      <c r="C90" s="228">
        <f>data!BZ85</f>
        <v>0</v>
      </c>
      <c r="D90" s="228" t="s">
        <v>752</v>
      </c>
      <c r="E90" s="4" t="s">
        <v>752</v>
      </c>
      <c r="F90" s="205" t="s">
        <v>5</v>
      </c>
      <c r="G90" s="205" t="str">
        <f t="shared" si="9"/>
        <v/>
      </c>
      <c r="H90" s="6" t="s">
        <v>5</v>
      </c>
      <c r="I90" s="228" t="str">
        <f t="shared" si="10"/>
        <v/>
      </c>
      <c r="M90" s="7"/>
    </row>
    <row r="91" spans="1:13" x14ac:dyDescent="0.25">
      <c r="A91" s="1" t="s">
        <v>812</v>
      </c>
      <c r="B91" s="228">
        <f>ROUND(N('Prior Year'!CA85), 0)</f>
        <v>0</v>
      </c>
      <c r="C91" s="228">
        <f>data!CA85</f>
        <v>0</v>
      </c>
      <c r="D91" s="228" t="s">
        <v>752</v>
      </c>
      <c r="E91" s="4" t="s">
        <v>752</v>
      </c>
      <c r="F91" s="205" t="s">
        <v>5</v>
      </c>
      <c r="G91" s="205" t="str">
        <f t="shared" si="9"/>
        <v/>
      </c>
      <c r="H91" s="6" t="s">
        <v>5</v>
      </c>
      <c r="I91" s="228" t="str">
        <f t="shared" si="10"/>
        <v/>
      </c>
      <c r="M91" s="7"/>
    </row>
    <row r="92" spans="1:13" x14ac:dyDescent="0.25">
      <c r="A92" s="1" t="s">
        <v>813</v>
      </c>
      <c r="B92" s="228">
        <f>ROUND(N('Prior Year'!CB85), 0)</f>
        <v>0</v>
      </c>
      <c r="C92" s="228">
        <f>data!CB85</f>
        <v>0</v>
      </c>
      <c r="D92" s="228" t="s">
        <v>752</v>
      </c>
      <c r="E92" s="4" t="s">
        <v>752</v>
      </c>
      <c r="F92" s="205" t="s">
        <v>5</v>
      </c>
      <c r="G92" s="205" t="str">
        <f t="shared" si="9"/>
        <v/>
      </c>
      <c r="H92" s="6" t="s">
        <v>5</v>
      </c>
      <c r="I92" s="228" t="str">
        <f t="shared" si="10"/>
        <v/>
      </c>
      <c r="M92" s="7"/>
    </row>
    <row r="93" spans="1:13" x14ac:dyDescent="0.25">
      <c r="A93" s="1" t="s">
        <v>814</v>
      </c>
      <c r="B93" s="228">
        <f>ROUND(N('Prior Year'!CC85), 0)</f>
        <v>0</v>
      </c>
      <c r="C93" s="228">
        <f>data!CC85</f>
        <v>0</v>
      </c>
      <c r="D93" s="228" t="s">
        <v>752</v>
      </c>
      <c r="E93" s="4" t="s">
        <v>752</v>
      </c>
      <c r="F93" s="205" t="s">
        <v>5</v>
      </c>
      <c r="G93" s="205" t="str">
        <f t="shared" si="9"/>
        <v/>
      </c>
      <c r="H93" s="6" t="s">
        <v>5</v>
      </c>
      <c r="I93" s="228" t="str">
        <f t="shared" si="10"/>
        <v/>
      </c>
      <c r="M93" s="7"/>
    </row>
    <row r="94" spans="1:13" x14ac:dyDescent="0.25">
      <c r="A94" s="1" t="s">
        <v>815</v>
      </c>
      <c r="B94" s="228">
        <f>ROUND(N('Prior Year'!CD85), 0)</f>
        <v>14293</v>
      </c>
      <c r="C94" s="228">
        <f>data!CD85</f>
        <v>0</v>
      </c>
      <c r="D94" s="228" t="s">
        <v>752</v>
      </c>
      <c r="E94" s="4" t="s">
        <v>752</v>
      </c>
      <c r="F94" s="205" t="s">
        <v>5</v>
      </c>
      <c r="G94" s="205" t="str">
        <f t="shared" si="9"/>
        <v/>
      </c>
      <c r="H94" s="6" t="s">
        <v>5</v>
      </c>
      <c r="I94" s="228" t="str">
        <f t="shared" si="10"/>
        <v/>
      </c>
      <c r="M94" s="7"/>
    </row>
  </sheetData>
  <pageMargins left="0.7" right="0.7" top="0.75" bottom="0.75" header="0.3" footer="0.3"/>
  <pageSetup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9" workbookViewId="0">
      <selection activeCell="F26" sqref="F26"/>
    </sheetView>
  </sheetViews>
  <sheetFormatPr defaultRowHeight="15" x14ac:dyDescent="0.2"/>
  <sheetData>
    <row r="1" spans="1:4" ht="15.75" x14ac:dyDescent="0.25">
      <c r="A1" s="279" t="s">
        <v>816</v>
      </c>
      <c r="B1" s="278"/>
      <c r="C1" s="278"/>
      <c r="D1" s="278"/>
    </row>
    <row r="2" spans="1:4" ht="15.75" x14ac:dyDescent="0.25">
      <c r="A2" s="278"/>
      <c r="B2" s="278"/>
      <c r="C2" s="278"/>
      <c r="D2" s="278"/>
    </row>
    <row r="3" spans="1:4" ht="15.75" x14ac:dyDescent="0.25">
      <c r="A3" s="281" t="s">
        <v>817</v>
      </c>
      <c r="B3" s="278"/>
      <c r="C3" s="278"/>
      <c r="D3" s="278"/>
    </row>
    <row r="4" spans="1:4" ht="15.75" x14ac:dyDescent="0.25">
      <c r="A4" s="278" t="s">
        <v>818</v>
      </c>
      <c r="B4" s="278"/>
      <c r="C4" s="278"/>
      <c r="D4" s="278"/>
    </row>
    <row r="5" spans="1:4" ht="15.75" x14ac:dyDescent="0.25">
      <c r="A5" s="278" t="s">
        <v>819</v>
      </c>
      <c r="B5" s="278"/>
      <c r="C5" s="278"/>
      <c r="D5" s="278"/>
    </row>
    <row r="6" spans="1:4" ht="15.75" x14ac:dyDescent="0.25">
      <c r="A6" s="278"/>
      <c r="B6" s="278"/>
      <c r="C6" s="278"/>
      <c r="D6" s="278"/>
    </row>
    <row r="7" spans="1:4" ht="15.75" x14ac:dyDescent="0.25">
      <c r="A7" s="278" t="s">
        <v>820</v>
      </c>
      <c r="B7" s="278"/>
      <c r="C7" s="278"/>
      <c r="D7" s="278"/>
    </row>
    <row r="8" spans="1:4" ht="15.75" x14ac:dyDescent="0.25">
      <c r="A8" s="278" t="s">
        <v>821</v>
      </c>
      <c r="B8" s="278"/>
      <c r="C8" s="278"/>
      <c r="D8" s="278"/>
    </row>
    <row r="9" spans="1:4" ht="15.75" x14ac:dyDescent="0.25">
      <c r="A9" s="278"/>
      <c r="B9" s="278"/>
      <c r="C9" s="278"/>
      <c r="D9" s="278"/>
    </row>
    <row r="10" spans="1:4" ht="15.75" x14ac:dyDescent="0.25">
      <c r="A10" s="278"/>
      <c r="B10" s="278"/>
      <c r="C10" s="278"/>
      <c r="D10" s="278"/>
    </row>
    <row r="11" spans="1:4" ht="15.75" x14ac:dyDescent="0.25">
      <c r="A11" s="280" t="s">
        <v>822</v>
      </c>
      <c r="B11" s="278"/>
      <c r="C11" s="278"/>
      <c r="D11" s="278">
        <f>N(data!C380)</f>
        <v>36343</v>
      </c>
    </row>
    <row r="12" spans="1:4" ht="15.75" x14ac:dyDescent="0.25">
      <c r="A12" s="280" t="s">
        <v>823</v>
      </c>
      <c r="B12" s="278"/>
      <c r="C12" s="278"/>
      <c r="D12" s="278" t="str">
        <f>IF(OR(N(data!C380) &gt; 1000000, N(data!C380) / (N(data!D360) + N(data!D383)) &gt; 0.01), "Yes", "No")</f>
        <v>No</v>
      </c>
    </row>
    <row r="13" spans="1:4" ht="15.75" x14ac:dyDescent="0.25">
      <c r="A13" s="278"/>
      <c r="B13" s="278"/>
      <c r="C13" s="278"/>
      <c r="D13" s="278"/>
    </row>
    <row r="14" spans="1:4" ht="15.75" x14ac:dyDescent="0.25">
      <c r="A14" s="280" t="s">
        <v>824</v>
      </c>
      <c r="B14" s="278"/>
      <c r="C14" s="278"/>
      <c r="D14" s="280" t="s">
        <v>825</v>
      </c>
    </row>
    <row r="15" spans="1:4" ht="15.75" x14ac:dyDescent="0.25">
      <c r="A15" s="278" t="s">
        <v>826</v>
      </c>
      <c r="B15" s="278"/>
      <c r="C15" s="278"/>
      <c r="D15" s="278"/>
    </row>
    <row r="16" spans="1:4" ht="15.75" x14ac:dyDescent="0.25">
      <c r="A16" s="278" t="s">
        <v>826</v>
      </c>
      <c r="B16" s="278"/>
      <c r="C16" s="278"/>
      <c r="D16" s="278"/>
    </row>
    <row r="17" spans="1:4" ht="15.75" x14ac:dyDescent="0.25">
      <c r="A17" s="278" t="s">
        <v>826</v>
      </c>
      <c r="B17" s="278"/>
      <c r="C17" s="278"/>
      <c r="D17" s="278"/>
    </row>
    <row r="18" spans="1:4" ht="15.75" x14ac:dyDescent="0.25">
      <c r="A18" s="278" t="s">
        <v>826</v>
      </c>
      <c r="B18" s="278"/>
      <c r="C18" s="278"/>
      <c r="D18" s="278"/>
    </row>
    <row r="19" spans="1:4" ht="15.75" x14ac:dyDescent="0.25">
      <c r="A19" s="278" t="s">
        <v>826</v>
      </c>
      <c r="B19" s="278"/>
      <c r="C19" s="278"/>
      <c r="D19" s="278"/>
    </row>
    <row r="20" spans="1:4" ht="15.75" x14ac:dyDescent="0.25">
      <c r="A20" s="278" t="s">
        <v>826</v>
      </c>
      <c r="B20" s="278"/>
      <c r="C20" s="278"/>
      <c r="D20" s="278"/>
    </row>
    <row r="21" spans="1:4" ht="15.75" x14ac:dyDescent="0.25">
      <c r="A21" s="278" t="s">
        <v>826</v>
      </c>
      <c r="B21" s="278"/>
      <c r="C21" s="278"/>
      <c r="D21" s="278"/>
    </row>
    <row r="22" spans="1:4" ht="15.75" x14ac:dyDescent="0.25">
      <c r="A22" s="278"/>
      <c r="B22" s="278"/>
      <c r="C22" s="278"/>
      <c r="D22" s="278"/>
    </row>
    <row r="23" spans="1:4" ht="15.75" x14ac:dyDescent="0.25">
      <c r="A23" s="278"/>
      <c r="B23" s="278"/>
      <c r="C23" s="278"/>
      <c r="D23" s="278"/>
    </row>
    <row r="24" spans="1:4" ht="15.75" x14ac:dyDescent="0.25">
      <c r="A24" s="278"/>
      <c r="B24" s="278"/>
      <c r="C24" s="278"/>
      <c r="D24" s="278"/>
    </row>
    <row r="25" spans="1:4" ht="15.75" x14ac:dyDescent="0.25">
      <c r="A25" s="280" t="s">
        <v>827</v>
      </c>
      <c r="B25" s="278"/>
      <c r="C25" s="278"/>
      <c r="D25" s="278">
        <f>N(data!C414)</f>
        <v>182254</v>
      </c>
    </row>
    <row r="26" spans="1:4" ht="15.75" x14ac:dyDescent="0.25">
      <c r="A26" s="280" t="s">
        <v>823</v>
      </c>
      <c r="B26" s="278"/>
      <c r="C26" s="278"/>
      <c r="D26" s="278" t="str">
        <f>IF(OR(N(data!C414)&gt;1000000,N(data!C414)/(N(data!D416))&gt;0.01),"Yes","No")</f>
        <v>Yes</v>
      </c>
    </row>
    <row r="27" spans="1:4" ht="15.75" x14ac:dyDescent="0.25">
      <c r="A27" s="278"/>
      <c r="B27" s="278"/>
      <c r="C27" s="278"/>
      <c r="D27" s="278"/>
    </row>
    <row r="28" spans="1:4" ht="15.75" x14ac:dyDescent="0.25">
      <c r="A28" s="280" t="s">
        <v>824</v>
      </c>
      <c r="B28" s="278"/>
      <c r="C28" s="278"/>
      <c r="D28" s="280" t="s">
        <v>825</v>
      </c>
    </row>
    <row r="29" spans="1:4" ht="15.75" x14ac:dyDescent="0.25">
      <c r="A29" s="278" t="s">
        <v>1371</v>
      </c>
      <c r="B29" s="278"/>
      <c r="C29" s="278"/>
      <c r="D29" s="278">
        <v>78503</v>
      </c>
    </row>
    <row r="30" spans="1:4" ht="15.75" x14ac:dyDescent="0.25">
      <c r="A30" s="278" t="s">
        <v>1372</v>
      </c>
      <c r="B30" s="278"/>
      <c r="C30" s="278"/>
      <c r="D30" s="278">
        <v>37420</v>
      </c>
    </row>
    <row r="31" spans="1:4" ht="15.75" x14ac:dyDescent="0.25">
      <c r="A31" s="278" t="s">
        <v>1373</v>
      </c>
      <c r="B31" s="278"/>
      <c r="C31" s="278"/>
      <c r="D31" s="278">
        <v>62870</v>
      </c>
    </row>
    <row r="32" spans="1:4" ht="15.75" x14ac:dyDescent="0.25">
      <c r="A32" s="278" t="s">
        <v>159</v>
      </c>
      <c r="B32" s="278"/>
      <c r="C32" s="278"/>
      <c r="D32" s="278">
        <v>3461</v>
      </c>
    </row>
    <row r="33" spans="1:4" ht="15.75" x14ac:dyDescent="0.25">
      <c r="A33" s="278" t="s">
        <v>828</v>
      </c>
      <c r="B33" s="278"/>
      <c r="C33" s="278"/>
      <c r="D33" s="278"/>
    </row>
    <row r="34" spans="1:4" ht="15.75" x14ac:dyDescent="0.25">
      <c r="A34" s="278" t="s">
        <v>828</v>
      </c>
      <c r="B34" s="278"/>
      <c r="C34" s="278"/>
      <c r="D34" s="278"/>
    </row>
    <row r="35" spans="1:4" ht="15.75" x14ac:dyDescent="0.25">
      <c r="A35" s="278" t="s">
        <v>828</v>
      </c>
      <c r="B35" s="278"/>
      <c r="C35" s="278"/>
      <c r="D35" s="278"/>
    </row>
    <row r="36" spans="1:4" ht="15.75" x14ac:dyDescent="0.25">
      <c r="A36" s="278"/>
      <c r="B36" s="278"/>
      <c r="C36" s="278"/>
      <c r="D36" s="2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D32" sqref="D32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829</v>
      </c>
    </row>
    <row r="2" spans="1:7" ht="20.100000000000001" customHeight="1" x14ac:dyDescent="0.25">
      <c r="A2" s="62" t="s">
        <v>830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12/31/2022</v>
      </c>
      <c r="C4" s="64"/>
      <c r="D4" s="65"/>
      <c r="E4" s="66"/>
      <c r="F4" s="64" t="str">
        <f>"License Number:  "&amp;"H-"&amp;FIXED(data!C97,0)</f>
        <v>License Number:  H-111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EAST ADAMS RURAL HEALTHCARE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"&amp;data!C103</f>
        <v xml:space="preserve">  ADAMS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831</v>
      </c>
      <c r="C7" s="67"/>
      <c r="D7" s="64" t="str">
        <f>"  "&amp;data!C104</f>
        <v xml:space="preserve">  Corey Fedie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832</v>
      </c>
      <c r="C8" s="67"/>
      <c r="D8" s="64" t="str">
        <f>"  "&amp;data!C105</f>
        <v xml:space="preserve">  Matthew Gosman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833</v>
      </c>
      <c r="C9" s="67"/>
      <c r="D9" s="64" t="str">
        <f>"  "&amp;data!C106</f>
        <v xml:space="preserve">  John Kragt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834</v>
      </c>
      <c r="C10" s="67"/>
      <c r="D10" s="64" t="str">
        <f>"  "&amp;data!C107</f>
        <v xml:space="preserve">  (509) 659-5402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835</v>
      </c>
      <c r="C11" s="67"/>
      <c r="D11" s="64" t="str">
        <f>"  "&amp;data!C108</f>
        <v xml:space="preserve">  (509) 659-1252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836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326</v>
      </c>
      <c r="B15" s="74"/>
      <c r="C15" s="75" t="s">
        <v>328</v>
      </c>
      <c r="D15" s="74"/>
      <c r="E15" s="75" t="s">
        <v>330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837</v>
      </c>
      <c r="E16" s="229" t="str">
        <f>IF(data!C120&gt;0," X","")</f>
        <v/>
      </c>
      <c r="F16" s="81" t="s">
        <v>331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/>
      </c>
      <c r="D17" s="80" t="s">
        <v>411</v>
      </c>
      <c r="E17" s="229" t="str">
        <f>IF(data!C121&gt;0," X","")</f>
        <v/>
      </c>
      <c r="F17" s="81" t="s">
        <v>332</v>
      </c>
      <c r="G17" s="67"/>
    </row>
    <row r="18" spans="1:7" ht="20.100000000000001" customHeight="1" x14ac:dyDescent="0.25">
      <c r="A18" s="63"/>
      <c r="B18" s="67" t="s">
        <v>838</v>
      </c>
      <c r="C18" s="67"/>
      <c r="D18" s="67"/>
      <c r="E18" s="229" t="str">
        <f>IF(data!C122&gt;0," X","")</f>
        <v/>
      </c>
      <c r="F18" s="81" t="s">
        <v>333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839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840</v>
      </c>
      <c r="C22" s="64"/>
      <c r="D22" s="64"/>
      <c r="E22" s="64"/>
      <c r="F22" s="78" t="s">
        <v>336</v>
      </c>
      <c r="G22" s="79" t="s">
        <v>242</v>
      </c>
    </row>
    <row r="23" spans="1:7" ht="20.100000000000001" customHeight="1" x14ac:dyDescent="0.25">
      <c r="A23" s="63"/>
      <c r="B23" s="64" t="s">
        <v>841</v>
      </c>
      <c r="C23" s="64"/>
      <c r="D23" s="64"/>
      <c r="E23" s="64"/>
      <c r="F23" s="63">
        <f>data!C127</f>
        <v>87</v>
      </c>
      <c r="G23" s="67">
        <f>data!D127</f>
        <v>261</v>
      </c>
    </row>
    <row r="24" spans="1:7" ht="20.100000000000001" customHeight="1" x14ac:dyDescent="0.25">
      <c r="A24" s="63"/>
      <c r="B24" s="64" t="s">
        <v>842</v>
      </c>
      <c r="C24" s="64"/>
      <c r="D24" s="64"/>
      <c r="E24" s="64"/>
      <c r="F24" s="63">
        <f>data!C128</f>
        <v>0</v>
      </c>
      <c r="G24" s="67">
        <f>data!D128</f>
        <v>1324</v>
      </c>
    </row>
    <row r="25" spans="1:7" ht="20.100000000000001" customHeight="1" x14ac:dyDescent="0.25">
      <c r="A25" s="63"/>
      <c r="B25" s="64" t="s">
        <v>843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340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844</v>
      </c>
      <c r="C29" s="67"/>
      <c r="D29" s="79" t="s">
        <v>194</v>
      </c>
      <c r="E29" s="83" t="s">
        <v>844</v>
      </c>
      <c r="F29" s="67"/>
      <c r="G29" s="79" t="s">
        <v>194</v>
      </c>
    </row>
    <row r="30" spans="1:7" ht="20.100000000000001" customHeight="1" x14ac:dyDescent="0.25">
      <c r="A30" s="63"/>
      <c r="B30" s="64" t="s">
        <v>342</v>
      </c>
      <c r="C30" s="67"/>
      <c r="D30" s="67">
        <f>data!C132</f>
        <v>0</v>
      </c>
      <c r="E30" s="64" t="s">
        <v>348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845</v>
      </c>
      <c r="C31" s="67"/>
      <c r="D31" s="67">
        <f>data!C133</f>
        <v>0</v>
      </c>
      <c r="E31" s="64" t="s">
        <v>349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846</v>
      </c>
      <c r="C32" s="67"/>
      <c r="D32" s="67">
        <f>data!C134</f>
        <v>12</v>
      </c>
      <c r="E32" s="64" t="s">
        <v>847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848</v>
      </c>
      <c r="C33" s="67"/>
      <c r="D33" s="67">
        <f>data!C135</f>
        <v>0</v>
      </c>
      <c r="E33" s="64" t="s">
        <v>849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850</v>
      </c>
      <c r="C34" s="67"/>
      <c r="D34" s="67">
        <f>data!C136</f>
        <v>0</v>
      </c>
      <c r="E34" s="64" t="s">
        <v>351</v>
      </c>
      <c r="F34" s="67"/>
      <c r="G34" s="67">
        <f>data!E143</f>
        <v>12</v>
      </c>
    </row>
    <row r="35" spans="1:7" ht="20.100000000000001" customHeight="1" x14ac:dyDescent="0.25">
      <c r="A35" s="63"/>
      <c r="B35" s="83" t="s">
        <v>851</v>
      </c>
      <c r="C35" s="67"/>
      <c r="D35" s="67">
        <f>data!C137</f>
        <v>0</v>
      </c>
      <c r="E35" s="64" t="s">
        <v>852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data!C138</f>
        <v>0</v>
      </c>
      <c r="E36" s="64" t="s">
        <v>352</v>
      </c>
      <c r="F36" s="67"/>
      <c r="G36" s="67">
        <f>data!C144</f>
        <v>0</v>
      </c>
    </row>
    <row r="37" spans="1:7" ht="20.100000000000001" customHeight="1" x14ac:dyDescent="0.25">
      <c r="A37" s="63"/>
      <c r="E37" s="64" t="s">
        <v>353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348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853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A4" sqref="A4:D1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854</v>
      </c>
      <c r="G1" s="61" t="s">
        <v>855</v>
      </c>
    </row>
    <row r="2" spans="1:7" ht="20.100000000000001" customHeight="1" x14ac:dyDescent="0.25">
      <c r="A2" s="1" t="str">
        <f>"Hospital: "&amp;data!C98</f>
        <v>Hospital: EAST ADAMS RURAL HEALTHCARE</v>
      </c>
      <c r="G2" s="4" t="s">
        <v>856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21" t="s">
        <v>857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858</v>
      </c>
      <c r="C5" s="74"/>
      <c r="D5" s="74"/>
      <c r="E5" s="125" t="s">
        <v>363</v>
      </c>
      <c r="F5" s="74"/>
      <c r="G5" s="74"/>
    </row>
    <row r="6" spans="1:7" ht="20.100000000000001" customHeight="1" x14ac:dyDescent="0.25">
      <c r="A6" s="126" t="s">
        <v>859</v>
      </c>
      <c r="B6" s="79" t="s">
        <v>336</v>
      </c>
      <c r="C6" s="79" t="s">
        <v>860</v>
      </c>
      <c r="D6" s="79" t="s">
        <v>359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357</v>
      </c>
      <c r="B7" s="127">
        <f>data!B154</f>
        <v>30</v>
      </c>
      <c r="C7" s="127">
        <f>data!B155</f>
        <v>122</v>
      </c>
      <c r="D7" s="127">
        <f>data!B156</f>
        <v>0</v>
      </c>
      <c r="E7" s="127">
        <f>data!B157</f>
        <v>381601</v>
      </c>
      <c r="F7" s="127">
        <f>data!B158</f>
        <v>2947406</v>
      </c>
      <c r="G7" s="127">
        <f>data!B157+data!B158</f>
        <v>3329007</v>
      </c>
    </row>
    <row r="8" spans="1:7" ht="20.100000000000001" customHeight="1" x14ac:dyDescent="0.25">
      <c r="A8" s="63" t="s">
        <v>358</v>
      </c>
      <c r="B8" s="127">
        <f>data!C154</f>
        <v>14</v>
      </c>
      <c r="C8" s="127">
        <f>data!C155</f>
        <v>61</v>
      </c>
      <c r="D8" s="127">
        <f>data!C156</f>
        <v>0</v>
      </c>
      <c r="E8" s="127">
        <f>data!C157</f>
        <v>229706</v>
      </c>
      <c r="F8" s="127">
        <f>data!C158</f>
        <v>1387639</v>
      </c>
      <c r="G8" s="127">
        <f>data!C157+data!C158</f>
        <v>1617345</v>
      </c>
    </row>
    <row r="9" spans="1:7" ht="20.100000000000001" customHeight="1" x14ac:dyDescent="0.25">
      <c r="A9" s="63" t="s">
        <v>861</v>
      </c>
      <c r="B9" s="127">
        <f>data!D154</f>
        <v>43</v>
      </c>
      <c r="C9" s="127">
        <f>data!D155</f>
        <v>78</v>
      </c>
      <c r="D9" s="127">
        <f>data!D156</f>
        <v>0</v>
      </c>
      <c r="E9" s="127">
        <f>data!D157</f>
        <v>55882</v>
      </c>
      <c r="F9" s="127">
        <f>data!D158</f>
        <v>6388969</v>
      </c>
      <c r="G9" s="127">
        <f>data!D157+data!D158</f>
        <v>6444851</v>
      </c>
    </row>
    <row r="10" spans="1:7" ht="20.100000000000001" customHeight="1" x14ac:dyDescent="0.25">
      <c r="A10" s="78" t="s">
        <v>230</v>
      </c>
      <c r="B10" s="127">
        <f>data!E154</f>
        <v>87</v>
      </c>
      <c r="C10" s="127">
        <f>data!E155</f>
        <v>261</v>
      </c>
      <c r="D10" s="127">
        <f>data!E156</f>
        <v>0</v>
      </c>
      <c r="E10" s="127">
        <f>data!E157</f>
        <v>667189</v>
      </c>
      <c r="F10" s="127">
        <f>data!E158</f>
        <v>10724014</v>
      </c>
      <c r="G10" s="127">
        <f>E10+F10</f>
        <v>11391203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862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858</v>
      </c>
      <c r="C14" s="133"/>
      <c r="D14" s="133"/>
      <c r="E14" s="133" t="s">
        <v>363</v>
      </c>
      <c r="F14" s="133"/>
      <c r="G14" s="133"/>
    </row>
    <row r="15" spans="1:7" ht="20.100000000000001" customHeight="1" x14ac:dyDescent="0.25">
      <c r="A15" s="126" t="s">
        <v>859</v>
      </c>
      <c r="B15" s="79" t="s">
        <v>336</v>
      </c>
      <c r="C15" s="79" t="s">
        <v>860</v>
      </c>
      <c r="D15" s="79" t="s">
        <v>359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357</v>
      </c>
      <c r="B16" s="127">
        <f>data!B160</f>
        <v>0</v>
      </c>
      <c r="C16" s="127">
        <f>data!B161</f>
        <v>227</v>
      </c>
      <c r="D16" s="127">
        <f>data!B162</f>
        <v>0</v>
      </c>
      <c r="E16" s="127">
        <f>data!B163</f>
        <v>333480</v>
      </c>
      <c r="F16" s="127">
        <f>data!B164</f>
        <v>0</v>
      </c>
      <c r="G16" s="127">
        <f>data!B163+data!B164</f>
        <v>333480</v>
      </c>
    </row>
    <row r="17" spans="1:7" ht="20.100000000000001" customHeight="1" x14ac:dyDescent="0.25">
      <c r="A17" s="63" t="s">
        <v>358</v>
      </c>
      <c r="B17" s="127">
        <f>data!C160</f>
        <v>0</v>
      </c>
      <c r="C17" s="127">
        <f>data!C161</f>
        <v>568</v>
      </c>
      <c r="D17" s="127">
        <f>data!C162</f>
        <v>0</v>
      </c>
      <c r="E17" s="127">
        <f>data!C163</f>
        <v>133800</v>
      </c>
      <c r="F17" s="127">
        <f>data!C164</f>
        <v>0</v>
      </c>
      <c r="G17" s="127">
        <f>data!C163+data!C164</f>
        <v>133800</v>
      </c>
    </row>
    <row r="18" spans="1:7" ht="20.100000000000001" customHeight="1" x14ac:dyDescent="0.25">
      <c r="A18" s="63" t="s">
        <v>861</v>
      </c>
      <c r="B18" s="127">
        <f>data!D160</f>
        <v>0</v>
      </c>
      <c r="C18" s="127">
        <f>data!D161</f>
        <v>529</v>
      </c>
      <c r="D18" s="127">
        <f>data!D162</f>
        <v>0</v>
      </c>
      <c r="E18" s="127">
        <f>data!D163</f>
        <v>283480</v>
      </c>
      <c r="F18" s="127">
        <f>data!D164</f>
        <v>0</v>
      </c>
      <c r="G18" s="127">
        <f>data!D163+data!D164</f>
        <v>283480</v>
      </c>
    </row>
    <row r="19" spans="1:7" ht="20.100000000000001" customHeight="1" x14ac:dyDescent="0.25">
      <c r="A19" s="78" t="s">
        <v>230</v>
      </c>
      <c r="B19" s="127">
        <f>data!E160</f>
        <v>0</v>
      </c>
      <c r="C19" s="127">
        <f>data!E161</f>
        <v>1324</v>
      </c>
      <c r="D19" s="127">
        <f>data!E162</f>
        <v>0</v>
      </c>
      <c r="E19" s="127">
        <f>data!E163</f>
        <v>750760</v>
      </c>
      <c r="F19" s="127">
        <f>data!E164</f>
        <v>0</v>
      </c>
      <c r="G19" s="127">
        <f>data!E163+data!E164</f>
        <v>750760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863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858</v>
      </c>
      <c r="C23" s="74"/>
      <c r="D23" s="74"/>
      <c r="E23" s="74" t="s">
        <v>363</v>
      </c>
      <c r="F23" s="74"/>
      <c r="G23" s="74"/>
    </row>
    <row r="24" spans="1:7" ht="20.100000000000001" customHeight="1" x14ac:dyDescent="0.25">
      <c r="A24" s="126" t="s">
        <v>859</v>
      </c>
      <c r="B24" s="79" t="s">
        <v>336</v>
      </c>
      <c r="C24" s="79" t="s">
        <v>860</v>
      </c>
      <c r="D24" s="79" t="s">
        <v>359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357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358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861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864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865</v>
      </c>
      <c r="C32" s="139">
        <f>data!B173</f>
        <v>1171066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866</v>
      </c>
      <c r="C33" s="135">
        <f>data!C173</f>
        <v>762055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37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366</v>
      </c>
      <c r="B1" s="62"/>
      <c r="C1" s="61" t="s">
        <v>867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EAST ADAMS RURAL HEALTHCARE</v>
      </c>
      <c r="B3" s="69"/>
      <c r="C3" s="142" t="str">
        <f>"FYE: "&amp;data!C96</f>
        <v>FYE: 12/31/2022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367</v>
      </c>
      <c r="C5" s="123"/>
    </row>
    <row r="6" spans="1:3" ht="20.100000000000001" customHeight="1" x14ac:dyDescent="0.25">
      <c r="A6" s="143">
        <v>2</v>
      </c>
      <c r="B6" s="64" t="s">
        <v>868</v>
      </c>
      <c r="C6" s="63">
        <f>data!C181</f>
        <v>499956</v>
      </c>
    </row>
    <row r="7" spans="1:3" ht="20.100000000000001" customHeight="1" x14ac:dyDescent="0.25">
      <c r="A7" s="144">
        <v>3</v>
      </c>
      <c r="B7" s="83" t="s">
        <v>369</v>
      </c>
      <c r="C7" s="63">
        <f>data!C182</f>
        <v>-38586</v>
      </c>
    </row>
    <row r="8" spans="1:3" ht="20.100000000000001" customHeight="1" x14ac:dyDescent="0.25">
      <c r="A8" s="144">
        <v>4</v>
      </c>
      <c r="B8" s="64" t="s">
        <v>370</v>
      </c>
      <c r="C8" s="63">
        <f>data!C183</f>
        <v>110767</v>
      </c>
    </row>
    <row r="9" spans="1:3" ht="20.100000000000001" customHeight="1" x14ac:dyDescent="0.25">
      <c r="A9" s="144">
        <v>5</v>
      </c>
      <c r="B9" s="64" t="s">
        <v>371</v>
      </c>
      <c r="C9" s="63">
        <f>data!C184</f>
        <v>648850</v>
      </c>
    </row>
    <row r="10" spans="1:3" ht="20.100000000000001" customHeight="1" x14ac:dyDescent="0.25">
      <c r="A10" s="144">
        <v>6</v>
      </c>
      <c r="B10" s="64" t="s">
        <v>372</v>
      </c>
      <c r="C10" s="63">
        <f>data!C185</f>
        <v>53378</v>
      </c>
    </row>
    <row r="11" spans="1:3" ht="20.100000000000001" customHeight="1" x14ac:dyDescent="0.25">
      <c r="A11" s="144">
        <v>7</v>
      </c>
      <c r="B11" s="64" t="s">
        <v>373</v>
      </c>
      <c r="C11" s="63">
        <f>data!C186</f>
        <v>125982</v>
      </c>
    </row>
    <row r="12" spans="1:3" ht="20.100000000000001" customHeight="1" x14ac:dyDescent="0.25">
      <c r="A12" s="144">
        <v>8</v>
      </c>
      <c r="B12" s="64" t="s">
        <v>374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374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869</v>
      </c>
      <c r="C14" s="63">
        <f>data!D189</f>
        <v>1400347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375</v>
      </c>
      <c r="C17" s="77"/>
    </row>
    <row r="18" spans="1:3" ht="20.100000000000001" customHeight="1" x14ac:dyDescent="0.25">
      <c r="A18" s="63">
        <v>12</v>
      </c>
      <c r="B18" s="64" t="s">
        <v>870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871</v>
      </c>
      <c r="C19" s="63">
        <f>data!C192</f>
        <v>70672</v>
      </c>
    </row>
    <row r="20" spans="1:3" ht="20.100000000000001" customHeight="1" x14ac:dyDescent="0.25">
      <c r="A20" s="63">
        <v>14</v>
      </c>
      <c r="B20" s="64" t="s">
        <v>872</v>
      </c>
      <c r="C20" s="63">
        <f>data!D193</f>
        <v>70672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378</v>
      </c>
      <c r="C23" s="123"/>
    </row>
    <row r="24" spans="1:3" ht="20.100000000000001" customHeight="1" x14ac:dyDescent="0.25">
      <c r="A24" s="63">
        <v>16</v>
      </c>
      <c r="B24" s="75" t="s">
        <v>873</v>
      </c>
      <c r="C24" s="148"/>
    </row>
    <row r="25" spans="1:3" ht="20.100000000000001" customHeight="1" x14ac:dyDescent="0.25">
      <c r="A25" s="63">
        <v>17</v>
      </c>
      <c r="B25" s="64" t="s">
        <v>874</v>
      </c>
      <c r="C25" s="63">
        <f>data!C195</f>
        <v>167307</v>
      </c>
    </row>
    <row r="26" spans="1:3" ht="20.100000000000001" customHeight="1" x14ac:dyDescent="0.25">
      <c r="A26" s="63">
        <v>18</v>
      </c>
      <c r="B26" s="64" t="s">
        <v>380</v>
      </c>
      <c r="C26" s="63">
        <f>data!C196</f>
        <v>35935</v>
      </c>
    </row>
    <row r="27" spans="1:3" ht="20.100000000000001" customHeight="1" x14ac:dyDescent="0.25">
      <c r="A27" s="63">
        <v>19</v>
      </c>
      <c r="B27" s="64" t="s">
        <v>875</v>
      </c>
      <c r="C27" s="63">
        <f>data!D197</f>
        <v>203242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876</v>
      </c>
      <c r="C30" s="133"/>
    </row>
    <row r="31" spans="1:3" ht="20.100000000000001" customHeight="1" x14ac:dyDescent="0.25">
      <c r="A31" s="63">
        <v>21</v>
      </c>
      <c r="B31" s="64" t="s">
        <v>382</v>
      </c>
      <c r="C31" s="63">
        <f>data!C199</f>
        <v>90697</v>
      </c>
    </row>
    <row r="32" spans="1:3" ht="20.100000000000001" customHeight="1" x14ac:dyDescent="0.25">
      <c r="A32" s="63">
        <v>22</v>
      </c>
      <c r="B32" s="64" t="s">
        <v>877</v>
      </c>
      <c r="C32" s="63">
        <f>data!C200</f>
        <v>49865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402044</v>
      </c>
    </row>
    <row r="34" spans="1:3" ht="20.100000000000001" customHeight="1" x14ac:dyDescent="0.25">
      <c r="A34" s="63">
        <v>24</v>
      </c>
      <c r="B34" s="64" t="s">
        <v>878</v>
      </c>
      <c r="C34" s="63">
        <f>data!D202</f>
        <v>542606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384</v>
      </c>
      <c r="C37" s="123"/>
    </row>
    <row r="38" spans="1:3" ht="20.100000000000001" customHeight="1" x14ac:dyDescent="0.25">
      <c r="A38" s="63">
        <v>26</v>
      </c>
      <c r="B38" s="64" t="s">
        <v>879</v>
      </c>
      <c r="C38" s="63">
        <f>data!C204</f>
        <v>354135</v>
      </c>
    </row>
    <row r="39" spans="1:3" ht="20.100000000000001" customHeight="1" x14ac:dyDescent="0.25">
      <c r="A39" s="63">
        <v>27</v>
      </c>
      <c r="B39" s="64" t="s">
        <v>386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880</v>
      </c>
      <c r="C40" s="63">
        <f>data!D206</f>
        <v>354135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9" sqref="C9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387</v>
      </c>
      <c r="B1" s="62"/>
      <c r="C1" s="62"/>
      <c r="D1" s="62"/>
      <c r="E1" s="62"/>
      <c r="F1" s="61" t="s">
        <v>881</v>
      </c>
    </row>
    <row r="3" spans="1:6" ht="20.100000000000001" customHeight="1" x14ac:dyDescent="0.25">
      <c r="A3" s="120" t="str">
        <f>"Hospital: "&amp;data!C98</f>
        <v>Hospital: EAST ADAMS RURAL HEALTHCARE</v>
      </c>
      <c r="F3" s="142" t="str">
        <f>"FYE: "&amp;data!C96</f>
        <v>FYE: 12/31/2022</v>
      </c>
    </row>
    <row r="4" spans="1:6" ht="20.100000000000001" customHeight="1" x14ac:dyDescent="0.25">
      <c r="A4" s="148" t="s">
        <v>388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882</v>
      </c>
      <c r="D5" s="151"/>
      <c r="E5" s="151"/>
      <c r="F5" s="151" t="s">
        <v>883</v>
      </c>
    </row>
    <row r="6" spans="1:6" ht="20.100000000000001" customHeight="1" x14ac:dyDescent="0.25">
      <c r="A6" s="152"/>
      <c r="B6" s="70"/>
      <c r="C6" s="153" t="s">
        <v>884</v>
      </c>
      <c r="D6" s="153" t="s">
        <v>390</v>
      </c>
      <c r="E6" s="153" t="s">
        <v>885</v>
      </c>
      <c r="F6" s="153" t="s">
        <v>884</v>
      </c>
    </row>
    <row r="7" spans="1:6" ht="20.100000000000001" customHeight="1" x14ac:dyDescent="0.25">
      <c r="A7" s="63">
        <v>1</v>
      </c>
      <c r="B7" s="67" t="s">
        <v>393</v>
      </c>
      <c r="C7" s="67">
        <f>data!B211</f>
        <v>16698</v>
      </c>
      <c r="D7" s="67">
        <f>data!C211</f>
        <v>0</v>
      </c>
      <c r="E7" s="67">
        <f>data!D211</f>
        <v>0</v>
      </c>
      <c r="F7" s="67">
        <f>data!E211</f>
        <v>16698</v>
      </c>
    </row>
    <row r="8" spans="1:6" ht="20.100000000000001" customHeight="1" x14ac:dyDescent="0.25">
      <c r="A8" s="63">
        <v>2</v>
      </c>
      <c r="B8" s="67" t="s">
        <v>394</v>
      </c>
      <c r="C8" s="67">
        <f>data!B212</f>
        <v>244149</v>
      </c>
      <c r="D8" s="67">
        <f>data!C212</f>
        <v>0</v>
      </c>
      <c r="E8" s="67">
        <f>data!D212</f>
        <v>0</v>
      </c>
      <c r="F8" s="67">
        <f>data!E212</f>
        <v>244149</v>
      </c>
    </row>
    <row r="9" spans="1:6" ht="20.100000000000001" customHeight="1" x14ac:dyDescent="0.25">
      <c r="A9" s="63">
        <v>3</v>
      </c>
      <c r="B9" s="67" t="s">
        <v>395</v>
      </c>
      <c r="C9" s="67">
        <f>data!B213</f>
        <v>10560026</v>
      </c>
      <c r="D9" s="67">
        <f>data!C213</f>
        <v>0</v>
      </c>
      <c r="E9" s="67">
        <f>data!D213</f>
        <v>0</v>
      </c>
      <c r="F9" s="67">
        <f>data!E213</f>
        <v>10560026</v>
      </c>
    </row>
    <row r="10" spans="1:6" ht="20.100000000000001" customHeight="1" x14ac:dyDescent="0.25">
      <c r="A10" s="63">
        <v>4</v>
      </c>
      <c r="B10" s="67" t="s">
        <v>886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887</v>
      </c>
      <c r="C11" s="67">
        <f>data!B215</f>
        <v>1780768</v>
      </c>
      <c r="D11" s="67">
        <f>data!C215</f>
        <v>0</v>
      </c>
      <c r="E11" s="67">
        <f>data!D215</f>
        <v>0</v>
      </c>
      <c r="F11" s="67">
        <f>data!E215</f>
        <v>1780768</v>
      </c>
    </row>
    <row r="12" spans="1:6" ht="20.100000000000001" customHeight="1" x14ac:dyDescent="0.25">
      <c r="A12" s="63">
        <v>6</v>
      </c>
      <c r="B12" s="67" t="s">
        <v>888</v>
      </c>
      <c r="C12" s="67">
        <f>data!B216</f>
        <v>4251790</v>
      </c>
      <c r="D12" s="67">
        <f>data!C216</f>
        <v>697423</v>
      </c>
      <c r="E12" s="67">
        <f>data!D216</f>
        <v>0</v>
      </c>
      <c r="F12" s="67">
        <f>data!E216</f>
        <v>4949213</v>
      </c>
    </row>
    <row r="13" spans="1:6" ht="20.100000000000001" customHeight="1" x14ac:dyDescent="0.25">
      <c r="A13" s="63">
        <v>7</v>
      </c>
      <c r="B13" s="67" t="s">
        <v>889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400</v>
      </c>
      <c r="C14" s="67">
        <f>data!B218</f>
        <v>0</v>
      </c>
      <c r="D14" s="67">
        <f>data!C218</f>
        <v>2403540</v>
      </c>
      <c r="E14" s="67">
        <f>data!D218</f>
        <v>0</v>
      </c>
      <c r="F14" s="67">
        <f>data!E218</f>
        <v>2403540</v>
      </c>
    </row>
    <row r="15" spans="1:6" ht="20.100000000000001" customHeight="1" x14ac:dyDescent="0.25">
      <c r="A15" s="63">
        <v>9</v>
      </c>
      <c r="B15" s="67" t="s">
        <v>890</v>
      </c>
      <c r="C15" s="67">
        <f>data!B219</f>
        <v>106840</v>
      </c>
      <c r="D15" s="67">
        <f>data!C219</f>
        <v>429852</v>
      </c>
      <c r="E15" s="67">
        <f>data!D219</f>
        <v>536692</v>
      </c>
      <c r="F15" s="67">
        <f>data!E219</f>
        <v>0</v>
      </c>
    </row>
    <row r="16" spans="1:6" ht="20.100000000000001" customHeight="1" x14ac:dyDescent="0.25">
      <c r="A16" s="63">
        <v>10</v>
      </c>
      <c r="B16" s="67" t="s">
        <v>615</v>
      </c>
      <c r="C16" s="67">
        <f>data!B220</f>
        <v>16960271</v>
      </c>
      <c r="D16" s="67">
        <f>data!C220</f>
        <v>3530815</v>
      </c>
      <c r="E16" s="67">
        <f>data!D220</f>
        <v>536692</v>
      </c>
      <c r="F16" s="67">
        <f>data!E220</f>
        <v>19954394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402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882</v>
      </c>
      <c r="D21" s="4" t="s">
        <v>230</v>
      </c>
      <c r="E21" s="153"/>
      <c r="F21" s="153" t="s">
        <v>883</v>
      </c>
    </row>
    <row r="22" spans="1:6" ht="20.100000000000001" customHeight="1" x14ac:dyDescent="0.25">
      <c r="A22" s="154"/>
      <c r="B22" s="146"/>
      <c r="C22" s="153" t="s">
        <v>884</v>
      </c>
      <c r="D22" s="153" t="s">
        <v>891</v>
      </c>
      <c r="E22" s="153" t="s">
        <v>885</v>
      </c>
      <c r="F22" s="153" t="s">
        <v>884</v>
      </c>
    </row>
    <row r="23" spans="1:6" ht="20.100000000000001" customHeight="1" x14ac:dyDescent="0.25">
      <c r="A23" s="63">
        <v>11</v>
      </c>
      <c r="B23" s="155" t="s">
        <v>393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394</v>
      </c>
      <c r="C24" s="67">
        <f>data!B225</f>
        <v>126979</v>
      </c>
      <c r="D24" s="67">
        <f>data!C225</f>
        <v>20969</v>
      </c>
      <c r="E24" s="67">
        <f>data!D225</f>
        <v>0</v>
      </c>
      <c r="F24" s="67">
        <f>data!E225</f>
        <v>147948</v>
      </c>
    </row>
    <row r="25" spans="1:6" ht="20.100000000000001" customHeight="1" x14ac:dyDescent="0.25">
      <c r="A25" s="63">
        <v>13</v>
      </c>
      <c r="B25" s="67" t="s">
        <v>395</v>
      </c>
      <c r="C25" s="67">
        <f>data!B226</f>
        <v>3253755</v>
      </c>
      <c r="D25" s="67">
        <f>data!C226</f>
        <v>508834</v>
      </c>
      <c r="E25" s="67">
        <f>data!D226</f>
        <v>0</v>
      </c>
      <c r="F25" s="67">
        <f>data!E226</f>
        <v>3762589</v>
      </c>
    </row>
    <row r="26" spans="1:6" ht="20.100000000000001" customHeight="1" x14ac:dyDescent="0.25">
      <c r="A26" s="63">
        <v>14</v>
      </c>
      <c r="B26" s="67" t="s">
        <v>886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887</v>
      </c>
      <c r="C27" s="67">
        <f>data!B228</f>
        <v>639731</v>
      </c>
      <c r="D27" s="67">
        <f>data!C228</f>
        <v>111419</v>
      </c>
      <c r="E27" s="67">
        <f>data!D228</f>
        <v>0</v>
      </c>
      <c r="F27" s="67">
        <f>data!E228</f>
        <v>751150</v>
      </c>
    </row>
    <row r="28" spans="1:6" ht="20.100000000000001" customHeight="1" x14ac:dyDescent="0.25">
      <c r="A28" s="63">
        <v>16</v>
      </c>
      <c r="B28" s="67" t="s">
        <v>888</v>
      </c>
      <c r="C28" s="67">
        <f>data!B229</f>
        <v>3873862</v>
      </c>
      <c r="D28" s="67">
        <f>data!C229</f>
        <v>93256</v>
      </c>
      <c r="E28" s="67">
        <f>data!D229</f>
        <v>0</v>
      </c>
      <c r="F28" s="67">
        <f>data!E229</f>
        <v>3967118</v>
      </c>
    </row>
    <row r="29" spans="1:6" ht="20.100000000000001" customHeight="1" x14ac:dyDescent="0.25">
      <c r="A29" s="63">
        <v>17</v>
      </c>
      <c r="B29" s="67" t="s">
        <v>889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400</v>
      </c>
      <c r="C30" s="67">
        <f>data!B231</f>
        <v>0</v>
      </c>
      <c r="D30" s="67">
        <f>data!C231</f>
        <v>26840</v>
      </c>
      <c r="E30" s="67">
        <f>data!D231</f>
        <v>0</v>
      </c>
      <c r="F30" s="67">
        <f>data!E231</f>
        <v>26840</v>
      </c>
    </row>
    <row r="31" spans="1:6" ht="20.100000000000001" customHeight="1" x14ac:dyDescent="0.25">
      <c r="A31" s="63">
        <v>19</v>
      </c>
      <c r="B31" s="67" t="s">
        <v>890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data!B233</f>
        <v>7894327</v>
      </c>
      <c r="D32" s="67">
        <f>data!C233</f>
        <v>761318</v>
      </c>
      <c r="E32" s="67">
        <f>data!D233</f>
        <v>0</v>
      </c>
      <c r="F32" s="67">
        <f>data!E233</f>
        <v>8655645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892</v>
      </c>
      <c r="B1" s="62"/>
      <c r="C1" s="62"/>
      <c r="D1" s="61" t="s">
        <v>893</v>
      </c>
    </row>
    <row r="2" spans="1:4" ht="20.100000000000001" customHeight="1" x14ac:dyDescent="0.25">
      <c r="A2" s="120" t="str">
        <f>"Hospital: "&amp;data!C98</f>
        <v>Hospital: EAST ADAMS RURAL HEALTHCARE</v>
      </c>
      <c r="B2" s="69"/>
      <c r="C2" s="69"/>
      <c r="D2" s="142" t="str">
        <f>"FYE: "&amp;data!C96</f>
        <v>FYE: 12/31/2022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894</v>
      </c>
      <c r="C4" s="156" t="s">
        <v>895</v>
      </c>
      <c r="D4" s="157"/>
    </row>
    <row r="5" spans="1:4" ht="20.100000000000001" customHeight="1" x14ac:dyDescent="0.25">
      <c r="A5" s="124">
        <v>1</v>
      </c>
      <c r="B5" s="158"/>
      <c r="C5" s="80" t="s">
        <v>404</v>
      </c>
      <c r="D5" s="67">
        <f>data!D237</f>
        <v>1358931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357</v>
      </c>
      <c r="D7" s="67">
        <f>data!C239</f>
        <v>1042179</v>
      </c>
    </row>
    <row r="8" spans="1:4" ht="20.100000000000001" customHeight="1" x14ac:dyDescent="0.25">
      <c r="A8" s="63">
        <v>4</v>
      </c>
      <c r="B8" s="158">
        <v>5820</v>
      </c>
      <c r="C8" s="67" t="s">
        <v>358</v>
      </c>
      <c r="D8" s="67">
        <f>data!C240</f>
        <v>-2564</v>
      </c>
    </row>
    <row r="9" spans="1:4" ht="20.100000000000001" customHeight="1" x14ac:dyDescent="0.25">
      <c r="A9" s="63">
        <v>5</v>
      </c>
      <c r="B9" s="158">
        <v>5830</v>
      </c>
      <c r="C9" s="67" t="s">
        <v>370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409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896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data!C244</f>
        <v>1633910</v>
      </c>
    </row>
    <row r="13" spans="1:4" ht="20.100000000000001" customHeight="1" x14ac:dyDescent="0.25">
      <c r="A13" s="63">
        <v>9</v>
      </c>
      <c r="B13" s="67"/>
      <c r="C13" s="67" t="s">
        <v>897</v>
      </c>
      <c r="D13" s="67">
        <f>data!D245</f>
        <v>2673525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413</v>
      </c>
      <c r="D15" s="153"/>
    </row>
    <row r="16" spans="1:4" ht="20.100000000000001" customHeight="1" x14ac:dyDescent="0.25">
      <c r="A16" s="152">
        <v>12</v>
      </c>
      <c r="B16" s="79"/>
      <c r="C16" s="64" t="s">
        <v>898</v>
      </c>
      <c r="D16" s="63">
        <f>data!C247</f>
        <v>304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415</v>
      </c>
      <c r="D18" s="67">
        <f>data!C249</f>
        <v>0</v>
      </c>
    </row>
    <row r="19" spans="1:4" ht="20.100000000000001" customHeight="1" x14ac:dyDescent="0.25">
      <c r="A19" s="161">
        <v>15</v>
      </c>
      <c r="B19" s="158">
        <v>5910</v>
      </c>
      <c r="C19" s="80" t="s">
        <v>899</v>
      </c>
      <c r="D19" s="67">
        <f>data!C250</f>
        <v>850453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900</v>
      </c>
      <c r="D22" s="67">
        <f>data!D252</f>
        <v>850453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419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901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902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903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904</v>
      </c>
      <c r="B1" s="169"/>
      <c r="C1" s="169"/>
    </row>
    <row r="2" spans="1:3" ht="20.100000000000001" customHeight="1" x14ac:dyDescent="0.25">
      <c r="A2" s="168"/>
      <c r="B2" s="169"/>
      <c r="C2" s="94" t="s">
        <v>905</v>
      </c>
    </row>
    <row r="3" spans="1:3" ht="20.100000000000001" customHeight="1" x14ac:dyDescent="0.25">
      <c r="A3" s="120" t="str">
        <f>"Hospital: "&amp;data!C98</f>
        <v>Hospital: EAST ADAMS RURAL HEALTHCARE</v>
      </c>
      <c r="B3" s="170"/>
      <c r="C3" s="142" t="str">
        <f>"FYE: "&amp;data!C96</f>
        <v>FYE: 12/31/2022</v>
      </c>
    </row>
    <row r="4" spans="1:3" ht="20.100000000000001" customHeight="1" x14ac:dyDescent="0.25">
      <c r="A4" s="171"/>
      <c r="B4" s="172" t="s">
        <v>906</v>
      </c>
      <c r="C4" s="173"/>
    </row>
    <row r="5" spans="1:3" ht="20.100000000000001" customHeight="1" x14ac:dyDescent="0.25">
      <c r="A5" s="174">
        <v>1</v>
      </c>
      <c r="B5" s="175" t="s">
        <v>423</v>
      </c>
      <c r="C5" s="175"/>
    </row>
    <row r="6" spans="1:3" ht="20.100000000000001" customHeight="1" x14ac:dyDescent="0.25">
      <c r="A6" s="174">
        <v>2</v>
      </c>
      <c r="B6" s="176" t="s">
        <v>424</v>
      </c>
      <c r="C6" s="176">
        <f>data!C266</f>
        <v>3159103</v>
      </c>
    </row>
    <row r="7" spans="1:3" ht="20.100000000000001" customHeight="1" x14ac:dyDescent="0.25">
      <c r="A7" s="174">
        <v>3</v>
      </c>
      <c r="B7" s="176" t="s">
        <v>425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426</v>
      </c>
      <c r="C8" s="176">
        <f>data!C268</f>
        <v>4784912</v>
      </c>
    </row>
    <row r="9" spans="1:3" ht="20.100000000000001" customHeight="1" x14ac:dyDescent="0.25">
      <c r="A9" s="174">
        <v>5</v>
      </c>
      <c r="B9" s="176" t="s">
        <v>907</v>
      </c>
      <c r="C9" s="176">
        <f>data!C269</f>
        <v>2526776</v>
      </c>
    </row>
    <row r="10" spans="1:3" ht="20.100000000000001" customHeight="1" x14ac:dyDescent="0.25">
      <c r="A10" s="174">
        <v>6</v>
      </c>
      <c r="B10" s="176" t="s">
        <v>908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909</v>
      </c>
      <c r="C11" s="176">
        <f>data!C271</f>
        <v>810772</v>
      </c>
    </row>
    <row r="12" spans="1:3" ht="20.100000000000001" customHeight="1" x14ac:dyDescent="0.25">
      <c r="A12" s="174">
        <v>8</v>
      </c>
      <c r="B12" s="176" t="s">
        <v>430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431</v>
      </c>
      <c r="C13" s="176">
        <f>data!C273</f>
        <v>279989</v>
      </c>
    </row>
    <row r="14" spans="1:3" ht="20.100000000000001" customHeight="1" x14ac:dyDescent="0.25">
      <c r="A14" s="174">
        <v>10</v>
      </c>
      <c r="B14" s="176" t="s">
        <v>432</v>
      </c>
      <c r="C14" s="176">
        <f>data!C274</f>
        <v>18671</v>
      </c>
    </row>
    <row r="15" spans="1:3" ht="20.100000000000001" customHeight="1" x14ac:dyDescent="0.25">
      <c r="A15" s="174">
        <v>11</v>
      </c>
      <c r="B15" s="176" t="s">
        <v>910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911</v>
      </c>
      <c r="C16" s="176">
        <f>data!D276</f>
        <v>6526671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912</v>
      </c>
      <c r="C18" s="175"/>
    </row>
    <row r="19" spans="1:3" ht="20.100000000000001" customHeight="1" x14ac:dyDescent="0.25">
      <c r="A19" s="174">
        <v>15</v>
      </c>
      <c r="B19" s="176" t="s">
        <v>424</v>
      </c>
      <c r="C19" s="176">
        <f>data!C278</f>
        <v>1903738</v>
      </c>
    </row>
    <row r="20" spans="1:3" ht="20.100000000000001" customHeight="1" x14ac:dyDescent="0.25">
      <c r="A20" s="174">
        <v>16</v>
      </c>
      <c r="B20" s="176" t="s">
        <v>425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436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913</v>
      </c>
      <c r="C22" s="176">
        <f>data!D281</f>
        <v>1903738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914</v>
      </c>
      <c r="C24" s="175"/>
    </row>
    <row r="25" spans="1:3" ht="20.100000000000001" customHeight="1" x14ac:dyDescent="0.25">
      <c r="A25" s="174">
        <v>21</v>
      </c>
      <c r="B25" s="176" t="s">
        <v>393</v>
      </c>
      <c r="C25" s="176">
        <f>data!C283</f>
        <v>16698</v>
      </c>
    </row>
    <row r="26" spans="1:3" ht="20.100000000000001" customHeight="1" x14ac:dyDescent="0.25">
      <c r="A26" s="174">
        <v>22</v>
      </c>
      <c r="B26" s="176" t="s">
        <v>394</v>
      </c>
      <c r="C26" s="176">
        <f>data!C284</f>
        <v>244149</v>
      </c>
    </row>
    <row r="27" spans="1:3" ht="20.100000000000001" customHeight="1" x14ac:dyDescent="0.25">
      <c r="A27" s="174">
        <v>23</v>
      </c>
      <c r="B27" s="176" t="s">
        <v>395</v>
      </c>
      <c r="C27" s="176">
        <f>data!C285</f>
        <v>10560026</v>
      </c>
    </row>
    <row r="28" spans="1:3" ht="20.100000000000001" customHeight="1" x14ac:dyDescent="0.25">
      <c r="A28" s="174">
        <v>24</v>
      </c>
      <c r="B28" s="176" t="s">
        <v>915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397</v>
      </c>
      <c r="C29" s="176">
        <f>data!C287</f>
        <v>1780768</v>
      </c>
    </row>
    <row r="30" spans="1:3" ht="20.100000000000001" customHeight="1" x14ac:dyDescent="0.25">
      <c r="A30" s="174">
        <v>26</v>
      </c>
      <c r="B30" s="176" t="s">
        <v>441</v>
      </c>
      <c r="C30" s="176">
        <f>data!C288</f>
        <v>4949213</v>
      </c>
    </row>
    <row r="31" spans="1:3" ht="20.100000000000001" customHeight="1" x14ac:dyDescent="0.25">
      <c r="A31" s="174">
        <v>27</v>
      </c>
      <c r="B31" s="176" t="s">
        <v>400</v>
      </c>
      <c r="C31" s="176">
        <f>data!C289</f>
        <v>2403540</v>
      </c>
    </row>
    <row r="32" spans="1:3" ht="20.100000000000001" customHeight="1" x14ac:dyDescent="0.25">
      <c r="A32" s="174">
        <v>28</v>
      </c>
      <c r="B32" s="176" t="s">
        <v>401</v>
      </c>
      <c r="C32" s="176">
        <f>data!C290</f>
        <v>0</v>
      </c>
    </row>
    <row r="33" spans="1:3" ht="20.100000000000001" customHeight="1" x14ac:dyDescent="0.25">
      <c r="A33" s="174">
        <v>29</v>
      </c>
      <c r="B33" s="176" t="s">
        <v>615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916</v>
      </c>
      <c r="C34" s="176">
        <f>data!C292</f>
        <v>8655645</v>
      </c>
    </row>
    <row r="35" spans="1:3" ht="20.100000000000001" customHeight="1" x14ac:dyDescent="0.25">
      <c r="A35" s="174">
        <v>31</v>
      </c>
      <c r="B35" s="176" t="s">
        <v>917</v>
      </c>
      <c r="C35" s="176">
        <f>data!D293</f>
        <v>11298749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918</v>
      </c>
      <c r="C37" s="175"/>
    </row>
    <row r="38" spans="1:3" ht="20.100000000000001" customHeight="1" x14ac:dyDescent="0.25">
      <c r="A38" s="174">
        <v>34</v>
      </c>
      <c r="B38" s="176" t="s">
        <v>919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920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448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436</v>
      </c>
      <c r="C41" s="176">
        <f>data!C298</f>
        <v>34516</v>
      </c>
    </row>
    <row r="42" spans="1:3" ht="20.100000000000001" customHeight="1" x14ac:dyDescent="0.25">
      <c r="A42" s="174">
        <v>38</v>
      </c>
      <c r="B42" s="176" t="s">
        <v>921</v>
      </c>
      <c r="C42" s="176">
        <f>data!D299</f>
        <v>34516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922</v>
      </c>
      <c r="C44" s="175"/>
    </row>
    <row r="45" spans="1:3" ht="20.100000000000001" customHeight="1" x14ac:dyDescent="0.25">
      <c r="A45" s="174">
        <v>41</v>
      </c>
      <c r="B45" s="176" t="s">
        <v>451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452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923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454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924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925</v>
      </c>
      <c r="C50" s="176">
        <f>data!D308</f>
        <v>19763674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926</v>
      </c>
      <c r="B53" s="169"/>
      <c r="C53" s="169"/>
    </row>
    <row r="54" spans="1:3" ht="20.100000000000001" customHeight="1" x14ac:dyDescent="0.25">
      <c r="A54" s="168"/>
      <c r="B54" s="169"/>
      <c r="C54" s="94" t="s">
        <v>927</v>
      </c>
    </row>
    <row r="55" spans="1:3" ht="20.100000000000001" customHeight="1" x14ac:dyDescent="0.25">
      <c r="A55" s="120" t="str">
        <f>"Hospital: "&amp;data!C98</f>
        <v>Hospital: EAST ADAMS RURAL HEALTHCARE</v>
      </c>
      <c r="B55" s="170"/>
      <c r="C55" s="142" t="str">
        <f>"FYE: "&amp;data!C96</f>
        <v>FYE: 12/31/2022</v>
      </c>
    </row>
    <row r="56" spans="1:3" ht="20.100000000000001" customHeight="1" x14ac:dyDescent="0.25">
      <c r="A56" s="181"/>
      <c r="B56" s="182" t="s">
        <v>928</v>
      </c>
      <c r="C56" s="173"/>
    </row>
    <row r="57" spans="1:3" ht="20.100000000000001" customHeight="1" x14ac:dyDescent="0.25">
      <c r="A57" s="183">
        <v>1</v>
      </c>
      <c r="B57" s="168" t="s">
        <v>458</v>
      </c>
      <c r="C57" s="184"/>
    </row>
    <row r="58" spans="1:3" ht="20.100000000000001" customHeight="1" x14ac:dyDescent="0.25">
      <c r="A58" s="174">
        <v>2</v>
      </c>
      <c r="B58" s="176" t="s">
        <v>459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929</v>
      </c>
      <c r="C59" s="176">
        <f>data!C315</f>
        <v>553703</v>
      </c>
    </row>
    <row r="60" spans="1:3" ht="20.100000000000001" customHeight="1" x14ac:dyDescent="0.25">
      <c r="A60" s="174">
        <v>4</v>
      </c>
      <c r="B60" s="176" t="s">
        <v>930</v>
      </c>
      <c r="C60" s="176">
        <f>data!C316</f>
        <v>525196</v>
      </c>
    </row>
    <row r="61" spans="1:3" ht="20.100000000000001" customHeight="1" x14ac:dyDescent="0.25">
      <c r="A61" s="174">
        <v>5</v>
      </c>
      <c r="B61" s="176" t="s">
        <v>462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931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932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465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466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467</v>
      </c>
      <c r="C66" s="176">
        <f>data!C322</f>
        <v>161768</v>
      </c>
    </row>
    <row r="67" spans="1:3" ht="20.100000000000001" customHeight="1" x14ac:dyDescent="0.25">
      <c r="A67" s="174">
        <v>11</v>
      </c>
      <c r="B67" s="176" t="s">
        <v>933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934</v>
      </c>
      <c r="C68" s="176">
        <f>data!D324</f>
        <v>1240667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935</v>
      </c>
      <c r="C70" s="175"/>
    </row>
    <row r="71" spans="1:3" ht="20.100000000000001" customHeight="1" x14ac:dyDescent="0.25">
      <c r="A71" s="174">
        <v>15</v>
      </c>
      <c r="B71" s="176" t="s">
        <v>471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936</v>
      </c>
      <c r="C72" s="176">
        <f>data!C327</f>
        <v>492000</v>
      </c>
    </row>
    <row r="73" spans="1:3" ht="20.100000000000001" customHeight="1" x14ac:dyDescent="0.25">
      <c r="A73" s="174">
        <v>17</v>
      </c>
      <c r="B73" s="176" t="s">
        <v>473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937</v>
      </c>
      <c r="C74" s="176">
        <f>data!D329</f>
        <v>492000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475</v>
      </c>
      <c r="C76" s="175"/>
    </row>
    <row r="77" spans="1:3" ht="20.100000000000001" customHeight="1" x14ac:dyDescent="0.25">
      <c r="A77" s="174">
        <v>21</v>
      </c>
      <c r="B77" s="176" t="s">
        <v>476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938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478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939</v>
      </c>
      <c r="C80" s="176">
        <f>data!C334</f>
        <v>1960999</v>
      </c>
    </row>
    <row r="81" spans="1:3" ht="20.100000000000001" customHeight="1" x14ac:dyDescent="0.25">
      <c r="A81" s="174">
        <v>25</v>
      </c>
      <c r="B81" s="176" t="s">
        <v>480</v>
      </c>
      <c r="C81" s="176">
        <f>data!C335</f>
        <v>7610614</v>
      </c>
    </row>
    <row r="82" spans="1:3" ht="20.100000000000001" customHeight="1" x14ac:dyDescent="0.25">
      <c r="A82" s="174">
        <v>26</v>
      </c>
      <c r="B82" s="176" t="s">
        <v>940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482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483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data!D339</f>
        <v>9571613</v>
      </c>
    </row>
    <row r="86" spans="1:3" ht="20.100000000000001" customHeight="1" x14ac:dyDescent="0.25">
      <c r="A86" s="174">
        <v>30</v>
      </c>
      <c r="B86" s="176" t="s">
        <v>941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942</v>
      </c>
      <c r="C87" s="176">
        <f>data!D341</f>
        <v>9571613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943</v>
      </c>
      <c r="C89" s="176">
        <f>data!C343</f>
        <v>8459394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944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945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946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947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948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949</v>
      </c>
      <c r="C102" s="176">
        <f>data!C343+data!C345+data!C346+data!C347+data!C348-data!C349</f>
        <v>8459394</v>
      </c>
    </row>
    <row r="103" spans="1:3" ht="20.100000000000001" customHeight="1" x14ac:dyDescent="0.25">
      <c r="A103" s="174">
        <v>47</v>
      </c>
      <c r="B103" s="176" t="s">
        <v>950</v>
      </c>
      <c r="C103" s="176">
        <f>data!D352</f>
        <v>19763674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951</v>
      </c>
      <c r="B106" s="169"/>
      <c r="C106" s="169"/>
    </row>
    <row r="107" spans="1:3" ht="20.100000000000001" customHeight="1" x14ac:dyDescent="0.25">
      <c r="A107" s="170"/>
      <c r="C107" s="94" t="s">
        <v>952</v>
      </c>
    </row>
    <row r="108" spans="1:3" ht="20.100000000000001" customHeight="1" x14ac:dyDescent="0.25">
      <c r="A108" s="120" t="str">
        <f>"Hospital: "&amp;data!C98</f>
        <v>Hospital: EAST ADAMS RURAL HEALTHCARE</v>
      </c>
      <c r="B108" s="170"/>
      <c r="C108" s="142" t="str">
        <f>"FYE: "&amp;data!C96</f>
        <v>FYE: 12/31/2022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953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data!C358</f>
        <v>1417949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data!C359</f>
        <v>10724014</v>
      </c>
    </row>
    <row r="113" spans="1:3" ht="20.100000000000001" customHeight="1" x14ac:dyDescent="0.25">
      <c r="A113" s="174">
        <v>4</v>
      </c>
      <c r="B113" s="176" t="s">
        <v>954</v>
      </c>
      <c r="C113" s="176">
        <f>data!D360</f>
        <v>12141963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955</v>
      </c>
      <c r="C115" s="175"/>
    </row>
    <row r="116" spans="1:3" ht="20.100000000000001" customHeight="1" x14ac:dyDescent="0.25">
      <c r="A116" s="174">
        <v>7</v>
      </c>
      <c r="B116" s="188" t="s">
        <v>956</v>
      </c>
      <c r="C116" s="189">
        <f>data!C362</f>
        <v>1358931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data!C363</f>
        <v>2673525</v>
      </c>
    </row>
    <row r="118" spans="1:3" ht="20.100000000000001" customHeight="1" x14ac:dyDescent="0.25">
      <c r="A118" s="174">
        <v>9</v>
      </c>
      <c r="B118" s="176" t="s">
        <v>957</v>
      </c>
      <c r="C118" s="189">
        <f>data!C364</f>
        <v>850453</v>
      </c>
    </row>
    <row r="119" spans="1:3" ht="20.100000000000001" customHeight="1" x14ac:dyDescent="0.25">
      <c r="A119" s="174">
        <v>10</v>
      </c>
      <c r="B119" s="176" t="s">
        <v>958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902</v>
      </c>
      <c r="C120" s="189">
        <f>data!D366</f>
        <v>4882909</v>
      </c>
    </row>
    <row r="121" spans="1:3" ht="20.100000000000001" customHeight="1" x14ac:dyDescent="0.25">
      <c r="A121" s="174">
        <v>12</v>
      </c>
      <c r="B121" s="176" t="s">
        <v>959</v>
      </c>
      <c r="C121" s="189">
        <f>data!D367</f>
        <v>7259054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960</v>
      </c>
      <c r="B125" s="192" t="s">
        <v>507</v>
      </c>
      <c r="C125" s="191">
        <f>data!C370</f>
        <v>0</v>
      </c>
    </row>
    <row r="126" spans="1:3" ht="20.100000000000001" customHeight="1" x14ac:dyDescent="0.25">
      <c r="A126" s="195" t="s">
        <v>961</v>
      </c>
      <c r="B126" s="192" t="s">
        <v>508</v>
      </c>
      <c r="C126" s="191">
        <f>data!C371</f>
        <v>1529191</v>
      </c>
    </row>
    <row r="127" spans="1:3" ht="20.100000000000001" customHeight="1" x14ac:dyDescent="0.25">
      <c r="A127" s="195" t="s">
        <v>962</v>
      </c>
      <c r="B127" s="192" t="s">
        <v>509</v>
      </c>
      <c r="C127" s="191">
        <f>data!C372</f>
        <v>0</v>
      </c>
    </row>
    <row r="128" spans="1:3" ht="20.100000000000001" customHeight="1" x14ac:dyDescent="0.25">
      <c r="A128" s="195" t="s">
        <v>963</v>
      </c>
      <c r="B128" s="192" t="s">
        <v>510</v>
      </c>
      <c r="C128" s="191">
        <f>data!C373</f>
        <v>0</v>
      </c>
    </row>
    <row r="129" spans="1:3" ht="20.100000000000001" customHeight="1" x14ac:dyDescent="0.25">
      <c r="A129" s="195" t="s">
        <v>964</v>
      </c>
      <c r="B129" s="192" t="s">
        <v>511</v>
      </c>
      <c r="C129" s="191">
        <f>data!C374</f>
        <v>30099</v>
      </c>
    </row>
    <row r="130" spans="1:3" ht="20.100000000000001" customHeight="1" x14ac:dyDescent="0.25">
      <c r="A130" s="195" t="s">
        <v>965</v>
      </c>
      <c r="B130" s="192" t="s">
        <v>512</v>
      </c>
      <c r="C130" s="191">
        <f>data!C375</f>
        <v>0</v>
      </c>
    </row>
    <row r="131" spans="1:3" ht="20.100000000000001" customHeight="1" x14ac:dyDescent="0.25">
      <c r="A131" s="195" t="s">
        <v>966</v>
      </c>
      <c r="B131" s="192" t="s">
        <v>513</v>
      </c>
      <c r="C131" s="191">
        <f>data!C376</f>
        <v>0</v>
      </c>
    </row>
    <row r="132" spans="1:3" ht="20.100000000000001" customHeight="1" x14ac:dyDescent="0.25">
      <c r="A132" s="195" t="s">
        <v>967</v>
      </c>
      <c r="B132" s="192" t="s">
        <v>514</v>
      </c>
      <c r="C132" s="191">
        <f>data!C377</f>
        <v>0</v>
      </c>
    </row>
    <row r="133" spans="1:3" ht="20.100000000000001" customHeight="1" x14ac:dyDescent="0.25">
      <c r="A133" s="195" t="s">
        <v>968</v>
      </c>
      <c r="B133" s="192" t="s">
        <v>515</v>
      </c>
      <c r="C133" s="191">
        <f>data!C378</f>
        <v>900</v>
      </c>
    </row>
    <row r="134" spans="1:3" ht="20.100000000000001" customHeight="1" x14ac:dyDescent="0.25">
      <c r="A134" s="195" t="s">
        <v>969</v>
      </c>
      <c r="B134" s="192" t="s">
        <v>516</v>
      </c>
      <c r="C134" s="191">
        <f>data!C379</f>
        <v>0</v>
      </c>
    </row>
    <row r="135" spans="1:3" ht="20.100000000000001" customHeight="1" x14ac:dyDescent="0.25">
      <c r="A135" s="195" t="s">
        <v>970</v>
      </c>
      <c r="B135" s="192" t="s">
        <v>517</v>
      </c>
      <c r="C135" s="191">
        <f>data!C380</f>
        <v>36343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971</v>
      </c>
      <c r="C137" s="189">
        <f>data!D383</f>
        <v>2830998</v>
      </c>
    </row>
    <row r="138" spans="1:3" ht="20.100000000000001" customHeight="1" x14ac:dyDescent="0.25">
      <c r="A138" s="174">
        <v>18</v>
      </c>
      <c r="B138" s="176" t="s">
        <v>972</v>
      </c>
      <c r="C138" s="189">
        <f>data!D384</f>
        <v>10090052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973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data!C389</f>
        <v>6134087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data!C390</f>
        <v>1400347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data!C391</f>
        <v>3249030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data!C392</f>
        <v>883932</v>
      </c>
    </row>
    <row r="145" spans="1:3" ht="20.100000000000001" customHeight="1" x14ac:dyDescent="0.25">
      <c r="A145" s="174">
        <v>25</v>
      </c>
      <c r="B145" s="176" t="s">
        <v>974</v>
      </c>
      <c r="C145" s="189">
        <f>data!C393</f>
        <v>248396</v>
      </c>
    </row>
    <row r="146" spans="1:3" ht="20.100000000000001" customHeight="1" x14ac:dyDescent="0.25">
      <c r="A146" s="174">
        <v>26</v>
      </c>
      <c r="B146" s="176" t="s">
        <v>975</v>
      </c>
      <c r="C146" s="189">
        <f>data!C394</f>
        <v>0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data!C395</f>
        <v>761318</v>
      </c>
    </row>
    <row r="148" spans="1:3" ht="20.100000000000001" customHeight="1" x14ac:dyDescent="0.25">
      <c r="A148" s="174">
        <v>28</v>
      </c>
      <c r="B148" s="176" t="s">
        <v>976</v>
      </c>
      <c r="C148" s="189">
        <f>data!C396</f>
        <v>70672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data!C397</f>
        <v>203242</v>
      </c>
    </row>
    <row r="150" spans="1:3" ht="20.100000000000001" customHeight="1" x14ac:dyDescent="0.25">
      <c r="A150" s="174">
        <v>30</v>
      </c>
      <c r="B150" s="176" t="s">
        <v>977</v>
      </c>
      <c r="C150" s="189">
        <f>data!C398</f>
        <v>140562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data!C399</f>
        <v>354135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978</v>
      </c>
      <c r="B153" s="193" t="s">
        <v>270</v>
      </c>
      <c r="C153" s="189">
        <f>data!C401</f>
        <v>0</v>
      </c>
    </row>
    <row r="154" spans="1:3" ht="20.100000000000001" customHeight="1" x14ac:dyDescent="0.25">
      <c r="A154" s="195" t="s">
        <v>979</v>
      </c>
      <c r="B154" s="193" t="s">
        <v>271</v>
      </c>
      <c r="C154" s="189">
        <f>data!C402</f>
        <v>0</v>
      </c>
    </row>
    <row r="155" spans="1:3" ht="20.100000000000001" customHeight="1" x14ac:dyDescent="0.25">
      <c r="A155" s="195" t="s">
        <v>980</v>
      </c>
      <c r="B155" s="193" t="s">
        <v>981</v>
      </c>
      <c r="C155" s="189">
        <f>data!C403</f>
        <v>0</v>
      </c>
    </row>
    <row r="156" spans="1:3" ht="20.100000000000001" customHeight="1" x14ac:dyDescent="0.25">
      <c r="A156" s="195" t="s">
        <v>982</v>
      </c>
      <c r="B156" s="193" t="s">
        <v>273</v>
      </c>
      <c r="C156" s="189">
        <f>data!C404</f>
        <v>0</v>
      </c>
    </row>
    <row r="157" spans="1:3" ht="20.100000000000001" customHeight="1" x14ac:dyDescent="0.25">
      <c r="A157" s="195" t="s">
        <v>983</v>
      </c>
      <c r="B157" s="193" t="s">
        <v>274</v>
      </c>
      <c r="C157" s="189">
        <f>data!C405</f>
        <v>0</v>
      </c>
    </row>
    <row r="158" spans="1:3" ht="20.100000000000001" customHeight="1" x14ac:dyDescent="0.25">
      <c r="A158" s="195" t="s">
        <v>984</v>
      </c>
      <c r="B158" s="193" t="s">
        <v>275</v>
      </c>
      <c r="C158" s="189">
        <f>data!C406</f>
        <v>0</v>
      </c>
    </row>
    <row r="159" spans="1:3" ht="20.100000000000001" customHeight="1" x14ac:dyDescent="0.25">
      <c r="A159" s="195" t="s">
        <v>985</v>
      </c>
      <c r="B159" s="193" t="s">
        <v>276</v>
      </c>
      <c r="C159" s="189">
        <f>data!C407</f>
        <v>0</v>
      </c>
    </row>
    <row r="160" spans="1:3" ht="20.100000000000001" customHeight="1" x14ac:dyDescent="0.25">
      <c r="A160" s="195" t="s">
        <v>986</v>
      </c>
      <c r="B160" s="193" t="s">
        <v>277</v>
      </c>
      <c r="C160" s="189">
        <f>data!C408</f>
        <v>140760</v>
      </c>
    </row>
    <row r="161" spans="1:3" ht="20.100000000000001" customHeight="1" x14ac:dyDescent="0.25">
      <c r="A161" s="195" t="s">
        <v>987</v>
      </c>
      <c r="B161" s="193" t="s">
        <v>278</v>
      </c>
      <c r="C161" s="189">
        <f>data!C409</f>
        <v>0</v>
      </c>
    </row>
    <row r="162" spans="1:3" ht="20.100000000000001" customHeight="1" x14ac:dyDescent="0.25">
      <c r="A162" s="195" t="s">
        <v>988</v>
      </c>
      <c r="B162" s="193" t="s">
        <v>279</v>
      </c>
      <c r="C162" s="189">
        <f>data!C410</f>
        <v>67887</v>
      </c>
    </row>
    <row r="163" spans="1:3" ht="20.100000000000001" customHeight="1" x14ac:dyDescent="0.25">
      <c r="A163" s="195" t="s">
        <v>989</v>
      </c>
      <c r="B163" s="193" t="s">
        <v>280</v>
      </c>
      <c r="C163" s="189">
        <f>data!C411</f>
        <v>11143</v>
      </c>
    </row>
    <row r="164" spans="1:3" ht="20.100000000000001" customHeight="1" x14ac:dyDescent="0.25">
      <c r="A164" s="195" t="s">
        <v>990</v>
      </c>
      <c r="B164" s="193" t="s">
        <v>281</v>
      </c>
      <c r="C164" s="189">
        <f>data!C412</f>
        <v>0</v>
      </c>
    </row>
    <row r="165" spans="1:3" ht="20.100000000000001" customHeight="1" x14ac:dyDescent="0.25">
      <c r="A165" s="195" t="s">
        <v>991</v>
      </c>
      <c r="B165" s="193" t="s">
        <v>282</v>
      </c>
      <c r="C165" s="189">
        <f>data!C413</f>
        <v>0</v>
      </c>
    </row>
    <row r="166" spans="1:3" ht="20.100000000000001" customHeight="1" x14ac:dyDescent="0.25">
      <c r="A166" s="195" t="s">
        <v>992</v>
      </c>
      <c r="B166" s="193" t="s">
        <v>993</v>
      </c>
      <c r="C166" s="189">
        <f>data!C414</f>
        <v>182254</v>
      </c>
    </row>
    <row r="167" spans="1:3" ht="20.100000000000001" customHeight="1" x14ac:dyDescent="0.25">
      <c r="A167" s="174">
        <v>34</v>
      </c>
      <c r="B167" s="176" t="s">
        <v>994</v>
      </c>
      <c r="C167" s="189">
        <f>data!D416</f>
        <v>13847765</v>
      </c>
    </row>
    <row r="168" spans="1:3" ht="20.100000000000001" customHeight="1" x14ac:dyDescent="0.25">
      <c r="A168" s="174">
        <v>35</v>
      </c>
      <c r="B168" s="176" t="s">
        <v>995</v>
      </c>
      <c r="C168" s="189">
        <f>data!D417</f>
        <v>-3757713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996</v>
      </c>
      <c r="C170" s="189">
        <f>data!D420</f>
        <v>31738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997</v>
      </c>
      <c r="C172" s="176">
        <f>data!D421</f>
        <v>-3725975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998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999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1000</v>
      </c>
      <c r="C177" s="189">
        <f>data!D424</f>
        <v>-3725975</v>
      </c>
    </row>
    <row r="178" spans="1:3" ht="20.100000000000001" customHeight="1" x14ac:dyDescent="0.25">
      <c r="A178" s="179">
        <v>45</v>
      </c>
      <c r="B178" s="178" t="s">
        <v>1001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55" zoomScale="65" workbookViewId="0">
      <selection activeCell="I373" sqref="I373"/>
    </sheetView>
  </sheetViews>
  <sheetFormatPr defaultColWidth="8.88671875" defaultRowHeight="20.100000000000001" customHeight="1" x14ac:dyDescent="0.2"/>
  <cols>
    <col min="1" max="1" width="5.77734375" style="282" customWidth="1"/>
    <col min="2" max="2" width="22.44140625" style="282" customWidth="1"/>
    <col min="3" max="8" width="13.77734375" style="282" customWidth="1"/>
    <col min="9" max="9" width="15.77734375" style="282" customWidth="1"/>
    <col min="10" max="13" width="8.88671875" style="282" customWidth="1"/>
    <col min="14" max="16384" width="8.88671875" style="282"/>
  </cols>
  <sheetData>
    <row r="1" spans="1:9" customFormat="1" ht="20.100000000000001" customHeight="1" x14ac:dyDescent="0.2">
      <c r="A1" s="283" t="s">
        <v>1002</v>
      </c>
      <c r="B1" s="284"/>
      <c r="C1" s="284"/>
      <c r="D1" s="284"/>
      <c r="E1" s="284"/>
      <c r="F1" s="284"/>
      <c r="G1" s="284"/>
      <c r="H1" s="284"/>
    </row>
    <row r="2" spans="1:9" customFormat="1" ht="20.100000000000001" customHeight="1" x14ac:dyDescent="0.2">
      <c r="A2" s="285"/>
      <c r="I2" s="286" t="s">
        <v>1003</v>
      </c>
    </row>
    <row r="3" spans="1:9" customFormat="1" ht="20.100000000000001" customHeight="1" x14ac:dyDescent="0.2">
      <c r="A3" s="285"/>
      <c r="I3" s="285"/>
    </row>
    <row r="4" spans="1:9" customFormat="1" ht="20.100000000000001" customHeight="1" x14ac:dyDescent="0.2">
      <c r="A4" s="287" t="str">
        <f>"Hospital: "&amp;data!C98</f>
        <v>Hospital: EAST ADAMS RURAL HEALTHCARE</v>
      </c>
      <c r="G4" s="288"/>
      <c r="H4" s="287" t="str">
        <f>"FYE: "&amp;data!C96</f>
        <v>FYE: 12/31/2022</v>
      </c>
    </row>
    <row r="5" spans="1:9" customFormat="1" ht="20.100000000000001" customHeight="1" x14ac:dyDescent="0.2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00000000000001" customHeight="1" x14ac:dyDescent="0.2">
      <c r="A6" s="293">
        <v>2</v>
      </c>
      <c r="B6" s="294" t="s">
        <v>1004</v>
      </c>
      <c r="C6" s="295" t="s">
        <v>118</v>
      </c>
      <c r="D6" s="296" t="s">
        <v>1005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00000000000001" customHeight="1" x14ac:dyDescent="0.2">
      <c r="A7" s="293"/>
      <c r="B7" s="294"/>
      <c r="C7" s="296" t="s">
        <v>190</v>
      </c>
      <c r="D7" s="296" t="s">
        <v>1006</v>
      </c>
      <c r="E7" s="296" t="s">
        <v>190</v>
      </c>
      <c r="F7" s="296" t="s">
        <v>1007</v>
      </c>
      <c r="G7" s="296" t="s">
        <v>192</v>
      </c>
      <c r="H7" s="296" t="s">
        <v>190</v>
      </c>
      <c r="I7" s="296" t="s">
        <v>193</v>
      </c>
    </row>
    <row r="8" spans="1:9" customFormat="1" ht="20.100000000000001" customHeight="1" x14ac:dyDescent="0.2">
      <c r="A8" s="289">
        <v>3</v>
      </c>
      <c r="B8" s="290" t="s">
        <v>1008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00000000000001" customHeight="1" x14ac:dyDescent="0.2">
      <c r="A9" s="289">
        <v>4</v>
      </c>
      <c r="B9" s="290" t="s">
        <v>261</v>
      </c>
      <c r="C9" s="290">
        <f>data!C59</f>
        <v>0</v>
      </c>
      <c r="D9" s="290">
        <f>data!D59</f>
        <v>0</v>
      </c>
      <c r="E9" s="290">
        <f>data!E59</f>
        <v>261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00000000000001" customHeight="1" x14ac:dyDescent="0.2">
      <c r="A10" s="289">
        <v>5</v>
      </c>
      <c r="B10" s="290" t="s">
        <v>262</v>
      </c>
      <c r="C10" s="297">
        <f>data!C60</f>
        <v>0</v>
      </c>
      <c r="D10" s="297">
        <f>data!D60</f>
        <v>0</v>
      </c>
      <c r="E10" s="297">
        <f>data!E60</f>
        <v>1.77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00000000000001" customHeight="1" x14ac:dyDescent="0.2">
      <c r="A11" s="289">
        <v>6</v>
      </c>
      <c r="B11" s="290" t="s">
        <v>263</v>
      </c>
      <c r="C11" s="290">
        <f>data!C61</f>
        <v>0</v>
      </c>
      <c r="D11" s="290">
        <f>data!D61</f>
        <v>0</v>
      </c>
      <c r="E11" s="290">
        <f>data!E61</f>
        <v>139405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00000000000001" customHeight="1" x14ac:dyDescent="0.2">
      <c r="A12" s="289">
        <v>7</v>
      </c>
      <c r="B12" s="290" t="s">
        <v>11</v>
      </c>
      <c r="C12" s="290">
        <f>data!C62</f>
        <v>0</v>
      </c>
      <c r="D12" s="290">
        <f>data!D62</f>
        <v>0</v>
      </c>
      <c r="E12" s="290">
        <f>data!E62</f>
        <v>31825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00000000000001" customHeight="1" x14ac:dyDescent="0.2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0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00000000000001" customHeight="1" x14ac:dyDescent="0.2">
      <c r="A14" s="289">
        <v>9</v>
      </c>
      <c r="B14" s="290" t="s">
        <v>265</v>
      </c>
      <c r="C14" s="290">
        <f>data!C64</f>
        <v>0</v>
      </c>
      <c r="D14" s="290">
        <f>data!D64</f>
        <v>0</v>
      </c>
      <c r="E14" s="290">
        <f>data!E64</f>
        <v>13856</v>
      </c>
      <c r="F14" s="290">
        <f>data!F64</f>
        <v>0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00000000000001" customHeight="1" x14ac:dyDescent="0.2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00000000000001" customHeight="1" x14ac:dyDescent="0.2">
      <c r="A16" s="289">
        <v>11</v>
      </c>
      <c r="B16" s="290" t="s">
        <v>526</v>
      </c>
      <c r="C16" s="290">
        <f>data!C66</f>
        <v>0</v>
      </c>
      <c r="D16" s="290">
        <f>data!D66</f>
        <v>0</v>
      </c>
      <c r="E16" s="290">
        <f>data!E66</f>
        <v>151847</v>
      </c>
      <c r="F16" s="290">
        <f>data!F66</f>
        <v>0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00000000000001" customHeight="1" x14ac:dyDescent="0.2">
      <c r="A17" s="289">
        <v>12</v>
      </c>
      <c r="B17" s="290" t="s">
        <v>16</v>
      </c>
      <c r="C17" s="290">
        <f>data!C67</f>
        <v>0</v>
      </c>
      <c r="D17" s="290">
        <f>data!D67</f>
        <v>0</v>
      </c>
      <c r="E17" s="290">
        <f>data!E67</f>
        <v>9571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00000000000001" customHeight="1" x14ac:dyDescent="0.2">
      <c r="A18" s="289">
        <v>13</v>
      </c>
      <c r="B18" s="290" t="s">
        <v>1009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00000000000001" customHeight="1" x14ac:dyDescent="0.2">
      <c r="A19" s="289">
        <v>14</v>
      </c>
      <c r="B19" s="290" t="s">
        <v>1010</v>
      </c>
      <c r="C19" s="290">
        <f>data!C69</f>
        <v>0</v>
      </c>
      <c r="D19" s="290">
        <f>data!D69</f>
        <v>0</v>
      </c>
      <c r="E19" s="290">
        <f>data!E69</f>
        <v>740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00000000000001" customHeight="1" x14ac:dyDescent="0.2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00000000000001" customHeight="1" x14ac:dyDescent="0.2">
      <c r="A21" s="289">
        <v>16</v>
      </c>
      <c r="B21" s="298" t="s">
        <v>1011</v>
      </c>
      <c r="C21" s="290">
        <f>data!C85</f>
        <v>0</v>
      </c>
      <c r="D21" s="290">
        <f>data!D85</f>
        <v>0</v>
      </c>
      <c r="E21" s="290">
        <f>data!E85</f>
        <v>347244</v>
      </c>
      <c r="F21" s="290">
        <f>data!F85</f>
        <v>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00000000000001" customHeight="1" x14ac:dyDescent="0.2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00000000000001" customHeight="1" x14ac:dyDescent="0.2">
      <c r="A23" s="289">
        <v>18</v>
      </c>
      <c r="B23" s="290" t="s">
        <v>1012</v>
      </c>
      <c r="C23" s="298">
        <f>+data!M668</f>
        <v>0</v>
      </c>
      <c r="D23" s="298">
        <f>+data!M669</f>
        <v>0</v>
      </c>
      <c r="E23" s="298">
        <f>+data!M670</f>
        <v>247200</v>
      </c>
      <c r="F23" s="298">
        <f>+data!M671</f>
        <v>0</v>
      </c>
      <c r="G23" s="298">
        <f>+data!M672</f>
        <v>0</v>
      </c>
      <c r="H23" s="298">
        <f>+data!M673</f>
        <v>0</v>
      </c>
      <c r="I23" s="298">
        <f>+data!M674</f>
        <v>0</v>
      </c>
    </row>
    <row r="24" spans="1:9" customFormat="1" ht="20.100000000000001" customHeight="1" x14ac:dyDescent="0.2">
      <c r="A24" s="289">
        <v>19</v>
      </c>
      <c r="B24" s="298" t="s">
        <v>1013</v>
      </c>
      <c r="C24" s="290">
        <f>data!C87</f>
        <v>0</v>
      </c>
      <c r="D24" s="290">
        <f>data!D87</f>
        <v>0</v>
      </c>
      <c r="E24" s="290">
        <f>data!E87</f>
        <v>520409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00000000000001" customHeight="1" x14ac:dyDescent="0.2">
      <c r="A25" s="289">
        <v>20</v>
      </c>
      <c r="B25" s="298" t="s">
        <v>1014</v>
      </c>
      <c r="C25" s="290">
        <f>data!C88</f>
        <v>0</v>
      </c>
      <c r="D25" s="290">
        <f>data!D88</f>
        <v>0</v>
      </c>
      <c r="E25" s="290">
        <f>data!E88</f>
        <v>0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2">
      <c r="A26" s="289">
        <v>21</v>
      </c>
      <c r="B26" s="298" t="s">
        <v>1015</v>
      </c>
      <c r="C26" s="290">
        <f>data!C89</f>
        <v>0</v>
      </c>
      <c r="D26" s="290">
        <f>data!D89</f>
        <v>0</v>
      </c>
      <c r="E26" s="290">
        <f>data!E89</f>
        <v>520409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00000000000001" customHeight="1" x14ac:dyDescent="0.2">
      <c r="A27" s="289" t="s">
        <v>1016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00000000000001" customHeight="1" x14ac:dyDescent="0.2">
      <c r="A28" s="289">
        <v>22</v>
      </c>
      <c r="B28" s="290" t="s">
        <v>1017</v>
      </c>
      <c r="C28" s="290">
        <f>data!C90</f>
        <v>0</v>
      </c>
      <c r="D28" s="290">
        <f>data!D90</f>
        <v>0</v>
      </c>
      <c r="E28" s="290">
        <f>data!E90</f>
        <v>280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00000000000001" customHeight="1" x14ac:dyDescent="0.2">
      <c r="A29" s="289">
        <v>23</v>
      </c>
      <c r="B29" s="290" t="s">
        <v>1018</v>
      </c>
      <c r="C29" s="290">
        <f>data!C91</f>
        <v>0</v>
      </c>
      <c r="D29" s="290">
        <f>data!D91</f>
        <v>0</v>
      </c>
      <c r="E29" s="290">
        <f>data!E91</f>
        <v>790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00000000000001" customHeight="1" x14ac:dyDescent="0.2">
      <c r="A30" s="289">
        <v>24</v>
      </c>
      <c r="B30" s="290" t="s">
        <v>1019</v>
      </c>
      <c r="C30" s="290">
        <f>data!C92</f>
        <v>0</v>
      </c>
      <c r="D30" s="290">
        <f>data!D92</f>
        <v>0</v>
      </c>
      <c r="E30" s="290">
        <f>data!E92</f>
        <v>118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00000000000001" customHeight="1" x14ac:dyDescent="0.2">
      <c r="A31" s="289">
        <v>25</v>
      </c>
      <c r="B31" s="290" t="s">
        <v>1020</v>
      </c>
      <c r="C31" s="290">
        <f>data!C93</f>
        <v>0</v>
      </c>
      <c r="D31" s="290">
        <f>data!D93</f>
        <v>0</v>
      </c>
      <c r="E31" s="290">
        <f>data!E93</f>
        <v>1751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00000000000001" customHeight="1" x14ac:dyDescent="0.2">
      <c r="A32" s="289">
        <v>26</v>
      </c>
      <c r="B32" s="290" t="s">
        <v>294</v>
      </c>
      <c r="C32" s="297">
        <f>data!C94</f>
        <v>0</v>
      </c>
      <c r="D32" s="297">
        <f>data!D94</f>
        <v>0</v>
      </c>
      <c r="E32" s="297">
        <f>data!E94</f>
        <v>1.4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00000000000001" customHeight="1" x14ac:dyDescent="0.2">
      <c r="A33" s="283" t="s">
        <v>1002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00000000000001" customHeight="1" x14ac:dyDescent="0.2">
      <c r="A34" s="285"/>
      <c r="I34" s="286" t="s">
        <v>1021</v>
      </c>
    </row>
    <row r="35" spans="1:9" customFormat="1" ht="20.100000000000001" customHeight="1" x14ac:dyDescent="0.2">
      <c r="A35" s="285"/>
      <c r="I35" s="285"/>
    </row>
    <row r="36" spans="1:9" customFormat="1" ht="20.100000000000001" customHeight="1" x14ac:dyDescent="0.2">
      <c r="A36" s="287" t="str">
        <f>"Hospital: "&amp;data!C98</f>
        <v>Hospital: EAST ADAMS RURAL HEALTHCARE</v>
      </c>
      <c r="G36" s="288"/>
      <c r="H36" s="287" t="str">
        <f>"FYE: "&amp;data!C96</f>
        <v>FYE: 12/31/2022</v>
      </c>
    </row>
    <row r="37" spans="1:9" customFormat="1" ht="20.100000000000001" customHeight="1" x14ac:dyDescent="0.2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00000000000001" customHeight="1" x14ac:dyDescent="0.2">
      <c r="A38" s="293">
        <v>2</v>
      </c>
      <c r="B38" s="294" t="s">
        <v>1004</v>
      </c>
      <c r="C38" s="296"/>
      <c r="D38" s="296" t="s">
        <v>126</v>
      </c>
      <c r="E38" s="296" t="s">
        <v>127</v>
      </c>
      <c r="F38" s="296" t="s">
        <v>1022</v>
      </c>
      <c r="G38" s="296" t="s">
        <v>129</v>
      </c>
      <c r="H38" s="296" t="s">
        <v>1023</v>
      </c>
      <c r="I38" s="296" t="s">
        <v>131</v>
      </c>
    </row>
    <row r="39" spans="1:9" customFormat="1" ht="20.100000000000001" customHeight="1" x14ac:dyDescent="0.2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00000000000001" customHeight="1" x14ac:dyDescent="0.2">
      <c r="A40" s="289">
        <v>3</v>
      </c>
      <c r="B40" s="290" t="s">
        <v>1008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00000000000001" customHeight="1" x14ac:dyDescent="0.2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1324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0</v>
      </c>
    </row>
    <row r="42" spans="1:9" customFormat="1" ht="20.100000000000001" customHeight="1" x14ac:dyDescent="0.2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8.9700000000000006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0</v>
      </c>
    </row>
    <row r="43" spans="1:9" customFormat="1" ht="20.100000000000001" customHeight="1" x14ac:dyDescent="0.2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707175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0</v>
      </c>
    </row>
    <row r="44" spans="1:9" customFormat="1" ht="20.100000000000001" customHeight="1" x14ac:dyDescent="0.2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161441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0</v>
      </c>
    </row>
    <row r="45" spans="1:9" customFormat="1" ht="20.100000000000001" customHeight="1" x14ac:dyDescent="0.2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0</v>
      </c>
    </row>
    <row r="46" spans="1:9" customFormat="1" ht="20.100000000000001" customHeight="1" x14ac:dyDescent="0.2">
      <c r="A46" s="289">
        <v>9</v>
      </c>
      <c r="B46" s="290" t="s">
        <v>265</v>
      </c>
      <c r="C46" s="290">
        <f>data!J64</f>
        <v>0</v>
      </c>
      <c r="D46" s="290">
        <f>data!K64</f>
        <v>0</v>
      </c>
      <c r="E46" s="290">
        <f>data!L64</f>
        <v>70290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0</v>
      </c>
    </row>
    <row r="47" spans="1:9" customFormat="1" ht="20.100000000000001" customHeight="1" x14ac:dyDescent="0.2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00000000000001" customHeight="1" x14ac:dyDescent="0.2">
      <c r="A48" s="289">
        <v>11</v>
      </c>
      <c r="B48" s="290" t="s">
        <v>526</v>
      </c>
      <c r="C48" s="290">
        <f>data!J66</f>
        <v>0</v>
      </c>
      <c r="D48" s="290">
        <f>data!K66</f>
        <v>0</v>
      </c>
      <c r="E48" s="290">
        <f>data!L66</f>
        <v>770289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0</v>
      </c>
    </row>
    <row r="49" spans="1:11" customFormat="1" ht="20.100000000000001" customHeight="1" x14ac:dyDescent="0.2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48606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0</v>
      </c>
    </row>
    <row r="50" spans="1:11" customFormat="1" ht="20.100000000000001" customHeight="1" x14ac:dyDescent="0.2">
      <c r="A50" s="289">
        <v>13</v>
      </c>
      <c r="B50" s="290" t="s">
        <v>1009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0</v>
      </c>
    </row>
    <row r="51" spans="1:11" customFormat="1" ht="20.100000000000001" customHeight="1" x14ac:dyDescent="0.2">
      <c r="A51" s="289">
        <v>14</v>
      </c>
      <c r="B51" s="290" t="s">
        <v>1010</v>
      </c>
      <c r="C51" s="290">
        <f>data!J69</f>
        <v>0</v>
      </c>
      <c r="D51" s="290">
        <f>data!K69</f>
        <v>0</v>
      </c>
      <c r="E51" s="290">
        <f>data!L69</f>
        <v>3751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0</v>
      </c>
    </row>
    <row r="52" spans="1:11" customFormat="1" ht="20.100000000000001" customHeight="1" x14ac:dyDescent="0.2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00000000000001" customHeight="1" x14ac:dyDescent="0.2">
      <c r="A53" s="289">
        <v>16</v>
      </c>
      <c r="B53" s="298" t="s">
        <v>1011</v>
      </c>
      <c r="C53" s="290">
        <f>data!J85</f>
        <v>0</v>
      </c>
      <c r="D53" s="290">
        <f>data!K85</f>
        <v>0</v>
      </c>
      <c r="E53" s="290">
        <f>data!L85</f>
        <v>1761552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0</v>
      </c>
    </row>
    <row r="54" spans="1:11" customFormat="1" ht="20.100000000000001" customHeight="1" x14ac:dyDescent="0.2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00000000000001" customHeight="1" x14ac:dyDescent="0.2">
      <c r="A55" s="289">
        <v>18</v>
      </c>
      <c r="B55" s="290" t="s">
        <v>1012</v>
      </c>
      <c r="C55" s="298">
        <f>+data!M675</f>
        <v>0</v>
      </c>
      <c r="D55" s="298">
        <f>+data!M676</f>
        <v>0</v>
      </c>
      <c r="E55" s="298">
        <f>+data!M691</f>
        <v>0</v>
      </c>
      <c r="F55" s="298">
        <f>+data!M692</f>
        <v>0</v>
      </c>
      <c r="G55" s="298">
        <f>+data!M693</f>
        <v>117482</v>
      </c>
      <c r="H55" s="298">
        <f>+data!M680</f>
        <v>0</v>
      </c>
      <c r="I55" s="298">
        <f>+data!M681</f>
        <v>0</v>
      </c>
    </row>
    <row r="56" spans="1:11" customFormat="1" ht="20.100000000000001" customHeight="1" x14ac:dyDescent="0.2">
      <c r="A56" s="289">
        <v>19</v>
      </c>
      <c r="B56" s="298" t="s">
        <v>1013</v>
      </c>
      <c r="C56" s="290">
        <f>data!J87</f>
        <v>0</v>
      </c>
      <c r="D56" s="290">
        <f>data!K87</f>
        <v>0</v>
      </c>
      <c r="E56" s="290">
        <f>data!L87</f>
        <v>738690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0</v>
      </c>
    </row>
    <row r="57" spans="1:11" customFormat="1" ht="20.100000000000001" customHeight="1" x14ac:dyDescent="0.2">
      <c r="A57" s="289">
        <v>20</v>
      </c>
      <c r="B57" s="298" t="s">
        <v>1014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0</v>
      </c>
    </row>
    <row r="58" spans="1:11" customFormat="1" ht="20.100000000000001" customHeight="1" x14ac:dyDescent="0.2">
      <c r="A58" s="289">
        <v>21</v>
      </c>
      <c r="B58" s="298" t="s">
        <v>1015</v>
      </c>
      <c r="C58" s="290">
        <f>data!J89</f>
        <v>0</v>
      </c>
      <c r="D58" s="290">
        <f>data!K89</f>
        <v>0</v>
      </c>
      <c r="E58" s="290">
        <f>data!L89</f>
        <v>738690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0</v>
      </c>
    </row>
    <row r="59" spans="1:11" customFormat="1" ht="20.100000000000001" customHeight="1" x14ac:dyDescent="0.2">
      <c r="A59" s="289" t="s">
        <v>1016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00000000000001" customHeight="1" x14ac:dyDescent="0.25">
      <c r="A60" s="289">
        <v>22</v>
      </c>
      <c r="B60" s="290" t="s">
        <v>1017</v>
      </c>
      <c r="C60" s="290">
        <f>data!J90</f>
        <v>0</v>
      </c>
      <c r="D60" s="290">
        <f>data!K90</f>
        <v>0</v>
      </c>
      <c r="E60" s="290">
        <f>data!L90</f>
        <v>1422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0</v>
      </c>
      <c r="K60" s="301"/>
    </row>
    <row r="61" spans="1:11" customFormat="1" ht="20.100000000000001" customHeight="1" x14ac:dyDescent="0.2">
      <c r="A61" s="289">
        <v>23</v>
      </c>
      <c r="B61" s="290" t="s">
        <v>1018</v>
      </c>
      <c r="C61" s="290">
        <f>data!J91</f>
        <v>0</v>
      </c>
      <c r="D61" s="290">
        <f>data!K91</f>
        <v>0</v>
      </c>
      <c r="E61" s="290">
        <f>data!L91</f>
        <v>4008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00000000000001" customHeight="1" x14ac:dyDescent="0.2">
      <c r="A62" s="289">
        <v>24</v>
      </c>
      <c r="B62" s="290" t="s">
        <v>1019</v>
      </c>
      <c r="C62" s="290">
        <f>data!J92</f>
        <v>0</v>
      </c>
      <c r="D62" s="290">
        <f>data!K92</f>
        <v>0</v>
      </c>
      <c r="E62" s="290">
        <f>data!L92</f>
        <v>600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0</v>
      </c>
    </row>
    <row r="63" spans="1:11" customFormat="1" ht="20.100000000000001" customHeight="1" x14ac:dyDescent="0.2">
      <c r="A63" s="289">
        <v>25</v>
      </c>
      <c r="B63" s="290" t="s">
        <v>1020</v>
      </c>
      <c r="C63" s="290">
        <f>data!J93</f>
        <v>0</v>
      </c>
      <c r="D63" s="290">
        <f>data!K93</f>
        <v>0</v>
      </c>
      <c r="E63" s="290">
        <f>data!L93</f>
        <v>8884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00000000000001" customHeight="1" x14ac:dyDescent="0.2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7.09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0</v>
      </c>
    </row>
    <row r="65" spans="1:9" customFormat="1" ht="20.100000000000001" customHeight="1" x14ac:dyDescent="0.2">
      <c r="A65" s="283" t="s">
        <v>1002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00000000000001" customHeight="1" x14ac:dyDescent="0.2">
      <c r="D66" s="285"/>
      <c r="I66" s="286" t="s">
        <v>1024</v>
      </c>
    </row>
    <row r="67" spans="1:9" customFormat="1" ht="20.100000000000001" customHeight="1" x14ac:dyDescent="0.2">
      <c r="A67" s="285"/>
    </row>
    <row r="68" spans="1:9" customFormat="1" ht="20.100000000000001" customHeight="1" x14ac:dyDescent="0.2">
      <c r="A68" s="287" t="str">
        <f>"Hospital: "&amp;data!C98</f>
        <v>Hospital: EAST ADAMS RURAL HEALTHCARE</v>
      </c>
      <c r="G68" s="288"/>
      <c r="H68" s="287" t="str">
        <f>"FYE: "&amp;data!C96</f>
        <v>FYE: 12/31/2022</v>
      </c>
    </row>
    <row r="69" spans="1:9" customFormat="1" ht="20.100000000000001" customHeight="1" x14ac:dyDescent="0.2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00000000000001" customHeight="1" x14ac:dyDescent="0.2">
      <c r="A70" s="293">
        <v>2</v>
      </c>
      <c r="B70" s="294" t="s">
        <v>1004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00000000000001" customHeight="1" x14ac:dyDescent="0.2">
      <c r="A71" s="293"/>
      <c r="B71" s="294"/>
      <c r="C71" s="296" t="s">
        <v>198</v>
      </c>
      <c r="D71" s="296" t="s">
        <v>1025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00000000000001" customHeight="1" x14ac:dyDescent="0.2">
      <c r="A72" s="289">
        <v>3</v>
      </c>
      <c r="B72" s="290" t="s">
        <v>1008</v>
      </c>
      <c r="C72" s="292" t="s">
        <v>1026</v>
      </c>
      <c r="D72" s="291" t="s">
        <v>1027</v>
      </c>
      <c r="E72" s="302"/>
      <c r="F72" s="302"/>
      <c r="G72" s="291" t="s">
        <v>1028</v>
      </c>
      <c r="H72" s="291" t="s">
        <v>1028</v>
      </c>
      <c r="I72" s="292" t="s">
        <v>250</v>
      </c>
    </row>
    <row r="73" spans="1:9" customFormat="1" ht="20.100000000000001" customHeight="1" x14ac:dyDescent="0.2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16788</v>
      </c>
      <c r="H73" s="290">
        <f>data!V59</f>
        <v>0</v>
      </c>
      <c r="I73" s="290">
        <f>data!W59</f>
        <v>75</v>
      </c>
    </row>
    <row r="74" spans="1:9" customFormat="1" ht="20.100000000000001" customHeight="1" x14ac:dyDescent="0.2">
      <c r="A74" s="289">
        <v>5</v>
      </c>
      <c r="B74" s="290" t="s">
        <v>262</v>
      </c>
      <c r="C74" s="297">
        <f>data!Q60</f>
        <v>0</v>
      </c>
      <c r="D74" s="297">
        <f>data!R60</f>
        <v>0</v>
      </c>
      <c r="E74" s="297">
        <f>data!S60</f>
        <v>0.96</v>
      </c>
      <c r="F74" s="297">
        <f>data!T60</f>
        <v>0</v>
      </c>
      <c r="G74" s="297">
        <f>data!U60</f>
        <v>4.54</v>
      </c>
      <c r="H74" s="297">
        <f>data!V60</f>
        <v>0</v>
      </c>
      <c r="I74" s="297">
        <f>data!W60</f>
        <v>0.08</v>
      </c>
    </row>
    <row r="75" spans="1:9" customFormat="1" ht="20.100000000000001" customHeight="1" x14ac:dyDescent="0.2">
      <c r="A75" s="289">
        <v>6</v>
      </c>
      <c r="B75" s="290" t="s">
        <v>263</v>
      </c>
      <c r="C75" s="290">
        <f>data!Q61</f>
        <v>0</v>
      </c>
      <c r="D75" s="290">
        <f>data!R61</f>
        <v>0</v>
      </c>
      <c r="E75" s="290">
        <f>data!S61</f>
        <v>47645</v>
      </c>
      <c r="F75" s="290">
        <f>data!T61</f>
        <v>0</v>
      </c>
      <c r="G75" s="290">
        <f>data!U61</f>
        <v>346497</v>
      </c>
      <c r="H75" s="290">
        <f>data!V61</f>
        <v>0</v>
      </c>
      <c r="I75" s="290">
        <f>data!W61</f>
        <v>9807</v>
      </c>
    </row>
    <row r="76" spans="1:9" customFormat="1" ht="20.100000000000001" customHeight="1" x14ac:dyDescent="0.2">
      <c r="A76" s="289">
        <v>7</v>
      </c>
      <c r="B76" s="290" t="s">
        <v>11</v>
      </c>
      <c r="C76" s="290">
        <f>data!Q62</f>
        <v>0</v>
      </c>
      <c r="D76" s="290">
        <f>data!R62</f>
        <v>0</v>
      </c>
      <c r="E76" s="290">
        <f>data!S62</f>
        <v>10877</v>
      </c>
      <c r="F76" s="290">
        <f>data!T62</f>
        <v>0</v>
      </c>
      <c r="G76" s="290">
        <f>data!U62</f>
        <v>79102</v>
      </c>
      <c r="H76" s="290">
        <f>data!V62</f>
        <v>0</v>
      </c>
      <c r="I76" s="290">
        <f>data!W62</f>
        <v>2239</v>
      </c>
    </row>
    <row r="77" spans="1:9" customFormat="1" ht="20.100000000000001" customHeight="1" x14ac:dyDescent="0.2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0</v>
      </c>
      <c r="H77" s="290">
        <f>data!V63</f>
        <v>0</v>
      </c>
      <c r="I77" s="290">
        <f>data!W63</f>
        <v>0</v>
      </c>
    </row>
    <row r="78" spans="1:9" customFormat="1" ht="20.100000000000001" customHeight="1" x14ac:dyDescent="0.2">
      <c r="A78" s="289">
        <v>9</v>
      </c>
      <c r="B78" s="290" t="s">
        <v>265</v>
      </c>
      <c r="C78" s="290">
        <f>data!Q64</f>
        <v>0</v>
      </c>
      <c r="D78" s="290">
        <f>data!R64</f>
        <v>0</v>
      </c>
      <c r="E78" s="290">
        <f>data!S64</f>
        <v>0</v>
      </c>
      <c r="F78" s="290">
        <f>data!T64</f>
        <v>0</v>
      </c>
      <c r="G78" s="290">
        <f>data!U64</f>
        <v>220780</v>
      </c>
      <c r="H78" s="290">
        <f>data!V64</f>
        <v>0</v>
      </c>
      <c r="I78" s="290">
        <f>data!W64</f>
        <v>67</v>
      </c>
    </row>
    <row r="79" spans="1:9" customFormat="1" ht="20.100000000000001" customHeight="1" x14ac:dyDescent="0.2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1000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00000000000001" customHeight="1" x14ac:dyDescent="0.2">
      <c r="A80" s="289">
        <v>11</v>
      </c>
      <c r="B80" s="290" t="s">
        <v>526</v>
      </c>
      <c r="C80" s="290">
        <f>data!Q66</f>
        <v>0</v>
      </c>
      <c r="D80" s="290">
        <f>data!R66</f>
        <v>0</v>
      </c>
      <c r="E80" s="290">
        <f>data!S66</f>
        <v>0</v>
      </c>
      <c r="F80" s="290">
        <f>data!T66</f>
        <v>0</v>
      </c>
      <c r="G80" s="290">
        <f>data!U66</f>
        <v>100878</v>
      </c>
      <c r="H80" s="290">
        <f>data!V66</f>
        <v>0</v>
      </c>
      <c r="I80" s="290">
        <f>data!W66</f>
        <v>74021</v>
      </c>
    </row>
    <row r="81" spans="1:9" customFormat="1" ht="20.100000000000001" customHeight="1" x14ac:dyDescent="0.2">
      <c r="A81" s="289">
        <v>12</v>
      </c>
      <c r="B81" s="290" t="s">
        <v>16</v>
      </c>
      <c r="C81" s="290">
        <f>data!Q67</f>
        <v>0</v>
      </c>
      <c r="D81" s="290">
        <f>data!R67</f>
        <v>0</v>
      </c>
      <c r="E81" s="290">
        <f>data!S67</f>
        <v>17159</v>
      </c>
      <c r="F81" s="290">
        <f>data!T67</f>
        <v>0</v>
      </c>
      <c r="G81" s="290">
        <f>data!U67</f>
        <v>18560</v>
      </c>
      <c r="H81" s="290">
        <f>data!V67</f>
        <v>0</v>
      </c>
      <c r="I81" s="290">
        <f>data!W67</f>
        <v>1094</v>
      </c>
    </row>
    <row r="82" spans="1:9" customFormat="1" ht="20.100000000000001" customHeight="1" x14ac:dyDescent="0.2">
      <c r="A82" s="289">
        <v>13</v>
      </c>
      <c r="B82" s="290" t="s">
        <v>1009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0</v>
      </c>
      <c r="I82" s="290">
        <f>data!W68</f>
        <v>0</v>
      </c>
    </row>
    <row r="83" spans="1:9" customFormat="1" ht="20.100000000000001" customHeight="1" x14ac:dyDescent="0.2">
      <c r="A83" s="289">
        <v>14</v>
      </c>
      <c r="B83" s="290" t="s">
        <v>1010</v>
      </c>
      <c r="C83" s="290">
        <f>data!Q69</f>
        <v>0</v>
      </c>
      <c r="D83" s="290">
        <f>data!R69</f>
        <v>0</v>
      </c>
      <c r="E83" s="290">
        <f>data!S69</f>
        <v>3295</v>
      </c>
      <c r="F83" s="290">
        <f>data!T69</f>
        <v>0</v>
      </c>
      <c r="G83" s="290">
        <f>data!U69</f>
        <v>1047</v>
      </c>
      <c r="H83" s="290">
        <f>data!V69</f>
        <v>0</v>
      </c>
      <c r="I83" s="290">
        <f>data!W69</f>
        <v>212</v>
      </c>
    </row>
    <row r="84" spans="1:9" customFormat="1" ht="20.100000000000001" customHeight="1" x14ac:dyDescent="0.2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00000000000001" customHeight="1" x14ac:dyDescent="0.2">
      <c r="A85" s="289">
        <v>16</v>
      </c>
      <c r="B85" s="298" t="s">
        <v>1011</v>
      </c>
      <c r="C85" s="290">
        <f>data!Q85</f>
        <v>0</v>
      </c>
      <c r="D85" s="290">
        <f>data!R85</f>
        <v>0</v>
      </c>
      <c r="E85" s="290">
        <f>data!S85</f>
        <v>79976</v>
      </c>
      <c r="F85" s="290">
        <f>data!T85</f>
        <v>0</v>
      </c>
      <c r="G85" s="290">
        <f>data!U85</f>
        <v>766864</v>
      </c>
      <c r="H85" s="290">
        <f>data!V85</f>
        <v>0</v>
      </c>
      <c r="I85" s="290">
        <f>data!W85</f>
        <v>87440</v>
      </c>
    </row>
    <row r="86" spans="1:9" customFormat="1" ht="20.100000000000001" customHeight="1" x14ac:dyDescent="0.2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00000000000001" customHeight="1" x14ac:dyDescent="0.2">
      <c r="A87" s="289">
        <v>18</v>
      </c>
      <c r="B87" s="290" t="s">
        <v>1012</v>
      </c>
      <c r="C87" s="298">
        <f>+data!M682</f>
        <v>0</v>
      </c>
      <c r="D87" s="298">
        <f>+data!M683</f>
        <v>0</v>
      </c>
      <c r="E87" s="298">
        <f>+data!M684</f>
        <v>52907</v>
      </c>
      <c r="F87" s="298">
        <f>+data!M685</f>
        <v>0</v>
      </c>
      <c r="G87" s="298">
        <f>+data!M686</f>
        <v>484920</v>
      </c>
      <c r="H87" s="298">
        <f>+data!M687</f>
        <v>0</v>
      </c>
      <c r="I87" s="298">
        <f>+data!M688</f>
        <v>51168</v>
      </c>
    </row>
    <row r="88" spans="1:9" customFormat="1" ht="20.100000000000001" customHeight="1" x14ac:dyDescent="0.2">
      <c r="A88" s="289">
        <v>19</v>
      </c>
      <c r="B88" s="298" t="s">
        <v>1013</v>
      </c>
      <c r="C88" s="290">
        <f>data!Q87</f>
        <v>0</v>
      </c>
      <c r="D88" s="290">
        <f>data!R87</f>
        <v>0</v>
      </c>
      <c r="E88" s="290">
        <f>data!S87</f>
        <v>0</v>
      </c>
      <c r="F88" s="290">
        <f>data!T87</f>
        <v>0</v>
      </c>
      <c r="G88" s="290">
        <f>data!U87</f>
        <v>50964</v>
      </c>
      <c r="H88" s="290">
        <f>data!V87</f>
        <v>0</v>
      </c>
      <c r="I88" s="290">
        <f>data!W87</f>
        <v>0</v>
      </c>
    </row>
    <row r="89" spans="1:9" customFormat="1" ht="20.100000000000001" customHeight="1" x14ac:dyDescent="0.2">
      <c r="A89" s="289">
        <v>20</v>
      </c>
      <c r="B89" s="298" t="s">
        <v>1014</v>
      </c>
      <c r="C89" s="290">
        <f>data!Q88</f>
        <v>0</v>
      </c>
      <c r="D89" s="290">
        <f>data!R88</f>
        <v>0</v>
      </c>
      <c r="E89" s="290">
        <f>data!S88</f>
        <v>0</v>
      </c>
      <c r="F89" s="290">
        <f>data!T88</f>
        <v>0</v>
      </c>
      <c r="G89" s="290">
        <f>data!U88</f>
        <v>1729953</v>
      </c>
      <c r="H89" s="290">
        <f>data!V88</f>
        <v>0</v>
      </c>
      <c r="I89" s="290">
        <f>data!W88</f>
        <v>194085</v>
      </c>
    </row>
    <row r="90" spans="1:9" customFormat="1" ht="20.100000000000001" customHeight="1" x14ac:dyDescent="0.2">
      <c r="A90" s="289">
        <v>21</v>
      </c>
      <c r="B90" s="298" t="s">
        <v>1015</v>
      </c>
      <c r="C90" s="290">
        <f>data!Q89</f>
        <v>0</v>
      </c>
      <c r="D90" s="290">
        <f>data!R89</f>
        <v>0</v>
      </c>
      <c r="E90" s="290">
        <f>data!S89</f>
        <v>0</v>
      </c>
      <c r="F90" s="290">
        <f>data!T89</f>
        <v>0</v>
      </c>
      <c r="G90" s="290">
        <f>data!U89</f>
        <v>1780917</v>
      </c>
      <c r="H90" s="290">
        <f>data!V89</f>
        <v>0</v>
      </c>
      <c r="I90" s="290">
        <f>data!W89</f>
        <v>194085</v>
      </c>
    </row>
    <row r="91" spans="1:9" customFormat="1" ht="20.100000000000001" customHeight="1" x14ac:dyDescent="0.2">
      <c r="A91" s="289" t="s">
        <v>1016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00000000000001" customHeight="1" x14ac:dyDescent="0.2">
      <c r="A92" s="289">
        <v>22</v>
      </c>
      <c r="B92" s="290" t="s">
        <v>1017</v>
      </c>
      <c r="C92" s="290">
        <f>data!Q90</f>
        <v>0</v>
      </c>
      <c r="D92" s="290">
        <f>data!R90</f>
        <v>0</v>
      </c>
      <c r="E92" s="290">
        <f>data!S90</f>
        <v>502</v>
      </c>
      <c r="F92" s="290">
        <f>data!T90</f>
        <v>0</v>
      </c>
      <c r="G92" s="290">
        <f>data!U90</f>
        <v>543</v>
      </c>
      <c r="H92" s="290">
        <f>data!V90</f>
        <v>0</v>
      </c>
      <c r="I92" s="290">
        <f>data!W90</f>
        <v>32</v>
      </c>
    </row>
    <row r="93" spans="1:9" customFormat="1" ht="20.100000000000001" customHeight="1" x14ac:dyDescent="0.2">
      <c r="A93" s="289">
        <v>23</v>
      </c>
      <c r="B93" s="290" t="s">
        <v>1018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00000000000001" customHeight="1" x14ac:dyDescent="0.2">
      <c r="A94" s="289">
        <v>24</v>
      </c>
      <c r="B94" s="290" t="s">
        <v>1019</v>
      </c>
      <c r="C94" s="290">
        <f>data!Q92</f>
        <v>0</v>
      </c>
      <c r="D94" s="290">
        <f>data!R92</f>
        <v>0</v>
      </c>
      <c r="E94" s="290">
        <f>data!S92</f>
        <v>212</v>
      </c>
      <c r="F94" s="290">
        <f>data!T92</f>
        <v>0</v>
      </c>
      <c r="G94" s="290">
        <f>data!U92</f>
        <v>229</v>
      </c>
      <c r="H94" s="290">
        <f>data!V92</f>
        <v>0</v>
      </c>
      <c r="I94" s="290">
        <f>data!W92</f>
        <v>14</v>
      </c>
    </row>
    <row r="95" spans="1:9" customFormat="1" ht="20.100000000000001" customHeight="1" x14ac:dyDescent="0.2">
      <c r="A95" s="289">
        <v>25</v>
      </c>
      <c r="B95" s="290" t="s">
        <v>1020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36</v>
      </c>
    </row>
    <row r="96" spans="1:9" customFormat="1" ht="20.100000000000001" customHeight="1" x14ac:dyDescent="0.2">
      <c r="A96" s="289">
        <v>26</v>
      </c>
      <c r="B96" s="290" t="s">
        <v>294</v>
      </c>
      <c r="C96" s="297">
        <f>data!Q94</f>
        <v>0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00000000000001" customHeight="1" x14ac:dyDescent="0.2">
      <c r="A97" s="283" t="s">
        <v>1002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00000000000001" customHeight="1" x14ac:dyDescent="0.2">
      <c r="D98" s="285"/>
      <c r="I98" s="286" t="s">
        <v>1029</v>
      </c>
    </row>
    <row r="99" spans="1:9" customFormat="1" ht="20.100000000000001" customHeight="1" x14ac:dyDescent="0.2">
      <c r="A99" s="285"/>
    </row>
    <row r="100" spans="1:9" customFormat="1" ht="20.100000000000001" customHeight="1" x14ac:dyDescent="0.2">
      <c r="A100" s="287" t="str">
        <f>"Hospital: "&amp;data!C98</f>
        <v>Hospital: EAST ADAMS RURAL HEALTHCARE</v>
      </c>
      <c r="G100" s="288"/>
      <c r="H100" s="287" t="str">
        <f>"FYE: "&amp;data!C96</f>
        <v>FYE: 12/31/2022</v>
      </c>
    </row>
    <row r="101" spans="1:9" customFormat="1" ht="20.100000000000001" customHeight="1" x14ac:dyDescent="0.2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00000000000001" customHeight="1" x14ac:dyDescent="0.2">
      <c r="A102" s="293">
        <v>2</v>
      </c>
      <c r="B102" s="294" t="s">
        <v>1004</v>
      </c>
      <c r="C102" s="296" t="s">
        <v>1030</v>
      </c>
      <c r="D102" s="296" t="s">
        <v>1031</v>
      </c>
      <c r="E102" s="296" t="s">
        <v>1031</v>
      </c>
      <c r="F102" s="296" t="s">
        <v>141</v>
      </c>
      <c r="G102" s="296"/>
      <c r="H102" s="296" t="s">
        <v>143</v>
      </c>
      <c r="I102" s="296"/>
    </row>
    <row r="103" spans="1:9" customFormat="1" ht="20.100000000000001" customHeight="1" x14ac:dyDescent="0.2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00000000000001" customHeight="1" x14ac:dyDescent="0.2">
      <c r="A104" s="289">
        <v>3</v>
      </c>
      <c r="B104" s="290" t="s">
        <v>1008</v>
      </c>
      <c r="C104" s="291" t="s">
        <v>251</v>
      </c>
      <c r="D104" s="292" t="s">
        <v>1032</v>
      </c>
      <c r="E104" s="292" t="s">
        <v>1032</v>
      </c>
      <c r="F104" s="292" t="s">
        <v>1032</v>
      </c>
      <c r="G104" s="302"/>
      <c r="H104" s="292" t="s">
        <v>253</v>
      </c>
      <c r="I104" s="292" t="s">
        <v>254</v>
      </c>
    </row>
    <row r="105" spans="1:9" customFormat="1" ht="20.100000000000001" customHeight="1" x14ac:dyDescent="0.2">
      <c r="A105" s="289">
        <v>4</v>
      </c>
      <c r="B105" s="290" t="s">
        <v>261</v>
      </c>
      <c r="C105" s="290">
        <f>data!X59</f>
        <v>634</v>
      </c>
      <c r="D105" s="290">
        <f>data!Y59</f>
        <v>2180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00000000000001" customHeight="1" x14ac:dyDescent="0.2">
      <c r="A106" s="289">
        <v>5</v>
      </c>
      <c r="B106" s="290" t="s">
        <v>262</v>
      </c>
      <c r="C106" s="297">
        <f>data!X60</f>
        <v>0.66</v>
      </c>
      <c r="D106" s="297">
        <f>data!Y60</f>
        <v>2.2599999999999998</v>
      </c>
      <c r="E106" s="297">
        <f>data!Z60</f>
        <v>0</v>
      </c>
      <c r="F106" s="297">
        <f>data!AA60</f>
        <v>0</v>
      </c>
      <c r="G106" s="297">
        <f>data!AB60</f>
        <v>0</v>
      </c>
      <c r="H106" s="297">
        <f>data!AC60</f>
        <v>0</v>
      </c>
      <c r="I106" s="297">
        <f>data!AD60</f>
        <v>0</v>
      </c>
    </row>
    <row r="107" spans="1:9" customFormat="1" ht="20.100000000000001" customHeight="1" x14ac:dyDescent="0.2">
      <c r="A107" s="289">
        <v>6</v>
      </c>
      <c r="B107" s="290" t="s">
        <v>263</v>
      </c>
      <c r="C107" s="290">
        <f>data!X61</f>
        <v>82902</v>
      </c>
      <c r="D107" s="290">
        <f>data!Y61</f>
        <v>285057</v>
      </c>
      <c r="E107" s="290">
        <f>data!Z61</f>
        <v>0</v>
      </c>
      <c r="F107" s="290">
        <f>data!AA61</f>
        <v>0</v>
      </c>
      <c r="G107" s="290">
        <f>data!AB61</f>
        <v>0</v>
      </c>
      <c r="H107" s="290">
        <f>data!AC61</f>
        <v>0</v>
      </c>
      <c r="I107" s="290">
        <f>data!AD61</f>
        <v>0</v>
      </c>
    </row>
    <row r="108" spans="1:9" customFormat="1" ht="20.100000000000001" customHeight="1" x14ac:dyDescent="0.2">
      <c r="A108" s="289">
        <v>7</v>
      </c>
      <c r="B108" s="290" t="s">
        <v>11</v>
      </c>
      <c r="C108" s="290">
        <f>data!X62</f>
        <v>18926</v>
      </c>
      <c r="D108" s="290">
        <f>data!Y62</f>
        <v>65075</v>
      </c>
      <c r="E108" s="290">
        <f>data!Z62</f>
        <v>0</v>
      </c>
      <c r="F108" s="290">
        <f>data!AA62</f>
        <v>0</v>
      </c>
      <c r="G108" s="290">
        <f>data!AB62</f>
        <v>0</v>
      </c>
      <c r="H108" s="290">
        <f>data!AC62</f>
        <v>0</v>
      </c>
      <c r="I108" s="290">
        <f>data!AD62</f>
        <v>0</v>
      </c>
    </row>
    <row r="109" spans="1:9" customFormat="1" ht="20.100000000000001" customHeight="1" x14ac:dyDescent="0.2">
      <c r="A109" s="289">
        <v>8</v>
      </c>
      <c r="B109" s="290" t="s">
        <v>264</v>
      </c>
      <c r="C109" s="290">
        <f>data!X63</f>
        <v>0</v>
      </c>
      <c r="D109" s="290">
        <f>data!Y63</f>
        <v>548</v>
      </c>
      <c r="E109" s="290">
        <f>data!Z63</f>
        <v>0</v>
      </c>
      <c r="F109" s="290">
        <f>data!AA63</f>
        <v>0</v>
      </c>
      <c r="G109" s="290">
        <f>data!AB63</f>
        <v>45587</v>
      </c>
      <c r="H109" s="290">
        <f>data!AC63</f>
        <v>0</v>
      </c>
      <c r="I109" s="290">
        <f>data!AD63</f>
        <v>0</v>
      </c>
    </row>
    <row r="110" spans="1:9" customFormat="1" ht="20.100000000000001" customHeight="1" x14ac:dyDescent="0.2">
      <c r="A110" s="289">
        <v>9</v>
      </c>
      <c r="B110" s="290" t="s">
        <v>265</v>
      </c>
      <c r="C110" s="290">
        <f>data!X64</f>
        <v>562</v>
      </c>
      <c r="D110" s="290">
        <f>data!Y64</f>
        <v>1935</v>
      </c>
      <c r="E110" s="290">
        <f>data!Z64</f>
        <v>0</v>
      </c>
      <c r="F110" s="290">
        <f>data!AA64</f>
        <v>0</v>
      </c>
      <c r="G110" s="290">
        <f>data!AB64</f>
        <v>133048</v>
      </c>
      <c r="H110" s="290">
        <f>data!AC64</f>
        <v>11322</v>
      </c>
      <c r="I110" s="290">
        <f>data!AD64</f>
        <v>0</v>
      </c>
    </row>
    <row r="111" spans="1:9" customFormat="1" ht="20.100000000000001" customHeight="1" x14ac:dyDescent="0.2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00000000000001" customHeight="1" x14ac:dyDescent="0.2">
      <c r="A112" s="289">
        <v>11</v>
      </c>
      <c r="B112" s="290" t="s">
        <v>526</v>
      </c>
      <c r="C112" s="290">
        <f>data!X66</f>
        <v>74501</v>
      </c>
      <c r="D112" s="290">
        <f>data!Y66</f>
        <v>20945</v>
      </c>
      <c r="E112" s="290">
        <f>data!Z66</f>
        <v>0</v>
      </c>
      <c r="F112" s="290">
        <f>data!AA66</f>
        <v>0</v>
      </c>
      <c r="G112" s="290">
        <f>data!AB66</f>
        <v>86825</v>
      </c>
      <c r="H112" s="290">
        <f>data!AC66</f>
        <v>2125</v>
      </c>
      <c r="I112" s="290">
        <f>data!AD66</f>
        <v>0</v>
      </c>
    </row>
    <row r="113" spans="1:9" customFormat="1" ht="20.100000000000001" customHeight="1" x14ac:dyDescent="0.2">
      <c r="A113" s="289">
        <v>12</v>
      </c>
      <c r="B113" s="290" t="s">
        <v>16</v>
      </c>
      <c r="C113" s="290">
        <f>data!X67</f>
        <v>9297</v>
      </c>
      <c r="D113" s="290">
        <f>data!Y67</f>
        <v>31925</v>
      </c>
      <c r="E113" s="290">
        <f>data!Z67</f>
        <v>0</v>
      </c>
      <c r="F113" s="290">
        <f>data!AA67</f>
        <v>0</v>
      </c>
      <c r="G113" s="290">
        <f>data!AB67</f>
        <v>2734</v>
      </c>
      <c r="H113" s="290">
        <f>data!AC67</f>
        <v>0</v>
      </c>
      <c r="I113" s="290">
        <f>data!AD67</f>
        <v>0</v>
      </c>
    </row>
    <row r="114" spans="1:9" customFormat="1" ht="20.100000000000001" customHeight="1" x14ac:dyDescent="0.2">
      <c r="A114" s="289">
        <v>13</v>
      </c>
      <c r="B114" s="290" t="s">
        <v>1009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43201</v>
      </c>
      <c r="H114" s="290">
        <f>data!AC68</f>
        <v>0</v>
      </c>
      <c r="I114" s="290">
        <f>data!AD68</f>
        <v>0</v>
      </c>
    </row>
    <row r="115" spans="1:9" customFormat="1" ht="20.100000000000001" customHeight="1" x14ac:dyDescent="0.2">
      <c r="A115" s="289">
        <v>14</v>
      </c>
      <c r="B115" s="290" t="s">
        <v>1010</v>
      </c>
      <c r="C115" s="290">
        <f>data!X69</f>
        <v>1792</v>
      </c>
      <c r="D115" s="290">
        <f>data!Y69</f>
        <v>6159</v>
      </c>
      <c r="E115" s="290">
        <f>data!Z69</f>
        <v>0</v>
      </c>
      <c r="F115" s="290">
        <f>data!AA69</f>
        <v>0</v>
      </c>
      <c r="G115" s="290">
        <f>data!AB69</f>
        <v>0</v>
      </c>
      <c r="H115" s="290">
        <f>data!AC69</f>
        <v>37</v>
      </c>
      <c r="I115" s="290">
        <f>data!AD69</f>
        <v>0</v>
      </c>
    </row>
    <row r="116" spans="1:9" customFormat="1" ht="20.100000000000001" customHeight="1" x14ac:dyDescent="0.2">
      <c r="A116" s="289">
        <v>15</v>
      </c>
      <c r="B116" s="290" t="s">
        <v>284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00000000000001" customHeight="1" x14ac:dyDescent="0.2">
      <c r="A117" s="289">
        <v>16</v>
      </c>
      <c r="B117" s="298" t="s">
        <v>1011</v>
      </c>
      <c r="C117" s="290">
        <f>data!X85</f>
        <v>187980</v>
      </c>
      <c r="D117" s="290">
        <f>data!Y85</f>
        <v>411644</v>
      </c>
      <c r="E117" s="290">
        <f>data!Z85</f>
        <v>0</v>
      </c>
      <c r="F117" s="290">
        <f>data!AA85</f>
        <v>0</v>
      </c>
      <c r="G117" s="290">
        <f>data!AB85</f>
        <v>311395</v>
      </c>
      <c r="H117" s="290">
        <f>data!AC85</f>
        <v>13484</v>
      </c>
      <c r="I117" s="290">
        <f>data!AD85</f>
        <v>0</v>
      </c>
    </row>
    <row r="118" spans="1:9" customFormat="1" ht="20.100000000000001" customHeight="1" x14ac:dyDescent="0.2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00000000000001" customHeight="1" x14ac:dyDescent="0.2">
      <c r="A119" s="289">
        <v>18</v>
      </c>
      <c r="B119" s="290" t="s">
        <v>1012</v>
      </c>
      <c r="C119" s="298">
        <f>+data!M689</f>
        <v>260228</v>
      </c>
      <c r="D119" s="298">
        <f>+data!M690</f>
        <v>289059</v>
      </c>
      <c r="E119" s="298">
        <f>+data!M691</f>
        <v>0</v>
      </c>
      <c r="F119" s="298">
        <f>+data!M692</f>
        <v>0</v>
      </c>
      <c r="G119" s="298">
        <f>+data!M693</f>
        <v>117482</v>
      </c>
      <c r="H119" s="298">
        <f>+data!M694</f>
        <v>5109</v>
      </c>
      <c r="I119" s="298">
        <f>+data!M695</f>
        <v>0</v>
      </c>
    </row>
    <row r="120" spans="1:9" customFormat="1" ht="20.100000000000001" customHeight="1" x14ac:dyDescent="0.2">
      <c r="A120" s="289">
        <v>19</v>
      </c>
      <c r="B120" s="298" t="s">
        <v>1013</v>
      </c>
      <c r="C120" s="290">
        <f>data!X87</f>
        <v>19494</v>
      </c>
      <c r="D120" s="290">
        <f>data!Y87</f>
        <v>5167</v>
      </c>
      <c r="E120" s="290">
        <f>data!Z87</f>
        <v>0</v>
      </c>
      <c r="F120" s="290">
        <f>data!AA87</f>
        <v>0</v>
      </c>
      <c r="G120" s="290">
        <f>data!AB87</f>
        <v>54280</v>
      </c>
      <c r="H120" s="290">
        <f>data!AC87</f>
        <v>0</v>
      </c>
      <c r="I120" s="290">
        <f>data!AD87</f>
        <v>0</v>
      </c>
    </row>
    <row r="121" spans="1:9" customFormat="1" ht="20.100000000000001" customHeight="1" x14ac:dyDescent="0.2">
      <c r="A121" s="289">
        <v>20</v>
      </c>
      <c r="B121" s="298" t="s">
        <v>1014</v>
      </c>
      <c r="C121" s="290">
        <f>data!X88</f>
        <v>1113539</v>
      </c>
      <c r="D121" s="290">
        <f>data!Y88</f>
        <v>807969</v>
      </c>
      <c r="E121" s="290">
        <f>data!Z88</f>
        <v>0</v>
      </c>
      <c r="F121" s="290">
        <f>data!AA88</f>
        <v>0</v>
      </c>
      <c r="G121" s="290">
        <f>data!AB88</f>
        <v>305783</v>
      </c>
      <c r="H121" s="290">
        <f>data!AC88</f>
        <v>17250</v>
      </c>
      <c r="I121" s="290">
        <f>data!AD88</f>
        <v>0</v>
      </c>
    </row>
    <row r="122" spans="1:9" customFormat="1" ht="20.100000000000001" customHeight="1" x14ac:dyDescent="0.2">
      <c r="A122" s="289">
        <v>21</v>
      </c>
      <c r="B122" s="298" t="s">
        <v>1015</v>
      </c>
      <c r="C122" s="290">
        <f>data!X89</f>
        <v>1133033</v>
      </c>
      <c r="D122" s="290">
        <f>data!Y89</f>
        <v>813136</v>
      </c>
      <c r="E122" s="290">
        <f>data!Z89</f>
        <v>0</v>
      </c>
      <c r="F122" s="290">
        <f>data!AA89</f>
        <v>0</v>
      </c>
      <c r="G122" s="290">
        <f>data!AB89</f>
        <v>360063</v>
      </c>
      <c r="H122" s="290">
        <f>data!AC89</f>
        <v>17250</v>
      </c>
      <c r="I122" s="290">
        <f>data!AD89</f>
        <v>0</v>
      </c>
    </row>
    <row r="123" spans="1:9" customFormat="1" ht="20.100000000000001" customHeight="1" x14ac:dyDescent="0.2">
      <c r="A123" s="289" t="s">
        <v>1016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00000000000001" customHeight="1" x14ac:dyDescent="0.2">
      <c r="A124" s="289">
        <v>22</v>
      </c>
      <c r="B124" s="290" t="s">
        <v>1017</v>
      </c>
      <c r="C124" s="290">
        <f>data!X90</f>
        <v>272</v>
      </c>
      <c r="D124" s="290">
        <f>data!Y90</f>
        <v>934</v>
      </c>
      <c r="E124" s="290">
        <f>data!Z90</f>
        <v>0</v>
      </c>
      <c r="F124" s="290">
        <f>data!AA90</f>
        <v>0</v>
      </c>
      <c r="G124" s="290">
        <f>data!AB90</f>
        <v>80</v>
      </c>
      <c r="H124" s="290">
        <f>data!AC90</f>
        <v>0</v>
      </c>
      <c r="I124" s="290">
        <f>data!AD90</f>
        <v>0</v>
      </c>
    </row>
    <row r="125" spans="1:9" customFormat="1" ht="20.100000000000001" customHeight="1" x14ac:dyDescent="0.2">
      <c r="A125" s="289">
        <v>23</v>
      </c>
      <c r="B125" s="290" t="s">
        <v>1018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00000000000001" customHeight="1" x14ac:dyDescent="0.2">
      <c r="A126" s="289">
        <v>24</v>
      </c>
      <c r="B126" s="290" t="s">
        <v>1019</v>
      </c>
      <c r="C126" s="290">
        <f>data!X92</f>
        <v>115</v>
      </c>
      <c r="D126" s="290">
        <f>data!Y92</f>
        <v>394</v>
      </c>
      <c r="E126" s="290">
        <f>data!Z92</f>
        <v>0</v>
      </c>
      <c r="F126" s="290">
        <f>data!AA92</f>
        <v>0</v>
      </c>
      <c r="G126" s="290">
        <f>data!AB92</f>
        <v>34</v>
      </c>
      <c r="H126" s="290">
        <f>data!AC92</f>
        <v>0</v>
      </c>
      <c r="I126" s="290">
        <f>data!AD92</f>
        <v>0</v>
      </c>
    </row>
    <row r="127" spans="1:9" customFormat="1" ht="20.100000000000001" customHeight="1" x14ac:dyDescent="0.2">
      <c r="A127" s="289">
        <v>25</v>
      </c>
      <c r="B127" s="290" t="s">
        <v>1020</v>
      </c>
      <c r="C127" s="290">
        <f>data!X93</f>
        <v>307</v>
      </c>
      <c r="D127" s="290">
        <f>data!Y93</f>
        <v>1056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00000000000001" customHeight="1" x14ac:dyDescent="0.2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00000000000001" customHeight="1" x14ac:dyDescent="0.2">
      <c r="A129" s="283" t="s">
        <v>1002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00000000000001" customHeight="1" x14ac:dyDescent="0.2">
      <c r="D130" s="285"/>
      <c r="I130" s="286" t="s">
        <v>1033</v>
      </c>
    </row>
    <row r="131" spans="1:14" customFormat="1" ht="20.100000000000001" customHeight="1" x14ac:dyDescent="0.2">
      <c r="A131" s="285"/>
    </row>
    <row r="132" spans="1:14" customFormat="1" ht="20.100000000000001" customHeight="1" x14ac:dyDescent="0.2">
      <c r="A132" s="287" t="str">
        <f>"Hospital: "&amp;data!C98</f>
        <v>Hospital: EAST ADAMS RURAL HEALTHCARE</v>
      </c>
      <c r="G132" s="288"/>
      <c r="H132" s="287" t="str">
        <f>"FYE: "&amp;data!C96</f>
        <v>FYE: 12/31/2022</v>
      </c>
    </row>
    <row r="133" spans="1:14" customFormat="1" ht="20.100000000000001" customHeight="1" x14ac:dyDescent="0.2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00000000000001" customHeight="1" x14ac:dyDescent="0.2">
      <c r="A134" s="293">
        <v>2</v>
      </c>
      <c r="B134" s="294" t="s">
        <v>1004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1034</v>
      </c>
      <c r="H134" s="296"/>
      <c r="I134" s="296" t="s">
        <v>149</v>
      </c>
    </row>
    <row r="135" spans="1:14" customFormat="1" ht="20.100000000000001" customHeight="1" x14ac:dyDescent="0.2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00000000000001" customHeight="1" x14ac:dyDescent="0.2">
      <c r="A136" s="289">
        <v>3</v>
      </c>
      <c r="B136" s="290" t="s">
        <v>1008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1035</v>
      </c>
      <c r="H136" s="292" t="s">
        <v>255</v>
      </c>
      <c r="I136" s="292" t="s">
        <v>253</v>
      </c>
    </row>
    <row r="137" spans="1:14" customFormat="1" ht="20.100000000000001" customHeight="1" x14ac:dyDescent="0.25">
      <c r="A137" s="289">
        <v>4</v>
      </c>
      <c r="B137" s="290" t="s">
        <v>261</v>
      </c>
      <c r="C137" s="290">
        <f>data!AE59</f>
        <v>6324</v>
      </c>
      <c r="D137" s="290">
        <f>data!AF59</f>
        <v>0</v>
      </c>
      <c r="E137" s="290">
        <f>data!AG59</f>
        <v>1408</v>
      </c>
      <c r="F137" s="290">
        <f>data!AH59</f>
        <v>324</v>
      </c>
      <c r="G137" s="290">
        <f>data!AI59</f>
        <v>0</v>
      </c>
      <c r="H137" s="290">
        <f>data!AJ59</f>
        <v>4820</v>
      </c>
      <c r="I137" s="290">
        <f>data!AK59</f>
        <v>0</v>
      </c>
      <c r="K137" s="301"/>
      <c r="L137" s="303"/>
      <c r="M137" s="303"/>
      <c r="N137" s="303"/>
    </row>
    <row r="138" spans="1:14" customFormat="1" ht="20.100000000000001" customHeight="1" x14ac:dyDescent="0.2">
      <c r="A138" s="289">
        <v>5</v>
      </c>
      <c r="B138" s="290" t="s">
        <v>262</v>
      </c>
      <c r="C138" s="297">
        <f>data!AE60</f>
        <v>4.6399999999999997</v>
      </c>
      <c r="D138" s="297">
        <f>data!AF60</f>
        <v>0</v>
      </c>
      <c r="E138" s="297">
        <f>data!AG60</f>
        <v>6.93</v>
      </c>
      <c r="F138" s="297">
        <f>data!AH60</f>
        <v>1.63</v>
      </c>
      <c r="G138" s="297">
        <f>data!AI60</f>
        <v>0</v>
      </c>
      <c r="H138" s="297">
        <f>data!AJ60</f>
        <v>11.94</v>
      </c>
      <c r="I138" s="297">
        <f>data!AK60</f>
        <v>0</v>
      </c>
    </row>
    <row r="139" spans="1:14" customFormat="1" ht="20.100000000000001" customHeight="1" x14ac:dyDescent="0.2">
      <c r="A139" s="289">
        <v>6</v>
      </c>
      <c r="B139" s="290" t="s">
        <v>263</v>
      </c>
      <c r="C139" s="290">
        <f>data!AE61</f>
        <v>442067</v>
      </c>
      <c r="D139" s="290">
        <f>data!AF61</f>
        <v>0</v>
      </c>
      <c r="E139" s="290">
        <f>data!AG61</f>
        <v>542827</v>
      </c>
      <c r="F139" s="290">
        <f>data!AH61</f>
        <v>162067</v>
      </c>
      <c r="G139" s="290">
        <f>data!AI61</f>
        <v>0</v>
      </c>
      <c r="H139" s="290">
        <f>data!AJ61</f>
        <v>1298725</v>
      </c>
      <c r="I139" s="290">
        <f>data!AK61</f>
        <v>0</v>
      </c>
    </row>
    <row r="140" spans="1:14" customFormat="1" ht="20.100000000000001" customHeight="1" x14ac:dyDescent="0.2">
      <c r="A140" s="289">
        <v>7</v>
      </c>
      <c r="B140" s="290" t="s">
        <v>11</v>
      </c>
      <c r="C140" s="290">
        <f>data!AE62</f>
        <v>100919</v>
      </c>
      <c r="D140" s="290">
        <f>data!AF62</f>
        <v>0</v>
      </c>
      <c r="E140" s="290">
        <f>data!AG62</f>
        <v>123922</v>
      </c>
      <c r="F140" s="290">
        <f>data!AH62</f>
        <v>36998</v>
      </c>
      <c r="G140" s="290">
        <f>data!AI62</f>
        <v>0</v>
      </c>
      <c r="H140" s="290">
        <f>data!AJ62</f>
        <v>296485</v>
      </c>
      <c r="I140" s="290">
        <f>data!AK62</f>
        <v>0</v>
      </c>
    </row>
    <row r="141" spans="1:14" customFormat="1" ht="20.100000000000001" customHeight="1" x14ac:dyDescent="0.2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174306</v>
      </c>
      <c r="F141" s="290">
        <f>data!AH63</f>
        <v>0</v>
      </c>
      <c r="G141" s="290">
        <f>data!AI63</f>
        <v>0</v>
      </c>
      <c r="H141" s="290">
        <f>data!AJ63</f>
        <v>43766</v>
      </c>
      <c r="I141" s="290">
        <f>data!AK63</f>
        <v>0</v>
      </c>
    </row>
    <row r="142" spans="1:14" customFormat="1" ht="20.100000000000001" customHeight="1" x14ac:dyDescent="0.2">
      <c r="A142" s="289">
        <v>9</v>
      </c>
      <c r="B142" s="290" t="s">
        <v>265</v>
      </c>
      <c r="C142" s="290">
        <f>data!AE64</f>
        <v>6868</v>
      </c>
      <c r="D142" s="290">
        <f>data!AF64</f>
        <v>0</v>
      </c>
      <c r="E142" s="290">
        <f>data!AG64</f>
        <v>69824</v>
      </c>
      <c r="F142" s="290">
        <f>data!AH64</f>
        <v>22393</v>
      </c>
      <c r="G142" s="290">
        <f>data!AI64</f>
        <v>0</v>
      </c>
      <c r="H142" s="290">
        <f>data!AJ64</f>
        <v>11734</v>
      </c>
      <c r="I142" s="290">
        <f>data!AK64</f>
        <v>0</v>
      </c>
    </row>
    <row r="143" spans="1:14" customFormat="1" ht="20.100000000000001" customHeight="1" x14ac:dyDescent="0.2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20717</v>
      </c>
      <c r="G143" s="290">
        <f>data!AI65</f>
        <v>0</v>
      </c>
      <c r="H143" s="290">
        <f>data!AJ65</f>
        <v>20</v>
      </c>
      <c r="I143" s="290">
        <f>data!AK65</f>
        <v>0</v>
      </c>
    </row>
    <row r="144" spans="1:14" customFormat="1" ht="20.100000000000001" customHeight="1" x14ac:dyDescent="0.2">
      <c r="A144" s="289">
        <v>11</v>
      </c>
      <c r="B144" s="290" t="s">
        <v>526</v>
      </c>
      <c r="C144" s="290">
        <f>data!AE66</f>
        <v>46600</v>
      </c>
      <c r="D144" s="290">
        <f>data!AF66</f>
        <v>0</v>
      </c>
      <c r="E144" s="290">
        <f>data!AG66</f>
        <v>12561</v>
      </c>
      <c r="F144" s="290">
        <f>data!AH66</f>
        <v>8021</v>
      </c>
      <c r="G144" s="290">
        <f>data!AI66</f>
        <v>0</v>
      </c>
      <c r="H144" s="290">
        <f>data!AJ66</f>
        <v>139150</v>
      </c>
      <c r="I144" s="290">
        <f>data!AK66</f>
        <v>0</v>
      </c>
    </row>
    <row r="145" spans="1:9" customFormat="1" ht="20.100000000000001" customHeight="1" x14ac:dyDescent="0.2">
      <c r="A145" s="289">
        <v>12</v>
      </c>
      <c r="B145" s="290" t="s">
        <v>16</v>
      </c>
      <c r="C145" s="290">
        <f>data!AE67</f>
        <v>22970</v>
      </c>
      <c r="D145" s="290">
        <f>data!AF67</f>
        <v>0</v>
      </c>
      <c r="E145" s="290">
        <f>data!AG67</f>
        <v>29703</v>
      </c>
      <c r="F145" s="290">
        <f>data!AH67</f>
        <v>0</v>
      </c>
      <c r="G145" s="290">
        <f>data!AI67</f>
        <v>0</v>
      </c>
      <c r="H145" s="290">
        <f>data!AJ67</f>
        <v>107739</v>
      </c>
      <c r="I145" s="290">
        <f>data!AK67</f>
        <v>0</v>
      </c>
    </row>
    <row r="146" spans="1:9" customFormat="1" ht="20.100000000000001" customHeight="1" x14ac:dyDescent="0.2">
      <c r="A146" s="289">
        <v>13</v>
      </c>
      <c r="B146" s="290" t="s">
        <v>1009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0</v>
      </c>
    </row>
    <row r="147" spans="1:9" customFormat="1" ht="20.100000000000001" customHeight="1" x14ac:dyDescent="0.2">
      <c r="A147" s="289">
        <v>14</v>
      </c>
      <c r="B147" s="290" t="s">
        <v>1010</v>
      </c>
      <c r="C147" s="290">
        <f>data!AE69</f>
        <v>8719</v>
      </c>
      <c r="D147" s="290">
        <f>data!AF69</f>
        <v>0</v>
      </c>
      <c r="E147" s="290">
        <f>data!AG69</f>
        <v>4686</v>
      </c>
      <c r="F147" s="290">
        <f>data!AH69</f>
        <v>15527</v>
      </c>
      <c r="G147" s="290">
        <f>data!AI69</f>
        <v>0</v>
      </c>
      <c r="H147" s="290">
        <f>data!AJ69</f>
        <v>9230</v>
      </c>
      <c r="I147" s="290">
        <f>data!AK69</f>
        <v>0</v>
      </c>
    </row>
    <row r="148" spans="1:9" customFormat="1" ht="20.100000000000001" customHeight="1" x14ac:dyDescent="0.2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00000000000001" customHeight="1" x14ac:dyDescent="0.2">
      <c r="A149" s="289">
        <v>16</v>
      </c>
      <c r="B149" s="298" t="s">
        <v>1011</v>
      </c>
      <c r="C149" s="290">
        <f>data!AE85</f>
        <v>628143</v>
      </c>
      <c r="D149" s="290">
        <f>data!AF85</f>
        <v>0</v>
      </c>
      <c r="E149" s="290">
        <f>data!AG85</f>
        <v>957829</v>
      </c>
      <c r="F149" s="290">
        <f>data!AH85</f>
        <v>265723</v>
      </c>
      <c r="G149" s="290">
        <f>data!AI85</f>
        <v>0</v>
      </c>
      <c r="H149" s="290">
        <f>data!AJ85</f>
        <v>1906849</v>
      </c>
      <c r="I149" s="290">
        <f>data!AK85</f>
        <v>0</v>
      </c>
    </row>
    <row r="150" spans="1:9" customFormat="1" ht="20.100000000000001" customHeight="1" x14ac:dyDescent="0.2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00000000000001" customHeight="1" x14ac:dyDescent="0.2">
      <c r="A151" s="289">
        <v>18</v>
      </c>
      <c r="B151" s="290" t="s">
        <v>1012</v>
      </c>
      <c r="C151" s="298">
        <f>+data!M696</f>
        <v>298543</v>
      </c>
      <c r="D151" s="298">
        <f>+data!M697</f>
        <v>0</v>
      </c>
      <c r="E151" s="298">
        <f>+data!M698</f>
        <v>679461</v>
      </c>
      <c r="F151" s="298">
        <f>+data!M699</f>
        <v>102228</v>
      </c>
      <c r="G151" s="298">
        <f>+data!M700</f>
        <v>0</v>
      </c>
      <c r="H151" s="298">
        <f>+data!M701</f>
        <v>861887</v>
      </c>
      <c r="I151" s="298">
        <f>+data!M702</f>
        <v>0</v>
      </c>
    </row>
    <row r="152" spans="1:9" customFormat="1" ht="20.100000000000001" customHeight="1" x14ac:dyDescent="0.2">
      <c r="A152" s="289">
        <v>19</v>
      </c>
      <c r="B152" s="298" t="s">
        <v>1013</v>
      </c>
      <c r="C152" s="290">
        <f>data!AE87</f>
        <v>28945</v>
      </c>
      <c r="D152" s="290">
        <f>data!AF87</f>
        <v>0</v>
      </c>
      <c r="E152" s="290">
        <f>data!AG87</f>
        <v>0</v>
      </c>
      <c r="F152" s="290">
        <f>data!AH87</f>
        <v>0</v>
      </c>
      <c r="G152" s="290">
        <f>data!AI87</f>
        <v>0</v>
      </c>
      <c r="H152" s="290">
        <f>data!AJ87</f>
        <v>0</v>
      </c>
      <c r="I152" s="290">
        <f>data!AK87</f>
        <v>0</v>
      </c>
    </row>
    <row r="153" spans="1:9" customFormat="1" ht="20.100000000000001" customHeight="1" x14ac:dyDescent="0.2">
      <c r="A153" s="289">
        <v>20</v>
      </c>
      <c r="B153" s="298" t="s">
        <v>1014</v>
      </c>
      <c r="C153" s="290">
        <f>data!AE88</f>
        <v>786184</v>
      </c>
      <c r="D153" s="290">
        <f>data!AF88</f>
        <v>0</v>
      </c>
      <c r="E153" s="290">
        <f>data!AG88</f>
        <v>2080661</v>
      </c>
      <c r="F153" s="290">
        <f>data!AH88</f>
        <v>341987</v>
      </c>
      <c r="G153" s="290">
        <f>data!AI88</f>
        <v>0</v>
      </c>
      <c r="H153" s="290">
        <f>data!AJ88</f>
        <v>1440672</v>
      </c>
      <c r="I153" s="290">
        <f>data!AK88</f>
        <v>0</v>
      </c>
    </row>
    <row r="154" spans="1:9" customFormat="1" ht="20.100000000000001" customHeight="1" x14ac:dyDescent="0.2">
      <c r="A154" s="289">
        <v>21</v>
      </c>
      <c r="B154" s="298" t="s">
        <v>1015</v>
      </c>
      <c r="C154" s="290">
        <f>data!AE89</f>
        <v>815129</v>
      </c>
      <c r="D154" s="290">
        <f>data!AF89</f>
        <v>0</v>
      </c>
      <c r="E154" s="290">
        <f>data!AG89</f>
        <v>2080661</v>
      </c>
      <c r="F154" s="290">
        <f>data!AH89</f>
        <v>341987</v>
      </c>
      <c r="G154" s="290">
        <f>data!AI89</f>
        <v>0</v>
      </c>
      <c r="H154" s="290">
        <f>data!AJ89</f>
        <v>1440672</v>
      </c>
      <c r="I154" s="290">
        <f>data!AK89</f>
        <v>0</v>
      </c>
    </row>
    <row r="155" spans="1:9" customFormat="1" ht="20.100000000000001" customHeight="1" x14ac:dyDescent="0.2">
      <c r="A155" s="289" t="s">
        <v>1016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00000000000001" customHeight="1" x14ac:dyDescent="0.2">
      <c r="A156" s="289">
        <v>22</v>
      </c>
      <c r="B156" s="290" t="s">
        <v>1017</v>
      </c>
      <c r="C156" s="290">
        <f>data!AE90</f>
        <v>672</v>
      </c>
      <c r="D156" s="290">
        <f>data!AF90</f>
        <v>0</v>
      </c>
      <c r="E156" s="290">
        <f>data!AG90</f>
        <v>869</v>
      </c>
      <c r="F156" s="290">
        <f>data!AH90</f>
        <v>0</v>
      </c>
      <c r="G156" s="290">
        <f>data!AI90</f>
        <v>0</v>
      </c>
      <c r="H156" s="290">
        <f>data!AJ90</f>
        <v>3152</v>
      </c>
      <c r="I156" s="290">
        <f>data!AK90</f>
        <v>0</v>
      </c>
    </row>
    <row r="157" spans="1:9" customFormat="1" ht="20.100000000000001" customHeight="1" x14ac:dyDescent="0.2">
      <c r="A157" s="289">
        <v>23</v>
      </c>
      <c r="B157" s="290" t="s">
        <v>1018</v>
      </c>
      <c r="C157" s="290">
        <f>data!AE91</f>
        <v>0</v>
      </c>
      <c r="D157" s="290">
        <f>data!AF91</f>
        <v>0</v>
      </c>
      <c r="E157" s="290">
        <f>data!AG91</f>
        <v>68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00000000000001" customHeight="1" x14ac:dyDescent="0.2">
      <c r="A158" s="289">
        <v>24</v>
      </c>
      <c r="B158" s="290" t="s">
        <v>1019</v>
      </c>
      <c r="C158" s="290">
        <f>data!AE92</f>
        <v>284</v>
      </c>
      <c r="D158" s="290">
        <f>data!AF92</f>
        <v>0</v>
      </c>
      <c r="E158" s="290">
        <f>data!AG92</f>
        <v>367</v>
      </c>
      <c r="F158" s="290">
        <f>data!AH92</f>
        <v>0</v>
      </c>
      <c r="G158" s="290">
        <f>data!AI92</f>
        <v>0</v>
      </c>
      <c r="H158" s="290">
        <f>data!AJ92</f>
        <v>1330</v>
      </c>
      <c r="I158" s="290">
        <f>data!AK92</f>
        <v>0</v>
      </c>
    </row>
    <row r="159" spans="1:9" customFormat="1" ht="20.100000000000001" customHeight="1" x14ac:dyDescent="0.2">
      <c r="A159" s="289">
        <v>25</v>
      </c>
      <c r="B159" s="290" t="s">
        <v>1020</v>
      </c>
      <c r="C159" s="290">
        <f>data!AE93</f>
        <v>821</v>
      </c>
      <c r="D159" s="290">
        <f>data!AF93</f>
        <v>0</v>
      </c>
      <c r="E159" s="290">
        <f>data!AG93</f>
        <v>5503</v>
      </c>
      <c r="F159" s="290">
        <f>data!AH93</f>
        <v>336</v>
      </c>
      <c r="G159" s="290">
        <f>data!AI93</f>
        <v>0</v>
      </c>
      <c r="H159" s="290">
        <f>data!AJ93</f>
        <v>142</v>
      </c>
      <c r="I159" s="290">
        <f>data!AK93</f>
        <v>0</v>
      </c>
    </row>
    <row r="160" spans="1:9" customFormat="1" ht="20.100000000000001" customHeight="1" x14ac:dyDescent="0.2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4.62</v>
      </c>
      <c r="F160" s="297">
        <f>data!AH94</f>
        <v>0</v>
      </c>
      <c r="G160" s="297">
        <f>data!AI94</f>
        <v>0</v>
      </c>
      <c r="H160" s="297">
        <f>data!AJ94</f>
        <v>4.25</v>
      </c>
      <c r="I160" s="297">
        <f>data!AK94</f>
        <v>0</v>
      </c>
    </row>
    <row r="161" spans="1:9" customFormat="1" ht="20.100000000000001" customHeight="1" x14ac:dyDescent="0.2">
      <c r="A161" s="283" t="s">
        <v>1002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00000000000001" customHeight="1" x14ac:dyDescent="0.2">
      <c r="D162" s="285"/>
      <c r="I162" s="286" t="s">
        <v>1036</v>
      </c>
    </row>
    <row r="163" spans="1:9" customFormat="1" ht="20.100000000000001" customHeight="1" x14ac:dyDescent="0.2">
      <c r="A163" s="285"/>
    </row>
    <row r="164" spans="1:9" customFormat="1" ht="20.100000000000001" customHeight="1" x14ac:dyDescent="0.2">
      <c r="A164" s="287" t="str">
        <f>"Hospital: "&amp;data!C98</f>
        <v>Hospital: EAST ADAMS RURAL HEALTHCARE</v>
      </c>
      <c r="G164" s="288"/>
      <c r="H164" s="287" t="str">
        <f>"FYE: "&amp;data!C96</f>
        <v>FYE: 12/31/2022</v>
      </c>
    </row>
    <row r="165" spans="1:9" customFormat="1" ht="20.100000000000001" customHeight="1" x14ac:dyDescent="0.2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00000000000001" customHeight="1" x14ac:dyDescent="0.2">
      <c r="A166" s="293">
        <v>2</v>
      </c>
      <c r="B166" s="294" t="s">
        <v>1004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1037</v>
      </c>
      <c r="H166" s="296" t="s">
        <v>154</v>
      </c>
      <c r="I166" s="296" t="s">
        <v>155</v>
      </c>
    </row>
    <row r="167" spans="1:9" customFormat="1" ht="20.100000000000001" customHeight="1" x14ac:dyDescent="0.2">
      <c r="A167" s="293"/>
      <c r="B167" s="294"/>
      <c r="C167" s="296" t="s">
        <v>199</v>
      </c>
      <c r="D167" s="296" t="s">
        <v>199</v>
      </c>
      <c r="E167" s="296" t="s">
        <v>1038</v>
      </c>
      <c r="F167" s="296" t="s">
        <v>209</v>
      </c>
      <c r="G167" s="296" t="s">
        <v>148</v>
      </c>
      <c r="H167" s="295" t="s">
        <v>1039</v>
      </c>
      <c r="I167" s="296" t="s">
        <v>196</v>
      </c>
    </row>
    <row r="168" spans="1:9" customFormat="1" ht="20.100000000000001" customHeight="1" x14ac:dyDescent="0.2">
      <c r="A168" s="289">
        <v>3</v>
      </c>
      <c r="B168" s="290" t="s">
        <v>1008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00000000000001" customHeight="1" x14ac:dyDescent="0.2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1416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00000000000001" customHeight="1" x14ac:dyDescent="0.2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0.39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00000000000001" customHeight="1" x14ac:dyDescent="0.2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31513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00000000000001" customHeight="1" x14ac:dyDescent="0.2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7194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00000000000001" customHeight="1" x14ac:dyDescent="0.2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00000000000001" customHeight="1" x14ac:dyDescent="0.2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3132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00000000000001" customHeight="1" x14ac:dyDescent="0.2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00000000000001" customHeight="1" x14ac:dyDescent="0.2">
      <c r="A176" s="289">
        <v>11</v>
      </c>
      <c r="B176" s="290" t="s">
        <v>526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34325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00000000000001" customHeight="1" x14ac:dyDescent="0.2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2188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00000000000001" customHeight="1" x14ac:dyDescent="0.2">
      <c r="A178" s="289">
        <v>13</v>
      </c>
      <c r="B178" s="290" t="s">
        <v>1009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00000000000001" customHeight="1" x14ac:dyDescent="0.2">
      <c r="A179" s="289">
        <v>14</v>
      </c>
      <c r="B179" s="290" t="s">
        <v>1010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167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00000000000001" customHeight="1" x14ac:dyDescent="0.2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00000000000001" customHeight="1" x14ac:dyDescent="0.2">
      <c r="A181" s="289">
        <v>16</v>
      </c>
      <c r="B181" s="298" t="s">
        <v>1011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78519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00000000000001" customHeight="1" x14ac:dyDescent="0.2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00000000000001" customHeight="1" x14ac:dyDescent="0.2">
      <c r="A183" s="289">
        <v>18</v>
      </c>
      <c r="B183" s="290" t="s">
        <v>1012</v>
      </c>
      <c r="C183" s="298">
        <f>+data!M703</f>
        <v>0</v>
      </c>
      <c r="D183" s="298">
        <f>+data!M704</f>
        <v>0</v>
      </c>
      <c r="E183" s="298">
        <f>+data!M705</f>
        <v>0</v>
      </c>
      <c r="F183" s="298">
        <f>+data!M706</f>
        <v>69400</v>
      </c>
      <c r="G183" s="298">
        <f>+data!M707</f>
        <v>0</v>
      </c>
      <c r="H183" s="298">
        <f>+data!M708</f>
        <v>0</v>
      </c>
      <c r="I183" s="298">
        <f>+data!M709</f>
        <v>0</v>
      </c>
    </row>
    <row r="184" spans="1:9" customFormat="1" ht="20.100000000000001" customHeight="1" x14ac:dyDescent="0.2">
      <c r="A184" s="289">
        <v>19</v>
      </c>
      <c r="B184" s="298" t="s">
        <v>1013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00000000000001" customHeight="1" x14ac:dyDescent="0.2">
      <c r="A185" s="289">
        <v>20</v>
      </c>
      <c r="B185" s="298" t="s">
        <v>1014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188910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00000000000001" customHeight="1" x14ac:dyDescent="0.2">
      <c r="A186" s="289">
        <v>21</v>
      </c>
      <c r="B186" s="298" t="s">
        <v>1015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188910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00000000000001" customHeight="1" x14ac:dyDescent="0.2">
      <c r="A187" s="289" t="s">
        <v>1016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00000000000001" customHeight="1" x14ac:dyDescent="0.2">
      <c r="A188" s="289">
        <v>22</v>
      </c>
      <c r="B188" s="290" t="s">
        <v>1017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64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00000000000001" customHeight="1" x14ac:dyDescent="0.2">
      <c r="A189" s="289">
        <v>23</v>
      </c>
      <c r="B189" s="290" t="s">
        <v>1018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179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00000000000001" customHeight="1" x14ac:dyDescent="0.2">
      <c r="A190" s="289">
        <v>24</v>
      </c>
      <c r="B190" s="290" t="s">
        <v>1019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27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00000000000001" customHeight="1" x14ac:dyDescent="0.2">
      <c r="A191" s="289">
        <v>25</v>
      </c>
      <c r="B191" s="290" t="s">
        <v>1020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396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00000000000001" customHeight="1" x14ac:dyDescent="0.2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0.33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00000000000001" customHeight="1" x14ac:dyDescent="0.2">
      <c r="A193" s="283" t="s">
        <v>1002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00000000000001" customHeight="1" x14ac:dyDescent="0.2">
      <c r="D194" s="285"/>
      <c r="I194" s="286" t="s">
        <v>1040</v>
      </c>
    </row>
    <row r="195" spans="1:9" customFormat="1" ht="20.100000000000001" customHeight="1" x14ac:dyDescent="0.2">
      <c r="A195" s="285"/>
    </row>
    <row r="196" spans="1:9" customFormat="1" ht="20.100000000000001" customHeight="1" x14ac:dyDescent="0.2">
      <c r="A196" s="287" t="str">
        <f>"Hospital: "&amp;data!C98</f>
        <v>Hospital: EAST ADAMS RURAL HEALTHCARE</v>
      </c>
      <c r="G196" s="288"/>
      <c r="H196" s="287" t="str">
        <f>"FYE: "&amp;data!C96</f>
        <v>FYE: 12/31/2022</v>
      </c>
    </row>
    <row r="197" spans="1:9" customFormat="1" ht="20.100000000000001" customHeight="1" x14ac:dyDescent="0.2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00000000000001" customHeight="1" x14ac:dyDescent="0.2">
      <c r="A198" s="293">
        <v>2</v>
      </c>
      <c r="B198" s="294" t="s">
        <v>1004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1041</v>
      </c>
      <c r="H198" s="296" t="s">
        <v>161</v>
      </c>
      <c r="I198" s="296"/>
    </row>
    <row r="199" spans="1:9" customFormat="1" ht="20.100000000000001" customHeight="1" x14ac:dyDescent="0.2">
      <c r="A199" s="293"/>
      <c r="B199" s="294"/>
      <c r="C199" s="296" t="s">
        <v>156</v>
      </c>
      <c r="D199" s="296" t="s">
        <v>258</v>
      </c>
      <c r="E199" s="296" t="s">
        <v>1042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00000000000001" customHeight="1" x14ac:dyDescent="0.2">
      <c r="A200" s="289">
        <v>3</v>
      </c>
      <c r="B200" s="290" t="s">
        <v>1008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00000000000001" customHeight="1" x14ac:dyDescent="0.2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5045</v>
      </c>
    </row>
    <row r="202" spans="1:9" customFormat="1" ht="20.100000000000001" customHeight="1" x14ac:dyDescent="0.2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3.43</v>
      </c>
    </row>
    <row r="203" spans="1:9" customFormat="1" ht="20.100000000000001" customHeight="1" x14ac:dyDescent="0.2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156315</v>
      </c>
    </row>
    <row r="204" spans="1:9" customFormat="1" ht="20.100000000000001" customHeight="1" x14ac:dyDescent="0.2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0</v>
      </c>
      <c r="H204" s="290">
        <f>data!AX62</f>
        <v>0</v>
      </c>
      <c r="I204" s="290">
        <f>data!AY62</f>
        <v>35685</v>
      </c>
    </row>
    <row r="205" spans="1:9" customFormat="1" ht="20.100000000000001" customHeight="1" x14ac:dyDescent="0.2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324420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00000000000001" customHeight="1" x14ac:dyDescent="0.2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45205</v>
      </c>
      <c r="G206" s="290">
        <f>data!AW64</f>
        <v>0</v>
      </c>
      <c r="H206" s="290">
        <f>data!AX64</f>
        <v>0</v>
      </c>
      <c r="I206" s="290">
        <f>data!AY64</f>
        <v>58252</v>
      </c>
    </row>
    <row r="207" spans="1:9" customFormat="1" ht="20.100000000000001" customHeight="1" x14ac:dyDescent="0.2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00000000000001" customHeight="1" x14ac:dyDescent="0.2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154816</v>
      </c>
      <c r="G208" s="290">
        <f>data!AW66</f>
        <v>0</v>
      </c>
      <c r="H208" s="290">
        <f>data!AX66</f>
        <v>0</v>
      </c>
      <c r="I208" s="290">
        <f>data!AY66</f>
        <v>2375</v>
      </c>
    </row>
    <row r="209" spans="1:9" customFormat="1" ht="20.100000000000001" customHeight="1" x14ac:dyDescent="0.2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2017</v>
      </c>
      <c r="G209" s="290">
        <f>data!AW67</f>
        <v>0</v>
      </c>
      <c r="H209" s="290">
        <f>data!AX67</f>
        <v>0</v>
      </c>
      <c r="I209" s="290">
        <f>data!AY67</f>
        <v>19176</v>
      </c>
    </row>
    <row r="210" spans="1:9" customFormat="1" ht="20.100000000000001" customHeight="1" x14ac:dyDescent="0.2">
      <c r="A210" s="289">
        <v>13</v>
      </c>
      <c r="B210" s="290" t="s">
        <v>1009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843</v>
      </c>
    </row>
    <row r="211" spans="1:9" customFormat="1" ht="20.100000000000001" customHeight="1" x14ac:dyDescent="0.2">
      <c r="A211" s="289">
        <v>14</v>
      </c>
      <c r="B211" s="290" t="s">
        <v>1010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429</v>
      </c>
    </row>
    <row r="212" spans="1:9" customFormat="1" ht="20.100000000000001" customHeight="1" x14ac:dyDescent="0.2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0</v>
      </c>
    </row>
    <row r="213" spans="1:9" customFormat="1" ht="20.100000000000001" customHeight="1" x14ac:dyDescent="0.2">
      <c r="A213" s="289">
        <v>16</v>
      </c>
      <c r="B213" s="298" t="s">
        <v>1011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526458</v>
      </c>
      <c r="G213" s="290">
        <f>data!AW85</f>
        <v>0</v>
      </c>
      <c r="H213" s="290">
        <f>data!AX85</f>
        <v>0</v>
      </c>
      <c r="I213" s="290">
        <f>data!AY85</f>
        <v>273075</v>
      </c>
    </row>
    <row r="214" spans="1:9" customFormat="1" ht="20.100000000000001" customHeight="1" x14ac:dyDescent="0.2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00000000000001" customHeight="1" x14ac:dyDescent="0.2">
      <c r="A215" s="289">
        <v>18</v>
      </c>
      <c r="B215" s="290" t="s">
        <v>1012</v>
      </c>
      <c r="C215" s="298">
        <f>+data!M710</f>
        <v>0</v>
      </c>
      <c r="D215" s="298">
        <f>+data!M711</f>
        <v>0</v>
      </c>
      <c r="E215" s="298">
        <f>+data!M712</f>
        <v>0</v>
      </c>
      <c r="F215" s="298">
        <f>+data!M713</f>
        <v>398095</v>
      </c>
      <c r="G215" s="304"/>
      <c r="H215" s="290"/>
      <c r="I215" s="290"/>
    </row>
    <row r="216" spans="1:9" customFormat="1" ht="20.100000000000001" customHeight="1" x14ac:dyDescent="0.2">
      <c r="A216" s="289">
        <v>19</v>
      </c>
      <c r="B216" s="298" t="s">
        <v>1013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00000000000001" customHeight="1" x14ac:dyDescent="0.2">
      <c r="A217" s="289">
        <v>20</v>
      </c>
      <c r="B217" s="298" t="s">
        <v>1014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1717021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00000000000001" customHeight="1" x14ac:dyDescent="0.2">
      <c r="A218" s="289">
        <v>21</v>
      </c>
      <c r="B218" s="298" t="s">
        <v>1015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1717021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00000000000001" customHeight="1" x14ac:dyDescent="0.2">
      <c r="A219" s="289" t="s">
        <v>1016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00000000000001" customHeight="1" x14ac:dyDescent="0.2">
      <c r="A220" s="289">
        <v>22</v>
      </c>
      <c r="B220" s="290" t="s">
        <v>1017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59</v>
      </c>
      <c r="G220" s="290">
        <f>data!AW90</f>
        <v>0</v>
      </c>
      <c r="H220" s="290">
        <f>data!AX90</f>
        <v>0</v>
      </c>
      <c r="I220" s="290">
        <f>data!AY90</f>
        <v>561</v>
      </c>
    </row>
    <row r="221" spans="1:9" customFormat="1" ht="20.100000000000001" customHeight="1" x14ac:dyDescent="0.2">
      <c r="A221" s="289">
        <v>23</v>
      </c>
      <c r="B221" s="290" t="s">
        <v>1018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00000000000001" customHeight="1" x14ac:dyDescent="0.2">
      <c r="A222" s="289">
        <v>24</v>
      </c>
      <c r="B222" s="290" t="s">
        <v>1019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25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00000000000001" customHeight="1" x14ac:dyDescent="0.2">
      <c r="A223" s="289">
        <v>25</v>
      </c>
      <c r="B223" s="290" t="s">
        <v>1020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00000000000001" customHeight="1" x14ac:dyDescent="0.2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00000000000001" customHeight="1" x14ac:dyDescent="0.2">
      <c r="A225" s="283" t="s">
        <v>1002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00000000000001" customHeight="1" x14ac:dyDescent="0.2">
      <c r="D226" s="285"/>
      <c r="I226" s="286" t="s">
        <v>1043</v>
      </c>
    </row>
    <row r="227" spans="1:9" customFormat="1" ht="20.100000000000001" customHeight="1" x14ac:dyDescent="0.2">
      <c r="A227" s="285"/>
    </row>
    <row r="228" spans="1:9" customFormat="1" ht="20.100000000000001" customHeight="1" x14ac:dyDescent="0.2">
      <c r="A228" s="287" t="str">
        <f>"Hospital: "&amp;data!C98</f>
        <v>Hospital: EAST ADAMS RURAL HEALTHCARE</v>
      </c>
      <c r="G228" s="288"/>
      <c r="H228" s="287" t="str">
        <f>"FYE: "&amp;data!C96</f>
        <v>FYE: 12/31/2022</v>
      </c>
    </row>
    <row r="229" spans="1:9" customFormat="1" ht="20.100000000000001" customHeight="1" x14ac:dyDescent="0.2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00000000000001" customHeight="1" x14ac:dyDescent="0.2">
      <c r="A230" s="293">
        <v>2</v>
      </c>
      <c r="B230" s="294" t="s">
        <v>1004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00000000000001" customHeight="1" x14ac:dyDescent="0.2">
      <c r="A231" s="293"/>
      <c r="B231" s="294"/>
      <c r="C231" s="296" t="s">
        <v>163</v>
      </c>
      <c r="D231" s="296" t="s">
        <v>216</v>
      </c>
      <c r="E231" s="296" t="s">
        <v>1044</v>
      </c>
      <c r="F231" s="296" t="s">
        <v>1045</v>
      </c>
      <c r="G231" s="296" t="s">
        <v>166</v>
      </c>
      <c r="H231" s="296" t="s">
        <v>167</v>
      </c>
      <c r="I231" s="296" t="s">
        <v>168</v>
      </c>
    </row>
    <row r="232" spans="1:9" customFormat="1" ht="20.100000000000001" customHeight="1" x14ac:dyDescent="0.2">
      <c r="A232" s="289">
        <v>3</v>
      </c>
      <c r="B232" s="290" t="s">
        <v>1008</v>
      </c>
      <c r="C232" s="292" t="s">
        <v>1046</v>
      </c>
      <c r="D232" s="292" t="s">
        <v>1047</v>
      </c>
      <c r="E232" s="302"/>
      <c r="F232" s="302"/>
      <c r="G232" s="302"/>
      <c r="H232" s="292" t="s">
        <v>260</v>
      </c>
      <c r="I232" s="302"/>
    </row>
    <row r="233" spans="1:9" customFormat="1" ht="20.100000000000001" customHeight="1" x14ac:dyDescent="0.2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22273</v>
      </c>
      <c r="I233" s="302"/>
    </row>
    <row r="234" spans="1:9" customFormat="1" ht="20.100000000000001" customHeight="1" x14ac:dyDescent="0.2">
      <c r="A234" s="289">
        <v>5</v>
      </c>
      <c r="B234" s="290" t="s">
        <v>262</v>
      </c>
      <c r="C234" s="297">
        <f>data!AZ60</f>
        <v>0</v>
      </c>
      <c r="D234" s="297">
        <f>data!BA60</f>
        <v>0</v>
      </c>
      <c r="E234" s="297">
        <f>data!BB60</f>
        <v>0</v>
      </c>
      <c r="F234" s="297">
        <f>data!BC60</f>
        <v>0</v>
      </c>
      <c r="G234" s="297">
        <f>data!BD60</f>
        <v>0</v>
      </c>
      <c r="H234" s="297">
        <f>data!BE60</f>
        <v>2.2200000000000002</v>
      </c>
      <c r="I234" s="297">
        <f>data!BF60</f>
        <v>4.5199999999999996</v>
      </c>
    </row>
    <row r="235" spans="1:9" customFormat="1" ht="20.100000000000001" customHeight="1" x14ac:dyDescent="0.2">
      <c r="A235" s="289">
        <v>6</v>
      </c>
      <c r="B235" s="290" t="s">
        <v>263</v>
      </c>
      <c r="C235" s="290">
        <f>data!AZ61</f>
        <v>0</v>
      </c>
      <c r="D235" s="290">
        <f>data!BA61</f>
        <v>0</v>
      </c>
      <c r="E235" s="290">
        <f>data!BB61</f>
        <v>47268</v>
      </c>
      <c r="F235" s="290">
        <f>data!BC61</f>
        <v>0</v>
      </c>
      <c r="G235" s="290">
        <f>data!BD61</f>
        <v>0</v>
      </c>
      <c r="H235" s="290">
        <f>data!BE61</f>
        <v>205802</v>
      </c>
      <c r="I235" s="290">
        <f>data!BF61</f>
        <v>220565</v>
      </c>
    </row>
    <row r="236" spans="1:9" customFormat="1" ht="20.100000000000001" customHeight="1" x14ac:dyDescent="0.2">
      <c r="A236" s="289">
        <v>7</v>
      </c>
      <c r="B236" s="290" t="s">
        <v>11</v>
      </c>
      <c r="C236" s="290">
        <f>data!AZ62</f>
        <v>0</v>
      </c>
      <c r="D236" s="290">
        <f>data!BA62</f>
        <v>0</v>
      </c>
      <c r="E236" s="290">
        <f>data!BB62</f>
        <v>10791</v>
      </c>
      <c r="F236" s="290">
        <f>data!BC62</f>
        <v>0</v>
      </c>
      <c r="G236" s="290">
        <f>data!BD62</f>
        <v>0</v>
      </c>
      <c r="H236" s="290">
        <f>data!BE62</f>
        <v>46982</v>
      </c>
      <c r="I236" s="290">
        <f>data!BF62</f>
        <v>50353</v>
      </c>
    </row>
    <row r="237" spans="1:9" customFormat="1" ht="20.100000000000001" customHeight="1" x14ac:dyDescent="0.2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00000000000001" customHeight="1" x14ac:dyDescent="0.2">
      <c r="A238" s="289">
        <v>9</v>
      </c>
      <c r="B238" s="290" t="s">
        <v>265</v>
      </c>
      <c r="C238" s="290">
        <f>data!AZ64</f>
        <v>0</v>
      </c>
      <c r="D238" s="290">
        <f>data!BA64</f>
        <v>261</v>
      </c>
      <c r="E238" s="290">
        <f>data!BB64</f>
        <v>0</v>
      </c>
      <c r="F238" s="290">
        <f>data!BC64</f>
        <v>0</v>
      </c>
      <c r="G238" s="290">
        <f>data!BD64</f>
        <v>0</v>
      </c>
      <c r="H238" s="290">
        <f>data!BE64</f>
        <v>21447</v>
      </c>
      <c r="I238" s="290">
        <f>data!BF64</f>
        <v>6071</v>
      </c>
    </row>
    <row r="239" spans="1:9" customFormat="1" ht="20.100000000000001" customHeight="1" x14ac:dyDescent="0.2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178928</v>
      </c>
      <c r="I239" s="290">
        <f>data!BF65</f>
        <v>0</v>
      </c>
    </row>
    <row r="240" spans="1:9" customFormat="1" ht="20.100000000000001" customHeight="1" x14ac:dyDescent="0.2">
      <c r="A240" s="289">
        <v>11</v>
      </c>
      <c r="B240" s="290" t="s">
        <v>526</v>
      </c>
      <c r="C240" s="290">
        <f>data!AZ66</f>
        <v>0</v>
      </c>
      <c r="D240" s="290">
        <f>data!BA66</f>
        <v>33908</v>
      </c>
      <c r="E240" s="290">
        <f>data!BB66</f>
        <v>0</v>
      </c>
      <c r="F240" s="290">
        <f>data!BC66</f>
        <v>0</v>
      </c>
      <c r="G240" s="290">
        <f>data!BD66</f>
        <v>0</v>
      </c>
      <c r="H240" s="290">
        <f>data!BE66</f>
        <v>21878</v>
      </c>
      <c r="I240" s="290">
        <f>data!BF66</f>
        <v>0</v>
      </c>
    </row>
    <row r="241" spans="1:9" customFormat="1" ht="20.100000000000001" customHeight="1" x14ac:dyDescent="0.2">
      <c r="A241" s="289">
        <v>12</v>
      </c>
      <c r="B241" s="290" t="s">
        <v>16</v>
      </c>
      <c r="C241" s="290">
        <f>data!AZ67</f>
        <v>0</v>
      </c>
      <c r="D241" s="290">
        <f>data!BA67</f>
        <v>1333</v>
      </c>
      <c r="E241" s="290">
        <f>data!BB67</f>
        <v>12920</v>
      </c>
      <c r="F241" s="290">
        <f>data!BC67</f>
        <v>0</v>
      </c>
      <c r="G241" s="290">
        <f>data!BD67</f>
        <v>0</v>
      </c>
      <c r="H241" s="290">
        <f>data!BE67</f>
        <v>200746</v>
      </c>
      <c r="I241" s="290">
        <f>data!BF67</f>
        <v>3931</v>
      </c>
    </row>
    <row r="242" spans="1:9" customFormat="1" ht="20.100000000000001" customHeight="1" x14ac:dyDescent="0.2">
      <c r="A242" s="289">
        <v>13</v>
      </c>
      <c r="B242" s="290" t="s">
        <v>1009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00000000000001" customHeight="1" x14ac:dyDescent="0.2">
      <c r="A243" s="289">
        <v>14</v>
      </c>
      <c r="B243" s="290" t="s">
        <v>1010</v>
      </c>
      <c r="C243" s="290">
        <f>data!AZ69</f>
        <v>0</v>
      </c>
      <c r="D243" s="290">
        <f>data!BA69</f>
        <v>0</v>
      </c>
      <c r="E243" s="290">
        <f>data!BB69</f>
        <v>0</v>
      </c>
      <c r="F243" s="290">
        <f>data!BC69</f>
        <v>0</v>
      </c>
      <c r="G243" s="290">
        <f>data!BD69</f>
        <v>0</v>
      </c>
      <c r="H243" s="290">
        <f>data!BE69</f>
        <v>111704</v>
      </c>
      <c r="I243" s="290">
        <f>data!BF69</f>
        <v>346</v>
      </c>
    </row>
    <row r="244" spans="1:9" customFormat="1" ht="20.100000000000001" customHeight="1" x14ac:dyDescent="0.2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00000000000001" customHeight="1" x14ac:dyDescent="0.2">
      <c r="A245" s="289">
        <v>16</v>
      </c>
      <c r="B245" s="298" t="s">
        <v>1011</v>
      </c>
      <c r="C245" s="290">
        <f>data!AZ85</f>
        <v>0</v>
      </c>
      <c r="D245" s="290">
        <f>data!BA85</f>
        <v>35502</v>
      </c>
      <c r="E245" s="290">
        <f>data!BB85</f>
        <v>70979</v>
      </c>
      <c r="F245" s="290">
        <f>data!BC85</f>
        <v>0</v>
      </c>
      <c r="G245" s="290">
        <f>data!BD85</f>
        <v>0</v>
      </c>
      <c r="H245" s="290">
        <f>data!BE85</f>
        <v>787487</v>
      </c>
      <c r="I245" s="290">
        <f>data!BF85</f>
        <v>281266</v>
      </c>
    </row>
    <row r="246" spans="1:9" customFormat="1" ht="20.100000000000001" customHeight="1" x14ac:dyDescent="0.2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00000000000001" customHeight="1" x14ac:dyDescent="0.2">
      <c r="A247" s="289">
        <v>18</v>
      </c>
      <c r="B247" s="290" t="s">
        <v>1012</v>
      </c>
      <c r="C247" s="290"/>
      <c r="D247" s="290"/>
      <c r="E247" s="290"/>
      <c r="F247" s="290"/>
      <c r="G247" s="290"/>
      <c r="H247" s="290"/>
      <c r="I247" s="290"/>
    </row>
    <row r="248" spans="1:9" customFormat="1" ht="20.100000000000001" customHeight="1" x14ac:dyDescent="0.2">
      <c r="A248" s="289">
        <v>19</v>
      </c>
      <c r="B248" s="298" t="s">
        <v>1013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00000000000001" customHeight="1" x14ac:dyDescent="0.2">
      <c r="A249" s="289">
        <v>20</v>
      </c>
      <c r="B249" s="298" t="s">
        <v>1014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00000000000001" customHeight="1" x14ac:dyDescent="0.2">
      <c r="A250" s="289">
        <v>21</v>
      </c>
      <c r="B250" s="298" t="s">
        <v>1015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00000000000001" customHeight="1" x14ac:dyDescent="0.2">
      <c r="A251" s="289" t="s">
        <v>1016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00000000000001" customHeight="1" x14ac:dyDescent="0.2">
      <c r="A252" s="289">
        <v>22</v>
      </c>
      <c r="B252" s="290" t="s">
        <v>1017</v>
      </c>
      <c r="C252" s="306">
        <f>data!AZ90</f>
        <v>0</v>
      </c>
      <c r="D252" s="306">
        <f>data!BA90</f>
        <v>39</v>
      </c>
      <c r="E252" s="306">
        <f>data!BB90</f>
        <v>378</v>
      </c>
      <c r="F252" s="306">
        <f>data!BC90</f>
        <v>0</v>
      </c>
      <c r="G252" s="306">
        <f>data!BD90</f>
        <v>0</v>
      </c>
      <c r="H252" s="306">
        <f>data!BE90</f>
        <v>5873</v>
      </c>
      <c r="I252" s="306">
        <f>data!BF90</f>
        <v>115</v>
      </c>
    </row>
    <row r="253" spans="1:9" customFormat="1" ht="20.100000000000001" customHeight="1" x14ac:dyDescent="0.2">
      <c r="A253" s="289">
        <v>23</v>
      </c>
      <c r="B253" s="290" t="s">
        <v>1018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00000000000001" customHeight="1" x14ac:dyDescent="0.2">
      <c r="A254" s="289">
        <v>24</v>
      </c>
      <c r="B254" s="290" t="s">
        <v>1019</v>
      </c>
      <c r="C254" s="305" t="str">
        <f>IF(data!AZ92&gt;0,data!AZ92,"")</f>
        <v>x</v>
      </c>
      <c r="D254" s="306">
        <f>data!BA92</f>
        <v>16</v>
      </c>
      <c r="E254" s="306">
        <f>data!BB92</f>
        <v>159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00000000000001" customHeight="1" x14ac:dyDescent="0.2">
      <c r="A255" s="289">
        <v>25</v>
      </c>
      <c r="B255" s="290" t="s">
        <v>1020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00000000000001" customHeight="1" x14ac:dyDescent="0.2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00000000000001" customHeight="1" x14ac:dyDescent="0.2">
      <c r="A257" s="283" t="s">
        <v>1002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00000000000001" customHeight="1" x14ac:dyDescent="0.2">
      <c r="D258" s="285"/>
      <c r="I258" s="286" t="s">
        <v>1048</v>
      </c>
    </row>
    <row r="259" spans="1:9" customFormat="1" ht="20.100000000000001" customHeight="1" x14ac:dyDescent="0.2">
      <c r="A259" s="285"/>
    </row>
    <row r="260" spans="1:9" customFormat="1" ht="20.100000000000001" customHeight="1" x14ac:dyDescent="0.2">
      <c r="A260" s="287" t="str">
        <f>"Hospital: "&amp;data!C98</f>
        <v>Hospital: EAST ADAMS RURAL HEALTHCARE</v>
      </c>
      <c r="G260" s="288"/>
      <c r="H260" s="287" t="str">
        <f>"FYE: "&amp;data!C96</f>
        <v>FYE: 12/31/2022</v>
      </c>
    </row>
    <row r="261" spans="1:9" customFormat="1" ht="20.100000000000001" customHeight="1" x14ac:dyDescent="0.2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00000000000001" customHeight="1" x14ac:dyDescent="0.2">
      <c r="A262" s="293">
        <v>2</v>
      </c>
      <c r="B262" s="294" t="s">
        <v>1004</v>
      </c>
      <c r="C262" s="296" t="s">
        <v>1049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00000000000001" customHeight="1" x14ac:dyDescent="0.2">
      <c r="A263" s="293"/>
      <c r="B263" s="294"/>
      <c r="C263" s="296" t="s">
        <v>1050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1051</v>
      </c>
    </row>
    <row r="264" spans="1:9" customFormat="1" ht="20.100000000000001" customHeight="1" x14ac:dyDescent="0.2">
      <c r="A264" s="289">
        <v>3</v>
      </c>
      <c r="B264" s="290" t="s">
        <v>1008</v>
      </c>
      <c r="C264" s="302"/>
      <c r="D264" s="302"/>
      <c r="E264" s="302"/>
      <c r="F264" s="302"/>
      <c r="G264" s="302"/>
      <c r="H264" s="302"/>
      <c r="I264" s="302"/>
    </row>
    <row r="265" spans="1:9" customFormat="1" ht="20.100000000000001" customHeight="1" x14ac:dyDescent="0.2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00000000000001" customHeight="1" x14ac:dyDescent="0.2">
      <c r="A266" s="289">
        <v>5</v>
      </c>
      <c r="B266" s="290" t="s">
        <v>262</v>
      </c>
      <c r="C266" s="297">
        <f>data!BG60</f>
        <v>0</v>
      </c>
      <c r="D266" s="297">
        <f>data!BH60</f>
        <v>1.85</v>
      </c>
      <c r="E266" s="297">
        <f>data!BI60</f>
        <v>0</v>
      </c>
      <c r="F266" s="297">
        <f>data!BJ60</f>
        <v>0</v>
      </c>
      <c r="G266" s="297">
        <f>data!BK60</f>
        <v>7.78</v>
      </c>
      <c r="H266" s="297">
        <f>data!BL60</f>
        <v>0</v>
      </c>
      <c r="I266" s="297">
        <f>data!BM60</f>
        <v>0</v>
      </c>
    </row>
    <row r="267" spans="1:9" customFormat="1" ht="20.100000000000001" customHeight="1" x14ac:dyDescent="0.2">
      <c r="A267" s="289">
        <v>6</v>
      </c>
      <c r="B267" s="290" t="s">
        <v>263</v>
      </c>
      <c r="C267" s="290">
        <f>data!BG61</f>
        <v>0</v>
      </c>
      <c r="D267" s="290">
        <f>data!BH61</f>
        <v>113868</v>
      </c>
      <c r="E267" s="290">
        <f>data!BI61</f>
        <v>0</v>
      </c>
      <c r="F267" s="290">
        <f>data!BJ61</f>
        <v>0</v>
      </c>
      <c r="G267" s="290">
        <f>data!BK61</f>
        <v>476357</v>
      </c>
      <c r="H267" s="290">
        <f>data!BL61</f>
        <v>0</v>
      </c>
      <c r="I267" s="290">
        <f>data!BM61</f>
        <v>0</v>
      </c>
    </row>
    <row r="268" spans="1:9" customFormat="1" ht="20.100000000000001" customHeight="1" x14ac:dyDescent="0.2">
      <c r="A268" s="289">
        <v>7</v>
      </c>
      <c r="B268" s="290" t="s">
        <v>11</v>
      </c>
      <c r="C268" s="290">
        <f>data!BG62</f>
        <v>0</v>
      </c>
      <c r="D268" s="290">
        <f>data!BH62</f>
        <v>25995</v>
      </c>
      <c r="E268" s="290">
        <f>data!BI62</f>
        <v>0</v>
      </c>
      <c r="F268" s="290">
        <f>data!BJ62</f>
        <v>0</v>
      </c>
      <c r="G268" s="290">
        <f>data!BK62</f>
        <v>108747</v>
      </c>
      <c r="H268" s="290">
        <f>data!BL62</f>
        <v>0</v>
      </c>
      <c r="I268" s="290">
        <f>data!BM62</f>
        <v>0</v>
      </c>
    </row>
    <row r="269" spans="1:9" customFormat="1" ht="20.100000000000001" customHeight="1" x14ac:dyDescent="0.2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12000</v>
      </c>
      <c r="H269" s="290">
        <f>data!BL63</f>
        <v>0</v>
      </c>
      <c r="I269" s="290">
        <f>data!BM63</f>
        <v>0</v>
      </c>
    </row>
    <row r="270" spans="1:9" customFormat="1" ht="20.100000000000001" customHeight="1" x14ac:dyDescent="0.2">
      <c r="A270" s="289">
        <v>9</v>
      </c>
      <c r="B270" s="290" t="s">
        <v>265</v>
      </c>
      <c r="C270" s="290">
        <f>data!BG64</f>
        <v>0</v>
      </c>
      <c r="D270" s="290">
        <f>data!BH64</f>
        <v>167404</v>
      </c>
      <c r="E270" s="290">
        <f>data!BI64</f>
        <v>0</v>
      </c>
      <c r="F270" s="290">
        <f>data!BJ64</f>
        <v>0</v>
      </c>
      <c r="G270" s="290">
        <f>data!BK64</f>
        <v>1588</v>
      </c>
      <c r="H270" s="290">
        <f>data!BL64</f>
        <v>0</v>
      </c>
      <c r="I270" s="290">
        <f>data!BM64</f>
        <v>0</v>
      </c>
    </row>
    <row r="271" spans="1:9" customFormat="1" ht="20.100000000000001" customHeight="1" x14ac:dyDescent="0.2">
      <c r="A271" s="289">
        <v>10</v>
      </c>
      <c r="B271" s="290" t="s">
        <v>525</v>
      </c>
      <c r="C271" s="290">
        <f>data!BG65</f>
        <v>0</v>
      </c>
      <c r="D271" s="290">
        <f>data!BH65</f>
        <v>24485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00000000000001" customHeight="1" x14ac:dyDescent="0.2">
      <c r="A272" s="289">
        <v>11</v>
      </c>
      <c r="B272" s="290" t="s">
        <v>526</v>
      </c>
      <c r="C272" s="290">
        <f>data!BG66</f>
        <v>0</v>
      </c>
      <c r="D272" s="290">
        <f>data!BH66</f>
        <v>405952</v>
      </c>
      <c r="E272" s="290">
        <f>data!BI66</f>
        <v>0</v>
      </c>
      <c r="F272" s="290">
        <f>data!BJ66</f>
        <v>48121</v>
      </c>
      <c r="G272" s="290">
        <f>data!BK66</f>
        <v>126015</v>
      </c>
      <c r="H272" s="290">
        <f>data!BL66</f>
        <v>0</v>
      </c>
      <c r="I272" s="290">
        <f>data!BM66</f>
        <v>0</v>
      </c>
    </row>
    <row r="273" spans="1:9" customFormat="1" ht="20.100000000000001" customHeight="1" x14ac:dyDescent="0.2">
      <c r="A273" s="289">
        <v>12</v>
      </c>
      <c r="B273" s="290" t="s">
        <v>16</v>
      </c>
      <c r="C273" s="290">
        <f>data!BG67</f>
        <v>0</v>
      </c>
      <c r="D273" s="290">
        <f>data!BH67</f>
        <v>43513</v>
      </c>
      <c r="E273" s="290">
        <f>data!BI67</f>
        <v>0</v>
      </c>
      <c r="F273" s="290">
        <f>data!BJ67</f>
        <v>3589</v>
      </c>
      <c r="G273" s="290">
        <f>data!BK67</f>
        <v>10357</v>
      </c>
      <c r="H273" s="290">
        <f>data!BL67</f>
        <v>0</v>
      </c>
      <c r="I273" s="290">
        <f>data!BM67</f>
        <v>0</v>
      </c>
    </row>
    <row r="274" spans="1:9" customFormat="1" ht="20.100000000000001" customHeight="1" x14ac:dyDescent="0.2">
      <c r="A274" s="289">
        <v>13</v>
      </c>
      <c r="B274" s="290" t="s">
        <v>1009</v>
      </c>
      <c r="C274" s="290">
        <f>data!BG68</f>
        <v>0</v>
      </c>
      <c r="D274" s="290">
        <f>data!BH68</f>
        <v>13498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00000000000001" customHeight="1" x14ac:dyDescent="0.2">
      <c r="A275" s="289">
        <v>14</v>
      </c>
      <c r="B275" s="290" t="s">
        <v>1010</v>
      </c>
      <c r="C275" s="290">
        <f>data!BG69</f>
        <v>0</v>
      </c>
      <c r="D275" s="290">
        <f>data!BH69</f>
        <v>712</v>
      </c>
      <c r="E275" s="290">
        <f>data!BI69</f>
        <v>0</v>
      </c>
      <c r="F275" s="290">
        <f>data!BJ69</f>
        <v>8880</v>
      </c>
      <c r="G275" s="290">
        <f>data!BK69</f>
        <v>4398</v>
      </c>
      <c r="H275" s="290">
        <f>data!BL69</f>
        <v>0</v>
      </c>
      <c r="I275" s="290">
        <f>data!BM69</f>
        <v>0</v>
      </c>
    </row>
    <row r="276" spans="1:9" customFormat="1" ht="20.100000000000001" customHeight="1" x14ac:dyDescent="0.2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00000000000001" customHeight="1" x14ac:dyDescent="0.2">
      <c r="A277" s="289">
        <v>16</v>
      </c>
      <c r="B277" s="298" t="s">
        <v>1011</v>
      </c>
      <c r="C277" s="290">
        <f>data!BG85</f>
        <v>0</v>
      </c>
      <c r="D277" s="290">
        <f>data!BH85</f>
        <v>795427</v>
      </c>
      <c r="E277" s="290">
        <f>data!BI85</f>
        <v>0</v>
      </c>
      <c r="F277" s="290">
        <f>data!BJ85</f>
        <v>60590</v>
      </c>
      <c r="G277" s="290">
        <f>data!BK85</f>
        <v>739462</v>
      </c>
      <c r="H277" s="290">
        <f>data!BL85</f>
        <v>0</v>
      </c>
      <c r="I277" s="290">
        <f>data!BM85</f>
        <v>0</v>
      </c>
    </row>
    <row r="278" spans="1:9" customFormat="1" ht="20.100000000000001" customHeight="1" x14ac:dyDescent="0.2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00000000000001" customHeight="1" x14ac:dyDescent="0.2">
      <c r="A279" s="289">
        <v>18</v>
      </c>
      <c r="B279" s="290" t="s">
        <v>1012</v>
      </c>
      <c r="C279" s="290"/>
      <c r="D279" s="290"/>
      <c r="E279" s="290"/>
      <c r="F279" s="290"/>
      <c r="G279" s="290"/>
      <c r="H279" s="290"/>
      <c r="I279" s="290"/>
    </row>
    <row r="280" spans="1:9" customFormat="1" ht="20.100000000000001" customHeight="1" x14ac:dyDescent="0.2">
      <c r="A280" s="289">
        <v>19</v>
      </c>
      <c r="B280" s="298" t="s">
        <v>1013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00000000000001" customHeight="1" x14ac:dyDescent="0.2">
      <c r="A281" s="289">
        <v>20</v>
      </c>
      <c r="B281" s="298" t="s">
        <v>1014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00000000000001" customHeight="1" x14ac:dyDescent="0.2">
      <c r="A282" s="289">
        <v>21</v>
      </c>
      <c r="B282" s="298" t="s">
        <v>1015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00000000000001" customHeight="1" x14ac:dyDescent="0.2">
      <c r="A283" s="289" t="s">
        <v>1016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00000000000001" customHeight="1" x14ac:dyDescent="0.2">
      <c r="A284" s="289">
        <v>22</v>
      </c>
      <c r="B284" s="290" t="s">
        <v>1017</v>
      </c>
      <c r="C284" s="306">
        <f>data!BG90</f>
        <v>0</v>
      </c>
      <c r="D284" s="306">
        <f>data!BH90</f>
        <v>1273</v>
      </c>
      <c r="E284" s="306">
        <f>data!BI90</f>
        <v>0</v>
      </c>
      <c r="F284" s="306">
        <f>data!BJ90</f>
        <v>105</v>
      </c>
      <c r="G284" s="306">
        <f>data!BK90</f>
        <v>303</v>
      </c>
      <c r="H284" s="306">
        <f>data!BL90</f>
        <v>0</v>
      </c>
      <c r="I284" s="306">
        <f>data!BM90</f>
        <v>0</v>
      </c>
    </row>
    <row r="285" spans="1:9" customFormat="1" ht="20.100000000000001" customHeight="1" x14ac:dyDescent="0.2">
      <c r="A285" s="289">
        <v>23</v>
      </c>
      <c r="B285" s="290" t="s">
        <v>1018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00000000000001" customHeight="1" x14ac:dyDescent="0.2">
      <c r="A286" s="289">
        <v>24</v>
      </c>
      <c r="B286" s="290" t="s">
        <v>1019</v>
      </c>
      <c r="C286" s="305" t="str">
        <f>IF(data!BG92&gt;0,data!BG92,"")</f>
        <v>x</v>
      </c>
      <c r="D286" s="306">
        <f>data!BH92</f>
        <v>537</v>
      </c>
      <c r="E286" s="306">
        <f>data!BI92</f>
        <v>0</v>
      </c>
      <c r="F286" s="305" t="str">
        <f>IF(data!BJ92&gt;0,data!BJ92,"")</f>
        <v>x</v>
      </c>
      <c r="G286" s="306">
        <f>data!BK92</f>
        <v>128</v>
      </c>
      <c r="H286" s="306">
        <f>data!BL92</f>
        <v>0</v>
      </c>
      <c r="I286" s="306">
        <f>data!BM92</f>
        <v>0</v>
      </c>
    </row>
    <row r="287" spans="1:9" customFormat="1" ht="20.100000000000001" customHeight="1" x14ac:dyDescent="0.2">
      <c r="A287" s="289">
        <v>25</v>
      </c>
      <c r="B287" s="290" t="s">
        <v>1020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00000000000001" customHeight="1" x14ac:dyDescent="0.2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00000000000001" customHeight="1" x14ac:dyDescent="0.2">
      <c r="A289" s="283" t="s">
        <v>1002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00000000000001" customHeight="1" x14ac:dyDescent="0.2">
      <c r="D290" s="285"/>
      <c r="I290" s="286" t="s">
        <v>1052</v>
      </c>
    </row>
    <row r="291" spans="1:9" customFormat="1" ht="20.100000000000001" customHeight="1" x14ac:dyDescent="0.2">
      <c r="A291" s="285"/>
    </row>
    <row r="292" spans="1:9" customFormat="1" ht="20.100000000000001" customHeight="1" x14ac:dyDescent="0.2">
      <c r="A292" s="287" t="str">
        <f>"Hospital: "&amp;data!C98</f>
        <v>Hospital: EAST ADAMS RURAL HEALTHCARE</v>
      </c>
      <c r="G292" s="288"/>
      <c r="H292" s="287" t="str">
        <f>"FYE: "&amp;data!C96</f>
        <v>FYE: 12/31/2022</v>
      </c>
    </row>
    <row r="293" spans="1:9" customFormat="1" ht="20.100000000000001" customHeight="1" x14ac:dyDescent="0.2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00000000000001" customHeight="1" x14ac:dyDescent="0.2">
      <c r="A294" s="293">
        <v>2</v>
      </c>
      <c r="B294" s="294" t="s">
        <v>1004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00000000000001" customHeight="1" x14ac:dyDescent="0.2">
      <c r="A295" s="293"/>
      <c r="B295" s="294"/>
      <c r="C295" s="296" t="s">
        <v>1053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00000000000001" customHeight="1" x14ac:dyDescent="0.2">
      <c r="A296" s="289">
        <v>3</v>
      </c>
      <c r="B296" s="290" t="s">
        <v>1008</v>
      </c>
      <c r="C296" s="302"/>
      <c r="D296" s="302"/>
      <c r="E296" s="302"/>
      <c r="F296" s="302"/>
      <c r="G296" s="302"/>
      <c r="H296" s="302"/>
      <c r="I296" s="302"/>
    </row>
    <row r="297" spans="1:9" customFormat="1" ht="20.100000000000001" customHeight="1" x14ac:dyDescent="0.2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00000000000001" customHeight="1" x14ac:dyDescent="0.2">
      <c r="A298" s="289">
        <v>5</v>
      </c>
      <c r="B298" s="290" t="s">
        <v>262</v>
      </c>
      <c r="C298" s="297">
        <f>data!BN60</f>
        <v>3.87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0.03</v>
      </c>
      <c r="I298" s="297">
        <f>data!BT60</f>
        <v>0</v>
      </c>
    </row>
    <row r="299" spans="1:9" customFormat="1" ht="20.100000000000001" customHeight="1" x14ac:dyDescent="0.2">
      <c r="A299" s="289">
        <v>6</v>
      </c>
      <c r="B299" s="290" t="s">
        <v>263</v>
      </c>
      <c r="C299" s="290">
        <f>data!BN61</f>
        <v>585053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9244</v>
      </c>
      <c r="I299" s="290">
        <f>data!BT61</f>
        <v>0</v>
      </c>
    </row>
    <row r="300" spans="1:9" customFormat="1" ht="20.100000000000001" customHeight="1" x14ac:dyDescent="0.2">
      <c r="A300" s="289">
        <v>7</v>
      </c>
      <c r="B300" s="290" t="s">
        <v>11</v>
      </c>
      <c r="C300" s="290">
        <f>data!BN62</f>
        <v>133561</v>
      </c>
      <c r="D300" s="290">
        <f>data!BO62</f>
        <v>0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2110</v>
      </c>
      <c r="I300" s="290">
        <f>data!BT62</f>
        <v>0</v>
      </c>
    </row>
    <row r="301" spans="1:9" customFormat="1" ht="20.100000000000001" customHeight="1" x14ac:dyDescent="0.2">
      <c r="A301" s="289">
        <v>8</v>
      </c>
      <c r="B301" s="290" t="s">
        <v>264</v>
      </c>
      <c r="C301" s="290">
        <f>data!BN63</f>
        <v>85432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00000000000001" customHeight="1" x14ac:dyDescent="0.2">
      <c r="A302" s="289">
        <v>9</v>
      </c>
      <c r="B302" s="290" t="s">
        <v>265</v>
      </c>
      <c r="C302" s="290">
        <f>data!BN64</f>
        <v>17590</v>
      </c>
      <c r="D302" s="290">
        <f>data!BO64</f>
        <v>0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0</v>
      </c>
      <c r="I302" s="290">
        <f>data!BT64</f>
        <v>0</v>
      </c>
    </row>
    <row r="303" spans="1:9" customFormat="1" ht="20.100000000000001" customHeight="1" x14ac:dyDescent="0.2">
      <c r="A303" s="289">
        <v>10</v>
      </c>
      <c r="B303" s="290" t="s">
        <v>525</v>
      </c>
      <c r="C303" s="290">
        <f>data!BN65</f>
        <v>23246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00000000000001" customHeight="1" x14ac:dyDescent="0.2">
      <c r="A304" s="289">
        <v>11</v>
      </c>
      <c r="B304" s="290" t="s">
        <v>526</v>
      </c>
      <c r="C304" s="290">
        <f>data!BN66</f>
        <v>206365</v>
      </c>
      <c r="D304" s="290">
        <f>data!BO66</f>
        <v>0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0</v>
      </c>
      <c r="I304" s="290">
        <f>data!BT66</f>
        <v>0</v>
      </c>
    </row>
    <row r="305" spans="1:9" customFormat="1" ht="20.100000000000001" customHeight="1" x14ac:dyDescent="0.2">
      <c r="A305" s="289">
        <v>12</v>
      </c>
      <c r="B305" s="290" t="s">
        <v>16</v>
      </c>
      <c r="C305" s="290">
        <f>data!BN67</f>
        <v>126676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00000000000001" customHeight="1" x14ac:dyDescent="0.2">
      <c r="A306" s="289">
        <v>13</v>
      </c>
      <c r="B306" s="290" t="s">
        <v>1009</v>
      </c>
      <c r="C306" s="290">
        <f>data!BN68</f>
        <v>0</v>
      </c>
      <c r="D306" s="290">
        <f>data!BO68</f>
        <v>13130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00000000000001" customHeight="1" x14ac:dyDescent="0.2">
      <c r="A307" s="289">
        <v>14</v>
      </c>
      <c r="B307" s="290" t="s">
        <v>1010</v>
      </c>
      <c r="C307" s="290">
        <f>data!BN69</f>
        <v>207246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3640</v>
      </c>
      <c r="I307" s="290">
        <f>data!BT69</f>
        <v>0</v>
      </c>
    </row>
    <row r="308" spans="1:9" customFormat="1" ht="20.100000000000001" customHeight="1" x14ac:dyDescent="0.2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00000000000001" customHeight="1" x14ac:dyDescent="0.2">
      <c r="A309" s="289">
        <v>16</v>
      </c>
      <c r="B309" s="298" t="s">
        <v>1011</v>
      </c>
      <c r="C309" s="290">
        <f>data!BN85</f>
        <v>1385169</v>
      </c>
      <c r="D309" s="290">
        <f>data!BO85</f>
        <v>13130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14994</v>
      </c>
      <c r="I309" s="290">
        <f>data!BT85</f>
        <v>0</v>
      </c>
    </row>
    <row r="310" spans="1:9" customFormat="1" ht="20.100000000000001" customHeight="1" x14ac:dyDescent="0.2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00000000000001" customHeight="1" x14ac:dyDescent="0.2">
      <c r="A311" s="289">
        <v>18</v>
      </c>
      <c r="B311" s="290" t="s">
        <v>1012</v>
      </c>
      <c r="C311" s="290"/>
      <c r="D311" s="290"/>
      <c r="E311" s="290"/>
      <c r="F311" s="290"/>
      <c r="G311" s="290"/>
      <c r="H311" s="290"/>
      <c r="I311" s="290"/>
    </row>
    <row r="312" spans="1:9" customFormat="1" ht="20.100000000000001" customHeight="1" x14ac:dyDescent="0.2">
      <c r="A312" s="289">
        <v>19</v>
      </c>
      <c r="B312" s="298" t="s">
        <v>1013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00000000000001" customHeight="1" x14ac:dyDescent="0.2">
      <c r="A313" s="289">
        <v>20</v>
      </c>
      <c r="B313" s="298" t="s">
        <v>1014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00000000000001" customHeight="1" x14ac:dyDescent="0.2">
      <c r="A314" s="289">
        <v>21</v>
      </c>
      <c r="B314" s="298" t="s">
        <v>1015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00000000000001" customHeight="1" x14ac:dyDescent="0.2">
      <c r="A315" s="289" t="s">
        <v>1016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00000000000001" customHeight="1" x14ac:dyDescent="0.2">
      <c r="A316" s="289">
        <v>22</v>
      </c>
      <c r="B316" s="290" t="s">
        <v>1017</v>
      </c>
      <c r="C316" s="306">
        <f>data!BN90</f>
        <v>3706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0</v>
      </c>
      <c r="I316" s="306">
        <f>data!BT90</f>
        <v>0</v>
      </c>
    </row>
    <row r="317" spans="1:9" customFormat="1" ht="20.100000000000001" customHeight="1" x14ac:dyDescent="0.2">
      <c r="A317" s="289">
        <v>23</v>
      </c>
      <c r="B317" s="290" t="s">
        <v>1018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00000000000001" customHeight="1" x14ac:dyDescent="0.2">
      <c r="A318" s="289">
        <v>24</v>
      </c>
      <c r="B318" s="290" t="s">
        <v>1019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>x</v>
      </c>
      <c r="H318" s="306">
        <f>data!BS92</f>
        <v>0</v>
      </c>
      <c r="I318" s="306">
        <f>data!BT92</f>
        <v>0</v>
      </c>
    </row>
    <row r="319" spans="1:9" customFormat="1" ht="20.100000000000001" customHeight="1" x14ac:dyDescent="0.2">
      <c r="A319" s="289">
        <v>25</v>
      </c>
      <c r="B319" s="290" t="s">
        <v>1020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>x</v>
      </c>
      <c r="H319" s="306">
        <f>data!BS93</f>
        <v>0</v>
      </c>
      <c r="I319" s="306">
        <f>data!BT93</f>
        <v>0</v>
      </c>
    </row>
    <row r="320" spans="1:9" customFormat="1" ht="20.100000000000001" customHeight="1" x14ac:dyDescent="0.2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00000000000001" customHeight="1" x14ac:dyDescent="0.2">
      <c r="A321" s="283" t="s">
        <v>1002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00000000000001" customHeight="1" x14ac:dyDescent="0.2">
      <c r="D322" s="285"/>
      <c r="I322" s="286" t="s">
        <v>1054</v>
      </c>
    </row>
    <row r="323" spans="1:9" customFormat="1" ht="20.100000000000001" customHeight="1" x14ac:dyDescent="0.2">
      <c r="A323" s="285"/>
    </row>
    <row r="324" spans="1:9" customFormat="1" ht="20.100000000000001" customHeight="1" x14ac:dyDescent="0.2">
      <c r="A324" s="287" t="str">
        <f>"Hospital: "&amp;data!C98</f>
        <v>Hospital: EAST ADAMS RURAL HEALTHCARE</v>
      </c>
      <c r="G324" s="288"/>
      <c r="H324" s="287" t="str">
        <f>"FYE: "&amp;data!C96</f>
        <v>FYE: 12/31/2022</v>
      </c>
    </row>
    <row r="325" spans="1:9" customFormat="1" ht="20.100000000000001" customHeight="1" x14ac:dyDescent="0.2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00000000000001" customHeight="1" x14ac:dyDescent="0.2">
      <c r="A326" s="293">
        <v>2</v>
      </c>
      <c r="B326" s="294" t="s">
        <v>1004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00000000000001" customHeight="1" x14ac:dyDescent="0.2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1053</v>
      </c>
      <c r="H327" s="296" t="s">
        <v>179</v>
      </c>
      <c r="I327" s="296" t="s">
        <v>228</v>
      </c>
    </row>
    <row r="328" spans="1:9" customFormat="1" ht="20.100000000000001" customHeight="1" x14ac:dyDescent="0.2">
      <c r="A328" s="289">
        <v>3</v>
      </c>
      <c r="B328" s="290" t="s">
        <v>1008</v>
      </c>
      <c r="C328" s="302"/>
      <c r="D328" s="302"/>
      <c r="E328" s="302"/>
      <c r="F328" s="302"/>
      <c r="G328" s="302"/>
      <c r="H328" s="302"/>
      <c r="I328" s="302"/>
    </row>
    <row r="329" spans="1:9" customFormat="1" ht="20.100000000000001" customHeight="1" x14ac:dyDescent="0.2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00000000000001" customHeight="1" x14ac:dyDescent="0.2">
      <c r="A330" s="289">
        <v>5</v>
      </c>
      <c r="B330" s="290" t="s">
        <v>262</v>
      </c>
      <c r="C330" s="297">
        <f>data!BU60</f>
        <v>0</v>
      </c>
      <c r="D330" s="297">
        <f>data!BV60</f>
        <v>0.99</v>
      </c>
      <c r="E330" s="297">
        <f>data!BW60</f>
        <v>0</v>
      </c>
      <c r="F330" s="297">
        <f>data!BX60</f>
        <v>0</v>
      </c>
      <c r="G330" s="297">
        <f>data!BY60</f>
        <v>0.82</v>
      </c>
      <c r="H330" s="297">
        <f>data!BZ60</f>
        <v>0</v>
      </c>
      <c r="I330" s="297">
        <f>data!CA60</f>
        <v>0</v>
      </c>
    </row>
    <row r="331" spans="1:9" customFormat="1" ht="20.100000000000001" customHeight="1" x14ac:dyDescent="0.2">
      <c r="A331" s="289">
        <v>6</v>
      </c>
      <c r="B331" s="290" t="s">
        <v>263</v>
      </c>
      <c r="C331" s="309">
        <f>data!BU61</f>
        <v>0</v>
      </c>
      <c r="D331" s="309">
        <f>data!BV61</f>
        <v>55672</v>
      </c>
      <c r="E331" s="309">
        <f>data!BW61</f>
        <v>0</v>
      </c>
      <c r="F331" s="309">
        <f>data!BX61</f>
        <v>0</v>
      </c>
      <c r="G331" s="309">
        <f>data!BY61</f>
        <v>168257</v>
      </c>
      <c r="H331" s="309">
        <f>data!BZ61</f>
        <v>0</v>
      </c>
      <c r="I331" s="309">
        <f>data!CA61</f>
        <v>0</v>
      </c>
    </row>
    <row r="332" spans="1:9" customFormat="1" ht="20.100000000000001" customHeight="1" x14ac:dyDescent="0.2">
      <c r="A332" s="289">
        <v>7</v>
      </c>
      <c r="B332" s="290" t="s">
        <v>11</v>
      </c>
      <c r="C332" s="309">
        <f>data!BU62</f>
        <v>0</v>
      </c>
      <c r="D332" s="309">
        <f>data!BV62</f>
        <v>12709</v>
      </c>
      <c r="E332" s="309">
        <f>data!BW62</f>
        <v>0</v>
      </c>
      <c r="F332" s="309">
        <f>data!BX62</f>
        <v>0</v>
      </c>
      <c r="G332" s="309">
        <f>data!BY62</f>
        <v>38411</v>
      </c>
      <c r="H332" s="309">
        <f>data!BZ62</f>
        <v>0</v>
      </c>
      <c r="I332" s="309">
        <f>data!CA62</f>
        <v>0</v>
      </c>
    </row>
    <row r="333" spans="1:9" customFormat="1" ht="20.100000000000001" customHeight="1" x14ac:dyDescent="0.2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0</v>
      </c>
      <c r="G333" s="309">
        <f>data!BY63</f>
        <v>0</v>
      </c>
      <c r="H333" s="309">
        <f>data!BZ63</f>
        <v>0</v>
      </c>
      <c r="I333" s="309">
        <f>data!CA63</f>
        <v>0</v>
      </c>
    </row>
    <row r="334" spans="1:9" customFormat="1" ht="20.100000000000001" customHeight="1" x14ac:dyDescent="0.2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304</v>
      </c>
      <c r="H334" s="309">
        <f>data!BZ64</f>
        <v>0</v>
      </c>
      <c r="I334" s="309">
        <f>data!CA64</f>
        <v>0</v>
      </c>
    </row>
    <row r="335" spans="1:9" customFormat="1" ht="20.100000000000001" customHeight="1" x14ac:dyDescent="0.2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00000000000001" customHeight="1" x14ac:dyDescent="0.2">
      <c r="A336" s="289">
        <v>11</v>
      </c>
      <c r="B336" s="290" t="s">
        <v>526</v>
      </c>
      <c r="C336" s="309">
        <f>data!BU66</f>
        <v>0</v>
      </c>
      <c r="D336" s="309">
        <f>data!BV66</f>
        <v>41453</v>
      </c>
      <c r="E336" s="309">
        <f>data!BW66</f>
        <v>0</v>
      </c>
      <c r="F336" s="309">
        <f>data!BX66</f>
        <v>0</v>
      </c>
      <c r="G336" s="309">
        <f>data!BY66</f>
        <v>0</v>
      </c>
      <c r="H336" s="309">
        <f>data!BZ66</f>
        <v>0</v>
      </c>
      <c r="I336" s="309">
        <f>data!CA66</f>
        <v>0</v>
      </c>
    </row>
    <row r="337" spans="1:9" customFormat="1" ht="20.100000000000001" customHeight="1" x14ac:dyDescent="0.2">
      <c r="A337" s="289">
        <v>12</v>
      </c>
      <c r="B337" s="290" t="s">
        <v>16</v>
      </c>
      <c r="C337" s="309">
        <f>data!BU67</f>
        <v>0</v>
      </c>
      <c r="D337" s="309">
        <f>data!BV67</f>
        <v>31857</v>
      </c>
      <c r="E337" s="309">
        <f>data!BW67</f>
        <v>0</v>
      </c>
      <c r="F337" s="309">
        <f>data!BX67</f>
        <v>0</v>
      </c>
      <c r="G337" s="309">
        <f>data!BY67</f>
        <v>3657</v>
      </c>
      <c r="H337" s="309">
        <f>data!BZ67</f>
        <v>0</v>
      </c>
      <c r="I337" s="309">
        <f>data!CA67</f>
        <v>0</v>
      </c>
    </row>
    <row r="338" spans="1:9" customFormat="1" ht="20.100000000000001" customHeight="1" x14ac:dyDescent="0.2">
      <c r="A338" s="289">
        <v>13</v>
      </c>
      <c r="B338" s="290" t="s">
        <v>1009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00000000000001" customHeight="1" x14ac:dyDescent="0.2">
      <c r="A339" s="289">
        <v>14</v>
      </c>
      <c r="B339" s="290" t="s">
        <v>1010</v>
      </c>
      <c r="C339" s="309">
        <f>data!BU69</f>
        <v>0</v>
      </c>
      <c r="D339" s="309">
        <f>data!BV69</f>
        <v>2082</v>
      </c>
      <c r="E339" s="309">
        <f>data!BW69</f>
        <v>0</v>
      </c>
      <c r="F339" s="309">
        <f>data!BX69</f>
        <v>0</v>
      </c>
      <c r="G339" s="309">
        <f>data!BY69</f>
        <v>7245</v>
      </c>
      <c r="H339" s="309">
        <f>data!BZ69</f>
        <v>0</v>
      </c>
      <c r="I339" s="309">
        <f>data!CA69</f>
        <v>0</v>
      </c>
    </row>
    <row r="340" spans="1:9" customFormat="1" ht="20.100000000000001" customHeight="1" x14ac:dyDescent="0.2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00000000000001" customHeight="1" x14ac:dyDescent="0.2">
      <c r="A341" s="289">
        <v>16</v>
      </c>
      <c r="B341" s="298" t="s">
        <v>1011</v>
      </c>
      <c r="C341" s="290">
        <f>data!BU85</f>
        <v>0</v>
      </c>
      <c r="D341" s="290">
        <f>data!BV85</f>
        <v>143773</v>
      </c>
      <c r="E341" s="290">
        <f>data!BW85</f>
        <v>0</v>
      </c>
      <c r="F341" s="290">
        <f>data!BX85</f>
        <v>0</v>
      </c>
      <c r="G341" s="290">
        <f>data!BY85</f>
        <v>217874</v>
      </c>
      <c r="H341" s="290">
        <f>data!BZ85</f>
        <v>0</v>
      </c>
      <c r="I341" s="290">
        <f>data!CA85</f>
        <v>0</v>
      </c>
    </row>
    <row r="342" spans="1:9" customFormat="1" ht="20.100000000000001" customHeight="1" x14ac:dyDescent="0.2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00000000000001" customHeight="1" x14ac:dyDescent="0.2">
      <c r="A343" s="289">
        <v>18</v>
      </c>
      <c r="B343" s="290" t="s">
        <v>1012</v>
      </c>
      <c r="C343" s="290"/>
      <c r="D343" s="290"/>
      <c r="E343" s="290"/>
      <c r="F343" s="290"/>
      <c r="G343" s="290"/>
      <c r="H343" s="290"/>
      <c r="I343" s="290"/>
    </row>
    <row r="344" spans="1:9" customFormat="1" ht="20.100000000000001" customHeight="1" x14ac:dyDescent="0.2">
      <c r="A344" s="289">
        <v>19</v>
      </c>
      <c r="B344" s="298" t="s">
        <v>1013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00000000000001" customHeight="1" x14ac:dyDescent="0.2">
      <c r="A345" s="289">
        <v>20</v>
      </c>
      <c r="B345" s="298" t="s">
        <v>1014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00000000000001" customHeight="1" x14ac:dyDescent="0.2">
      <c r="A346" s="289">
        <v>21</v>
      </c>
      <c r="B346" s="298" t="s">
        <v>1015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00000000000001" customHeight="1" x14ac:dyDescent="0.2">
      <c r="A347" s="289" t="s">
        <v>1016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00000000000001" customHeight="1" x14ac:dyDescent="0.2">
      <c r="A348" s="289">
        <v>22</v>
      </c>
      <c r="B348" s="290" t="s">
        <v>1017</v>
      </c>
      <c r="C348" s="306">
        <f>data!BU90</f>
        <v>0</v>
      </c>
      <c r="D348" s="306">
        <f>data!BV90</f>
        <v>932</v>
      </c>
      <c r="E348" s="306">
        <f>data!BW90</f>
        <v>0</v>
      </c>
      <c r="F348" s="306">
        <f>data!BX90</f>
        <v>0</v>
      </c>
      <c r="G348" s="306">
        <f>data!BY90</f>
        <v>107</v>
      </c>
      <c r="H348" s="306">
        <f>data!BZ90</f>
        <v>0</v>
      </c>
      <c r="I348" s="306">
        <f>data!CA90</f>
        <v>0</v>
      </c>
    </row>
    <row r="349" spans="1:9" customFormat="1" ht="20.100000000000001" customHeight="1" x14ac:dyDescent="0.2">
      <c r="A349" s="289">
        <v>23</v>
      </c>
      <c r="B349" s="290" t="s">
        <v>1018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00000000000001" customHeight="1" x14ac:dyDescent="0.2">
      <c r="A350" s="289">
        <v>24</v>
      </c>
      <c r="B350" s="290" t="s">
        <v>1019</v>
      </c>
      <c r="C350" s="306">
        <f>data!BU92</f>
        <v>0</v>
      </c>
      <c r="D350" s="306">
        <f>data!BV92</f>
        <v>393</v>
      </c>
      <c r="E350" s="306">
        <f>data!BW92</f>
        <v>0</v>
      </c>
      <c r="F350" s="306">
        <f>data!BX92</f>
        <v>0</v>
      </c>
      <c r="G350" s="306">
        <f>data!BY92</f>
        <v>45</v>
      </c>
      <c r="H350" s="306">
        <f>data!BZ92</f>
        <v>0</v>
      </c>
      <c r="I350" s="306">
        <f>data!CA92</f>
        <v>0</v>
      </c>
    </row>
    <row r="351" spans="1:9" customFormat="1" ht="20.100000000000001" customHeight="1" x14ac:dyDescent="0.2">
      <c r="A351" s="289">
        <v>25</v>
      </c>
      <c r="B351" s="290" t="s">
        <v>1020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00000000000001" customHeight="1" x14ac:dyDescent="0.2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00000000000001" customHeight="1" x14ac:dyDescent="0.2">
      <c r="A353" s="283" t="s">
        <v>1002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00000000000001" customHeight="1" x14ac:dyDescent="0.2">
      <c r="D354" s="285"/>
      <c r="I354" s="286" t="s">
        <v>1055</v>
      </c>
    </row>
    <row r="355" spans="1:9" customFormat="1" ht="20.100000000000001" customHeight="1" x14ac:dyDescent="0.2">
      <c r="A355" s="285"/>
    </row>
    <row r="356" spans="1:9" customFormat="1" ht="20.100000000000001" customHeight="1" x14ac:dyDescent="0.2">
      <c r="A356" s="287" t="str">
        <f>"Hospital: "&amp;data!C98</f>
        <v>Hospital: EAST ADAMS RURAL HEALTHCARE</v>
      </c>
      <c r="G356" s="288"/>
      <c r="H356" s="287" t="str">
        <f>"FYE: "&amp;data!C96</f>
        <v>FYE: 12/31/2022</v>
      </c>
    </row>
    <row r="357" spans="1:9" customFormat="1" ht="20.100000000000001" customHeight="1" x14ac:dyDescent="0.2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00000000000001" customHeight="1" x14ac:dyDescent="0.2">
      <c r="A358" s="293">
        <v>2</v>
      </c>
      <c r="B358" s="294" t="s">
        <v>1004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00000000000001" customHeight="1" x14ac:dyDescent="0.2">
      <c r="A359" s="293"/>
      <c r="B359" s="294"/>
      <c r="C359" s="296" t="s">
        <v>228</v>
      </c>
      <c r="D359" s="296" t="s">
        <v>1056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00000000000001" customHeight="1" x14ac:dyDescent="0.2">
      <c r="A360" s="289">
        <v>3</v>
      </c>
      <c r="B360" s="290" t="s">
        <v>1008</v>
      </c>
      <c r="C360" s="302"/>
      <c r="D360" s="302"/>
      <c r="E360" s="302"/>
      <c r="F360" s="302"/>
      <c r="G360" s="302"/>
      <c r="H360" s="302"/>
      <c r="I360" s="302"/>
    </row>
    <row r="361" spans="1:9" customFormat="1" ht="20.100000000000001" customHeight="1" x14ac:dyDescent="0.2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00000000000001" customHeight="1" x14ac:dyDescent="0.2">
      <c r="A362" s="289">
        <v>5</v>
      </c>
      <c r="B362" s="290" t="s">
        <v>262</v>
      </c>
      <c r="C362" s="297">
        <f>data!CB60</f>
        <v>0</v>
      </c>
      <c r="D362" s="297">
        <f>data!CC60</f>
        <v>0</v>
      </c>
      <c r="E362" s="312"/>
      <c r="F362" s="300"/>
      <c r="G362" s="300"/>
      <c r="H362" s="300"/>
      <c r="I362" s="313">
        <f>data!CE60</f>
        <v>70.279999999999987</v>
      </c>
    </row>
    <row r="363" spans="1:9" customFormat="1" ht="20.100000000000001" customHeight="1" x14ac:dyDescent="0.2">
      <c r="A363" s="289">
        <v>6</v>
      </c>
      <c r="B363" s="290" t="s">
        <v>263</v>
      </c>
      <c r="C363" s="309">
        <f>data!CB61</f>
        <v>0</v>
      </c>
      <c r="D363" s="309">
        <f>data!CC61</f>
        <v>0</v>
      </c>
      <c r="E363" s="314"/>
      <c r="F363" s="314"/>
      <c r="G363" s="314"/>
      <c r="H363" s="314"/>
      <c r="I363" s="309">
        <f>data!CE61</f>
        <v>6134088</v>
      </c>
    </row>
    <row r="364" spans="1:9" customFormat="1" ht="20.100000000000001" customHeight="1" x14ac:dyDescent="0.2">
      <c r="A364" s="289">
        <v>7</v>
      </c>
      <c r="B364" s="290" t="s">
        <v>11</v>
      </c>
      <c r="C364" s="309">
        <f>data!CB62</f>
        <v>0</v>
      </c>
      <c r="D364" s="309">
        <f>data!CC62</f>
        <v>0</v>
      </c>
      <c r="E364" s="314"/>
      <c r="F364" s="314"/>
      <c r="G364" s="314"/>
      <c r="H364" s="314"/>
      <c r="I364" s="309">
        <f>data!CE62</f>
        <v>1400347</v>
      </c>
    </row>
    <row r="365" spans="1:9" customFormat="1" ht="20.100000000000001" customHeight="1" x14ac:dyDescent="0.2">
      <c r="A365" s="289">
        <v>8</v>
      </c>
      <c r="B365" s="290" t="s">
        <v>264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686059</v>
      </c>
    </row>
    <row r="366" spans="1:9" customFormat="1" ht="20.100000000000001" customHeight="1" x14ac:dyDescent="0.2">
      <c r="A366" s="289">
        <v>9</v>
      </c>
      <c r="B366" s="290" t="s">
        <v>265</v>
      </c>
      <c r="C366" s="309">
        <f>data!CB64</f>
        <v>0</v>
      </c>
      <c r="D366" s="309">
        <f>data!CC64</f>
        <v>0</v>
      </c>
      <c r="E366" s="314"/>
      <c r="F366" s="314"/>
      <c r="G366" s="314"/>
      <c r="H366" s="314"/>
      <c r="I366" s="309">
        <f>data!CE64</f>
        <v>883933</v>
      </c>
    </row>
    <row r="367" spans="1:9" customFormat="1" ht="20.100000000000001" customHeight="1" x14ac:dyDescent="0.2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248396</v>
      </c>
    </row>
    <row r="368" spans="1:9" customFormat="1" ht="20.100000000000001" customHeight="1" x14ac:dyDescent="0.2">
      <c r="A368" s="289">
        <v>11</v>
      </c>
      <c r="B368" s="290" t="s">
        <v>526</v>
      </c>
      <c r="C368" s="309">
        <f>data!CB66</f>
        <v>0</v>
      </c>
      <c r="D368" s="309">
        <f>data!CC66</f>
        <v>0</v>
      </c>
      <c r="E368" s="314"/>
      <c r="F368" s="314"/>
      <c r="G368" s="314"/>
      <c r="H368" s="314"/>
      <c r="I368" s="309">
        <f>data!CE66</f>
        <v>2562971</v>
      </c>
    </row>
    <row r="369" spans="1:9" customFormat="1" ht="20.100000000000001" customHeight="1" x14ac:dyDescent="0.2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761318</v>
      </c>
    </row>
    <row r="370" spans="1:9" customFormat="1" ht="20.100000000000001" customHeight="1" x14ac:dyDescent="0.2">
      <c r="A370" s="289">
        <v>13</v>
      </c>
      <c r="B370" s="290" t="s">
        <v>1009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70672</v>
      </c>
    </row>
    <row r="371" spans="1:9" customFormat="1" ht="20.100000000000001" customHeight="1" x14ac:dyDescent="0.2">
      <c r="A371" s="289">
        <v>14</v>
      </c>
      <c r="B371" s="290" t="s">
        <v>1010</v>
      </c>
      <c r="C371" s="309">
        <f>data!CB69</f>
        <v>0</v>
      </c>
      <c r="D371" s="309">
        <f>data!CC69</f>
        <v>0</v>
      </c>
      <c r="E371" s="309">
        <f>data!CD69</f>
        <v>0</v>
      </c>
      <c r="F371" s="314"/>
      <c r="G371" s="314"/>
      <c r="H371" s="314"/>
      <c r="I371" s="309">
        <f>data!CE69</f>
        <v>402044</v>
      </c>
    </row>
    <row r="372" spans="1:9" customFormat="1" ht="20.100000000000001" customHeight="1" x14ac:dyDescent="0.2">
      <c r="A372" s="289">
        <v>15</v>
      </c>
      <c r="B372" s="290" t="s">
        <v>284</v>
      </c>
      <c r="C372" s="290">
        <f>-data!CB84</f>
        <v>0</v>
      </c>
      <c r="D372" s="290">
        <f>-data!CC84</f>
        <v>0</v>
      </c>
      <c r="E372" s="290">
        <f>-data!CD84</f>
        <v>0</v>
      </c>
      <c r="F372" s="300"/>
      <c r="G372" s="300"/>
      <c r="H372" s="300"/>
      <c r="I372" s="290">
        <f>-data!CE84</f>
        <v>0</v>
      </c>
    </row>
    <row r="373" spans="1:9" customFormat="1" ht="20.100000000000001" customHeight="1" x14ac:dyDescent="0.2">
      <c r="A373" s="289">
        <v>16</v>
      </c>
      <c r="B373" s="298" t="s">
        <v>1011</v>
      </c>
      <c r="C373" s="309">
        <f>data!CB85</f>
        <v>0</v>
      </c>
      <c r="D373" s="309">
        <f>data!CC85</f>
        <v>0</v>
      </c>
      <c r="E373" s="309">
        <f>data!CD85</f>
        <v>0</v>
      </c>
      <c r="F373" s="314"/>
      <c r="G373" s="314"/>
      <c r="H373" s="314"/>
      <c r="I373" s="290">
        <f>data!CE85</f>
        <v>13149828</v>
      </c>
    </row>
    <row r="374" spans="1:9" customFormat="1" ht="20.100000000000001" customHeight="1" x14ac:dyDescent="0.2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1234465</v>
      </c>
    </row>
    <row r="375" spans="1:9" customFormat="1" ht="20.100000000000001" customHeight="1" x14ac:dyDescent="0.2">
      <c r="A375" s="289">
        <v>18</v>
      </c>
      <c r="B375" s="290" t="s">
        <v>1012</v>
      </c>
      <c r="C375" s="290"/>
      <c r="D375" s="290"/>
      <c r="E375" s="290"/>
      <c r="F375" s="290"/>
      <c r="G375" s="290"/>
      <c r="H375" s="290"/>
      <c r="I375" s="290"/>
    </row>
    <row r="376" spans="1:9" customFormat="1" ht="20.100000000000001" customHeight="1" x14ac:dyDescent="0.2">
      <c r="A376" s="289">
        <v>19</v>
      </c>
      <c r="B376" s="298" t="s">
        <v>1013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1417949</v>
      </c>
    </row>
    <row r="377" spans="1:9" customFormat="1" ht="20.100000000000001" customHeight="1" x14ac:dyDescent="0.2">
      <c r="A377" s="289">
        <v>20</v>
      </c>
      <c r="B377" s="298" t="s">
        <v>1014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10724014</v>
      </c>
    </row>
    <row r="378" spans="1:9" customFormat="1" ht="20.100000000000001" customHeight="1" x14ac:dyDescent="0.2">
      <c r="A378" s="289">
        <v>21</v>
      </c>
      <c r="B378" s="298" t="s">
        <v>1015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12141963</v>
      </c>
    </row>
    <row r="379" spans="1:9" customFormat="1" ht="20.100000000000001" customHeight="1" x14ac:dyDescent="0.2">
      <c r="A379" s="289" t="s">
        <v>1016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00000000000001" customHeight="1" x14ac:dyDescent="0.2">
      <c r="A380" s="289">
        <v>22</v>
      </c>
      <c r="B380" s="290" t="s">
        <v>1017</v>
      </c>
      <c r="C380" s="306">
        <f>data!CB90</f>
        <v>0</v>
      </c>
      <c r="D380" s="306">
        <f>data!CC90</f>
        <v>0</v>
      </c>
      <c r="E380" s="300"/>
      <c r="F380" s="300"/>
      <c r="G380" s="300"/>
      <c r="H380" s="300"/>
      <c r="I380" s="290">
        <f>data!CE90</f>
        <v>22273</v>
      </c>
    </row>
    <row r="381" spans="1:9" customFormat="1" ht="20.100000000000001" customHeight="1" x14ac:dyDescent="0.2">
      <c r="A381" s="289">
        <v>23</v>
      </c>
      <c r="B381" s="290" t="s">
        <v>1018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5045</v>
      </c>
    </row>
    <row r="382" spans="1:9" customFormat="1" ht="20.100000000000001" customHeight="1" x14ac:dyDescent="0.2">
      <c r="A382" s="289">
        <v>24</v>
      </c>
      <c r="B382" s="290" t="s">
        <v>1019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5027</v>
      </c>
    </row>
    <row r="383" spans="1:9" customFormat="1" ht="20.100000000000001" customHeight="1" x14ac:dyDescent="0.2">
      <c r="A383" s="289">
        <v>25</v>
      </c>
      <c r="B383" s="290" t="s">
        <v>1020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19232</v>
      </c>
    </row>
    <row r="384" spans="1:9" customFormat="1" ht="20.100000000000001" customHeight="1" x14ac:dyDescent="0.2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17.689999999999998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92" transitionEvaluation="1" transitionEntry="1" codeName="Sheet1">
    <tabColor rgb="FF92D050"/>
    <pageSetUpPr autoPageBreaks="0" fitToPage="1"/>
  </sheetPr>
  <dimension ref="A1:CF716"/>
  <sheetViews>
    <sheetView topLeftCell="A192" zoomScaleNormal="100" workbookViewId="0">
      <selection activeCell="J197" sqref="J19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6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3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x14ac:dyDescent="0.25">
      <c r="A34" s="14" t="s">
        <v>27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61" t="s">
        <v>28</v>
      </c>
      <c r="B36" s="262"/>
      <c r="C36" s="263"/>
      <c r="D36" s="262"/>
      <c r="E36" s="262"/>
      <c r="F36" s="262"/>
      <c r="G36" s="264"/>
    </row>
    <row r="37" spans="1:83" x14ac:dyDescent="0.25">
      <c r="A37" s="265" t="s">
        <v>29</v>
      </c>
      <c r="B37" s="266"/>
      <c r="C37" s="267"/>
      <c r="D37" s="268"/>
      <c r="E37" s="268"/>
      <c r="F37" s="268"/>
      <c r="G37" s="269"/>
    </row>
    <row r="38" spans="1:83" x14ac:dyDescent="0.25">
      <c r="A38" s="270" t="s">
        <v>30</v>
      </c>
      <c r="B38" s="266"/>
      <c r="C38" s="267"/>
      <c r="D38" s="268"/>
      <c r="E38" s="268"/>
      <c r="F38" s="268"/>
      <c r="G38" s="269"/>
    </row>
    <row r="39" spans="1:83" x14ac:dyDescent="0.25">
      <c r="A39" s="271" t="s">
        <v>31</v>
      </c>
      <c r="B39" s="268"/>
      <c r="C39" s="267"/>
      <c r="D39" s="268"/>
      <c r="E39" s="268"/>
      <c r="F39" s="268"/>
      <c r="G39" s="269"/>
    </row>
    <row r="40" spans="1:83" x14ac:dyDescent="0.25">
      <c r="A40" s="272" t="s">
        <v>32</v>
      </c>
      <c r="B40" s="273"/>
      <c r="C40" s="274"/>
      <c r="D40" s="273"/>
      <c r="E40" s="273"/>
      <c r="F40" s="273"/>
      <c r="G40" s="275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4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v>0</v>
      </c>
    </row>
    <row r="48" spans="1:83" x14ac:dyDescent="0.25">
      <c r="A48" s="25" t="s">
        <v>232</v>
      </c>
      <c r="B48" s="234">
        <v>1006797</v>
      </c>
      <c r="C48" s="25">
        <v>0</v>
      </c>
      <c r="D48" s="25">
        <v>0</v>
      </c>
      <c r="E48" s="25">
        <v>11012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218034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9369</v>
      </c>
      <c r="T48" s="25">
        <v>0</v>
      </c>
      <c r="U48" s="25">
        <v>58380</v>
      </c>
      <c r="V48" s="25">
        <v>0</v>
      </c>
      <c r="W48" s="25">
        <v>1183</v>
      </c>
      <c r="X48" s="25">
        <v>11019</v>
      </c>
      <c r="Y48" s="25">
        <v>37106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66566</v>
      </c>
      <c r="AF48" s="25">
        <v>0</v>
      </c>
      <c r="AG48" s="25">
        <v>56894</v>
      </c>
      <c r="AH48" s="25">
        <v>38450</v>
      </c>
      <c r="AI48" s="25">
        <v>0</v>
      </c>
      <c r="AJ48" s="25">
        <v>192241</v>
      </c>
      <c r="AK48" s="25">
        <v>0</v>
      </c>
      <c r="AL48" s="25">
        <v>0</v>
      </c>
      <c r="AM48" s="25">
        <v>0</v>
      </c>
      <c r="AN48" s="25">
        <v>0</v>
      </c>
      <c r="AO48" s="25">
        <v>6607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29304</v>
      </c>
      <c r="AZ48" s="25">
        <v>0</v>
      </c>
      <c r="BA48" s="25">
        <v>0</v>
      </c>
      <c r="BB48" s="25">
        <v>9002</v>
      </c>
      <c r="BC48" s="25">
        <v>0</v>
      </c>
      <c r="BD48" s="25">
        <v>0</v>
      </c>
      <c r="BE48" s="25">
        <v>24075</v>
      </c>
      <c r="BF48" s="25">
        <v>31022</v>
      </c>
      <c r="BG48" s="25">
        <v>0</v>
      </c>
      <c r="BH48" s="25">
        <v>16410</v>
      </c>
      <c r="BI48" s="25">
        <v>0</v>
      </c>
      <c r="BJ48" s="25">
        <v>0</v>
      </c>
      <c r="BK48" s="25">
        <v>54950</v>
      </c>
      <c r="BL48" s="25">
        <v>0</v>
      </c>
      <c r="BM48" s="25">
        <v>0</v>
      </c>
      <c r="BN48" s="25">
        <v>93050</v>
      </c>
      <c r="BO48" s="25">
        <v>0</v>
      </c>
      <c r="BP48" s="25">
        <v>0</v>
      </c>
      <c r="BQ48" s="25">
        <v>0</v>
      </c>
      <c r="BR48" s="25">
        <v>0</v>
      </c>
      <c r="BS48" s="25">
        <v>1695</v>
      </c>
      <c r="BT48" s="25">
        <v>0</v>
      </c>
      <c r="BU48" s="25">
        <v>0</v>
      </c>
      <c r="BV48" s="25">
        <v>9139</v>
      </c>
      <c r="BW48" s="25">
        <v>0</v>
      </c>
      <c r="BX48" s="25">
        <v>0</v>
      </c>
      <c r="BY48" s="25">
        <v>31290</v>
      </c>
      <c r="BZ48" s="25">
        <v>0</v>
      </c>
      <c r="CA48" s="25">
        <v>0</v>
      </c>
      <c r="CB48" s="25">
        <v>0</v>
      </c>
      <c r="CC48" s="25">
        <v>0</v>
      </c>
      <c r="CD48" s="25" t="s">
        <v>1057</v>
      </c>
      <c r="CE48" s="25" t="s">
        <v>1057</v>
      </c>
    </row>
    <row r="49" spans="1:83" x14ac:dyDescent="0.25">
      <c r="A49" s="16" t="s">
        <v>233</v>
      </c>
      <c r="B49" s="25">
        <v>1006797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5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v>0</v>
      </c>
    </row>
    <row r="52" spans="1:83" x14ac:dyDescent="0.25">
      <c r="A52" s="31" t="s">
        <v>235</v>
      </c>
      <c r="B52" s="234">
        <v>755610</v>
      </c>
      <c r="C52" s="25">
        <v>0</v>
      </c>
      <c r="D52" s="25">
        <v>0</v>
      </c>
      <c r="E52" s="25">
        <v>2816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55807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17030</v>
      </c>
      <c r="T52" s="25">
        <v>0</v>
      </c>
      <c r="U52" s="25">
        <v>18421</v>
      </c>
      <c r="V52" s="25">
        <v>0</v>
      </c>
      <c r="W52" s="25">
        <v>1018</v>
      </c>
      <c r="X52" s="25">
        <v>9397</v>
      </c>
      <c r="Y52" s="25">
        <v>31584</v>
      </c>
      <c r="Z52" s="25">
        <v>0</v>
      </c>
      <c r="AA52" s="25">
        <v>0</v>
      </c>
      <c r="AB52" s="25">
        <v>2714</v>
      </c>
      <c r="AC52" s="25">
        <v>0</v>
      </c>
      <c r="AD52" s="25">
        <v>0</v>
      </c>
      <c r="AE52" s="25">
        <v>22798</v>
      </c>
      <c r="AF52" s="25">
        <v>0</v>
      </c>
      <c r="AG52" s="25">
        <v>29481</v>
      </c>
      <c r="AH52" s="25">
        <v>0</v>
      </c>
      <c r="AI52" s="25">
        <v>0</v>
      </c>
      <c r="AJ52" s="25">
        <v>107169</v>
      </c>
      <c r="AK52" s="25">
        <v>0</v>
      </c>
      <c r="AL52" s="25">
        <v>0</v>
      </c>
      <c r="AM52" s="25">
        <v>0</v>
      </c>
      <c r="AN52" s="25">
        <v>0</v>
      </c>
      <c r="AO52" s="25">
        <v>1696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1357</v>
      </c>
      <c r="AW52" s="25">
        <v>0</v>
      </c>
      <c r="AX52" s="25">
        <v>0</v>
      </c>
      <c r="AY52" s="25">
        <v>19032</v>
      </c>
      <c r="AZ52" s="25">
        <v>0</v>
      </c>
      <c r="BA52" s="25">
        <v>1323</v>
      </c>
      <c r="BB52" s="25">
        <v>12824</v>
      </c>
      <c r="BC52" s="25">
        <v>0</v>
      </c>
      <c r="BD52" s="25">
        <v>0</v>
      </c>
      <c r="BE52" s="25">
        <v>199241</v>
      </c>
      <c r="BF52" s="25">
        <v>3901</v>
      </c>
      <c r="BG52" s="25">
        <v>0</v>
      </c>
      <c r="BH52" s="25">
        <v>43186</v>
      </c>
      <c r="BI52" s="25">
        <v>0</v>
      </c>
      <c r="BJ52" s="25">
        <v>3562</v>
      </c>
      <c r="BK52" s="25">
        <v>10279</v>
      </c>
      <c r="BL52" s="25">
        <v>0</v>
      </c>
      <c r="BM52" s="25">
        <v>0</v>
      </c>
      <c r="BN52" s="25">
        <v>125726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31618</v>
      </c>
      <c r="BW52" s="25">
        <v>0</v>
      </c>
      <c r="BX52" s="25">
        <v>0</v>
      </c>
      <c r="BY52" s="25">
        <v>3630</v>
      </c>
      <c r="BZ52" s="25">
        <v>0</v>
      </c>
      <c r="CA52" s="25">
        <v>0</v>
      </c>
      <c r="CB52" s="25">
        <v>0</v>
      </c>
      <c r="CC52" s="25">
        <v>0</v>
      </c>
      <c r="CD52" s="25" t="s">
        <v>1057</v>
      </c>
      <c r="CE52" s="25" t="s">
        <v>1057</v>
      </c>
    </row>
    <row r="53" spans="1:83" x14ac:dyDescent="0.25">
      <c r="A53" s="16" t="s">
        <v>233</v>
      </c>
      <c r="B53" s="25">
        <v>755610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5">
        <v>0</v>
      </c>
      <c r="D59" s="235">
        <v>0</v>
      </c>
      <c r="E59" s="235">
        <v>75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1485</v>
      </c>
      <c r="M59" s="235">
        <v>0</v>
      </c>
      <c r="N59" s="235">
        <v>0</v>
      </c>
      <c r="O59" s="235">
        <v>0</v>
      </c>
      <c r="P59" s="236">
        <v>0</v>
      </c>
      <c r="Q59" s="237">
        <v>0</v>
      </c>
      <c r="R59" s="237">
        <v>0</v>
      </c>
      <c r="S59" s="230">
        <v>0</v>
      </c>
      <c r="T59" s="230">
        <v>0</v>
      </c>
      <c r="U59" s="238">
        <v>14884</v>
      </c>
      <c r="V59" s="237">
        <v>0</v>
      </c>
      <c r="W59" s="237">
        <v>64</v>
      </c>
      <c r="X59" s="237">
        <v>596</v>
      </c>
      <c r="Y59" s="237">
        <v>2007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7905</v>
      </c>
      <c r="AF59" s="237">
        <v>0</v>
      </c>
      <c r="AG59" s="237">
        <v>1170</v>
      </c>
      <c r="AH59" s="237">
        <v>718</v>
      </c>
      <c r="AI59" s="237">
        <v>0</v>
      </c>
      <c r="AJ59" s="237">
        <v>3920</v>
      </c>
      <c r="AK59" s="237">
        <v>0</v>
      </c>
      <c r="AL59" s="237">
        <v>0</v>
      </c>
      <c r="AM59" s="237">
        <v>0</v>
      </c>
      <c r="AN59" s="237">
        <v>0</v>
      </c>
      <c r="AO59" s="237">
        <v>1080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4808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22273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262</v>
      </c>
      <c r="B60" s="208"/>
      <c r="C60" s="239">
        <v>0</v>
      </c>
      <c r="D60" s="239">
        <v>0</v>
      </c>
      <c r="E60" s="239">
        <v>0.73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14.41</v>
      </c>
      <c r="M60" s="239">
        <v>0</v>
      </c>
      <c r="N60" s="239">
        <v>0</v>
      </c>
      <c r="O60" s="239">
        <v>0</v>
      </c>
      <c r="P60" s="236">
        <v>0</v>
      </c>
      <c r="Q60" s="236">
        <v>0</v>
      </c>
      <c r="R60" s="236">
        <v>0</v>
      </c>
      <c r="S60" s="240">
        <v>1</v>
      </c>
      <c r="T60" s="240">
        <v>0</v>
      </c>
      <c r="U60" s="241">
        <v>4.54</v>
      </c>
      <c r="V60" s="236">
        <v>0</v>
      </c>
      <c r="W60" s="236">
        <v>7.0000000000000007E-2</v>
      </c>
      <c r="X60" s="236">
        <v>0.61</v>
      </c>
      <c r="Y60" s="236">
        <v>2.04</v>
      </c>
      <c r="Z60" s="236">
        <v>0</v>
      </c>
      <c r="AA60" s="236">
        <v>0</v>
      </c>
      <c r="AB60" s="240">
        <v>0</v>
      </c>
      <c r="AC60" s="236">
        <v>0</v>
      </c>
      <c r="AD60" s="236">
        <v>0</v>
      </c>
      <c r="AE60" s="236">
        <v>3.72</v>
      </c>
      <c r="AF60" s="236">
        <v>0</v>
      </c>
      <c r="AG60" s="236">
        <v>3.78</v>
      </c>
      <c r="AH60" s="236">
        <v>2.86</v>
      </c>
      <c r="AI60" s="236">
        <v>0</v>
      </c>
      <c r="AJ60" s="236">
        <v>11.45</v>
      </c>
      <c r="AK60" s="236">
        <v>0</v>
      </c>
      <c r="AL60" s="236">
        <v>0</v>
      </c>
      <c r="AM60" s="236">
        <v>0</v>
      </c>
      <c r="AN60" s="236">
        <v>0</v>
      </c>
      <c r="AO60" s="236">
        <v>0.43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0</v>
      </c>
      <c r="AW60" s="240">
        <v>0</v>
      </c>
      <c r="AX60" s="240">
        <v>0</v>
      </c>
      <c r="AY60" s="236">
        <v>3.49</v>
      </c>
      <c r="AZ60" s="236">
        <v>0</v>
      </c>
      <c r="BA60" s="240">
        <v>0</v>
      </c>
      <c r="BB60" s="240">
        <v>0.97</v>
      </c>
      <c r="BC60" s="240">
        <v>0</v>
      </c>
      <c r="BD60" s="240">
        <v>0</v>
      </c>
      <c r="BE60" s="236">
        <v>1.9</v>
      </c>
      <c r="BF60" s="240">
        <v>3.71</v>
      </c>
      <c r="BG60" s="240">
        <v>0</v>
      </c>
      <c r="BH60" s="240">
        <v>1.23</v>
      </c>
      <c r="BI60" s="240">
        <v>0</v>
      </c>
      <c r="BJ60" s="240">
        <v>0</v>
      </c>
      <c r="BK60" s="240">
        <v>4.99</v>
      </c>
      <c r="BL60" s="240">
        <v>0</v>
      </c>
      <c r="BM60" s="240">
        <v>0</v>
      </c>
      <c r="BN60" s="240">
        <v>3.94</v>
      </c>
      <c r="BO60" s="240">
        <v>0</v>
      </c>
      <c r="BP60" s="240">
        <v>0</v>
      </c>
      <c r="BQ60" s="240">
        <v>0</v>
      </c>
      <c r="BR60" s="240">
        <v>0</v>
      </c>
      <c r="BS60" s="240">
        <v>0.03</v>
      </c>
      <c r="BT60" s="240">
        <v>0</v>
      </c>
      <c r="BU60" s="240">
        <v>0</v>
      </c>
      <c r="BV60" s="240">
        <v>0.89</v>
      </c>
      <c r="BW60" s="240">
        <v>0</v>
      </c>
      <c r="BX60" s="240">
        <v>0</v>
      </c>
      <c r="BY60" s="240">
        <v>1.05</v>
      </c>
      <c r="BZ60" s="240">
        <v>0</v>
      </c>
      <c r="CA60" s="240">
        <v>0</v>
      </c>
      <c r="CB60" s="240">
        <v>0</v>
      </c>
      <c r="CC60" s="240">
        <v>0</v>
      </c>
      <c r="CD60" s="209" t="s">
        <v>248</v>
      </c>
      <c r="CE60" s="227">
        <v>67.839999999999989</v>
      </c>
    </row>
    <row r="61" spans="1:83" x14ac:dyDescent="0.25">
      <c r="A61" s="31" t="s">
        <v>263</v>
      </c>
      <c r="B61" s="16"/>
      <c r="C61" s="235">
        <v>0</v>
      </c>
      <c r="D61" s="235">
        <v>0</v>
      </c>
      <c r="E61" s="235">
        <v>57728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1143018</v>
      </c>
      <c r="M61" s="235">
        <v>0</v>
      </c>
      <c r="N61" s="235">
        <v>0</v>
      </c>
      <c r="O61" s="235">
        <v>0</v>
      </c>
      <c r="P61" s="237">
        <v>0</v>
      </c>
      <c r="Q61" s="237">
        <v>0</v>
      </c>
      <c r="R61" s="237">
        <v>0</v>
      </c>
      <c r="S61" s="242">
        <v>49118</v>
      </c>
      <c r="T61" s="242">
        <v>0</v>
      </c>
      <c r="U61" s="238">
        <v>306051</v>
      </c>
      <c r="V61" s="237">
        <v>0</v>
      </c>
      <c r="W61" s="237">
        <v>6203</v>
      </c>
      <c r="X61" s="237">
        <v>57766</v>
      </c>
      <c r="Y61" s="237">
        <v>194524</v>
      </c>
      <c r="Z61" s="237">
        <v>0</v>
      </c>
      <c r="AA61" s="237">
        <v>0</v>
      </c>
      <c r="AB61" s="243">
        <v>0</v>
      </c>
      <c r="AC61" s="237">
        <v>0</v>
      </c>
      <c r="AD61" s="237">
        <v>0</v>
      </c>
      <c r="AE61" s="237">
        <v>348966</v>
      </c>
      <c r="AF61" s="237">
        <v>0</v>
      </c>
      <c r="AG61" s="237">
        <v>298258</v>
      </c>
      <c r="AH61" s="237">
        <v>201571</v>
      </c>
      <c r="AI61" s="237">
        <v>0</v>
      </c>
      <c r="AJ61" s="237">
        <v>1007803</v>
      </c>
      <c r="AK61" s="237">
        <v>0</v>
      </c>
      <c r="AL61" s="237">
        <v>0</v>
      </c>
      <c r="AM61" s="237">
        <v>0</v>
      </c>
      <c r="AN61" s="237">
        <v>0</v>
      </c>
      <c r="AO61" s="237">
        <v>34637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0</v>
      </c>
      <c r="AW61" s="242">
        <v>0</v>
      </c>
      <c r="AX61" s="242">
        <v>0</v>
      </c>
      <c r="AY61" s="237">
        <v>153624</v>
      </c>
      <c r="AZ61" s="237">
        <v>0</v>
      </c>
      <c r="BA61" s="242">
        <v>0</v>
      </c>
      <c r="BB61" s="242">
        <v>47190</v>
      </c>
      <c r="BC61" s="242">
        <v>0</v>
      </c>
      <c r="BD61" s="242">
        <v>0</v>
      </c>
      <c r="BE61" s="237">
        <v>126208</v>
      </c>
      <c r="BF61" s="242">
        <v>162632</v>
      </c>
      <c r="BG61" s="242">
        <v>0</v>
      </c>
      <c r="BH61" s="242">
        <v>86027</v>
      </c>
      <c r="BI61" s="242">
        <v>0</v>
      </c>
      <c r="BJ61" s="242">
        <v>0</v>
      </c>
      <c r="BK61" s="242">
        <v>288067</v>
      </c>
      <c r="BL61" s="242">
        <v>0</v>
      </c>
      <c r="BM61" s="242">
        <v>0</v>
      </c>
      <c r="BN61" s="242">
        <v>487805</v>
      </c>
      <c r="BO61" s="242">
        <v>0</v>
      </c>
      <c r="BP61" s="242">
        <v>0</v>
      </c>
      <c r="BQ61" s="242">
        <v>0</v>
      </c>
      <c r="BR61" s="242">
        <v>0</v>
      </c>
      <c r="BS61" s="242">
        <v>8887</v>
      </c>
      <c r="BT61" s="242">
        <v>0</v>
      </c>
      <c r="BU61" s="242">
        <v>0</v>
      </c>
      <c r="BV61" s="242">
        <v>47908</v>
      </c>
      <c r="BW61" s="242">
        <v>0</v>
      </c>
      <c r="BX61" s="242">
        <v>0</v>
      </c>
      <c r="BY61" s="242">
        <v>164032</v>
      </c>
      <c r="BZ61" s="242">
        <v>0</v>
      </c>
      <c r="CA61" s="242">
        <v>0</v>
      </c>
      <c r="CB61" s="242">
        <v>0</v>
      </c>
      <c r="CC61" s="242">
        <v>0</v>
      </c>
      <c r="CD61" s="24" t="s">
        <v>248</v>
      </c>
      <c r="CE61" s="25">
        <v>5278023</v>
      </c>
    </row>
    <row r="62" spans="1:83" x14ac:dyDescent="0.25">
      <c r="A62" s="31" t="s">
        <v>11</v>
      </c>
      <c r="B62" s="16"/>
      <c r="C62" s="25">
        <v>0</v>
      </c>
      <c r="D62" s="25">
        <v>0</v>
      </c>
      <c r="E62" s="25">
        <v>11012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218034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9369</v>
      </c>
      <c r="T62" s="25">
        <v>0</v>
      </c>
      <c r="U62" s="25">
        <v>58380</v>
      </c>
      <c r="V62" s="25">
        <v>0</v>
      </c>
      <c r="W62" s="25">
        <v>1183</v>
      </c>
      <c r="X62" s="25">
        <v>11019</v>
      </c>
      <c r="Y62" s="25">
        <v>37106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66566</v>
      </c>
      <c r="AF62" s="25">
        <v>0</v>
      </c>
      <c r="AG62" s="25">
        <v>56894</v>
      </c>
      <c r="AH62" s="25">
        <v>38450</v>
      </c>
      <c r="AI62" s="25">
        <v>0</v>
      </c>
      <c r="AJ62" s="25">
        <v>192241</v>
      </c>
      <c r="AK62" s="25">
        <v>0</v>
      </c>
      <c r="AL62" s="25">
        <v>0</v>
      </c>
      <c r="AM62" s="25">
        <v>0</v>
      </c>
      <c r="AN62" s="25">
        <v>0</v>
      </c>
      <c r="AO62" s="25">
        <v>6607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29304</v>
      </c>
      <c r="AZ62" s="25">
        <v>0</v>
      </c>
      <c r="BA62" s="25">
        <v>0</v>
      </c>
      <c r="BB62" s="25">
        <v>9002</v>
      </c>
      <c r="BC62" s="25">
        <v>0</v>
      </c>
      <c r="BD62" s="25">
        <v>0</v>
      </c>
      <c r="BE62" s="25">
        <v>24075</v>
      </c>
      <c r="BF62" s="25">
        <v>31022</v>
      </c>
      <c r="BG62" s="25">
        <v>0</v>
      </c>
      <c r="BH62" s="25">
        <v>16410</v>
      </c>
      <c r="BI62" s="25">
        <v>0</v>
      </c>
      <c r="BJ62" s="25">
        <v>0</v>
      </c>
      <c r="BK62" s="25">
        <v>54950</v>
      </c>
      <c r="BL62" s="25">
        <v>0</v>
      </c>
      <c r="BM62" s="25">
        <v>0</v>
      </c>
      <c r="BN62" s="25">
        <v>93050</v>
      </c>
      <c r="BO62" s="25">
        <v>0</v>
      </c>
      <c r="BP62" s="25">
        <v>0</v>
      </c>
      <c r="BQ62" s="25">
        <v>0</v>
      </c>
      <c r="BR62" s="25">
        <v>0</v>
      </c>
      <c r="BS62" s="25">
        <v>1695</v>
      </c>
      <c r="BT62" s="25">
        <v>0</v>
      </c>
      <c r="BU62" s="25">
        <v>0</v>
      </c>
      <c r="BV62" s="25">
        <v>9139</v>
      </c>
      <c r="BW62" s="25">
        <v>0</v>
      </c>
      <c r="BX62" s="25">
        <v>0</v>
      </c>
      <c r="BY62" s="25">
        <v>31290</v>
      </c>
      <c r="BZ62" s="25">
        <v>0</v>
      </c>
      <c r="CA62" s="25">
        <v>0</v>
      </c>
      <c r="CB62" s="25">
        <v>0</v>
      </c>
      <c r="CC62" s="25">
        <v>0</v>
      </c>
      <c r="CD62" s="24" t="s">
        <v>248</v>
      </c>
      <c r="CE62" s="25">
        <v>1006798</v>
      </c>
    </row>
    <row r="63" spans="1:83" x14ac:dyDescent="0.25">
      <c r="A63" s="31" t="s">
        <v>264</v>
      </c>
      <c r="B63" s="16"/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0</v>
      </c>
      <c r="S63" s="242">
        <v>0</v>
      </c>
      <c r="T63" s="242">
        <v>0</v>
      </c>
      <c r="U63" s="238">
        <v>0</v>
      </c>
      <c r="V63" s="237">
        <v>0</v>
      </c>
      <c r="W63" s="237">
        <v>0</v>
      </c>
      <c r="X63" s="237">
        <v>0</v>
      </c>
      <c r="Y63" s="237">
        <v>0</v>
      </c>
      <c r="Z63" s="237">
        <v>0</v>
      </c>
      <c r="AA63" s="237">
        <v>0</v>
      </c>
      <c r="AB63" s="243">
        <v>133184</v>
      </c>
      <c r="AC63" s="237">
        <v>0</v>
      </c>
      <c r="AD63" s="237">
        <v>0</v>
      </c>
      <c r="AE63" s="237">
        <v>0</v>
      </c>
      <c r="AF63" s="237">
        <v>0</v>
      </c>
      <c r="AG63" s="237">
        <v>154800</v>
      </c>
      <c r="AH63" s="237">
        <v>0</v>
      </c>
      <c r="AI63" s="237">
        <v>0</v>
      </c>
      <c r="AJ63" s="237">
        <v>0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0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30483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v>318467</v>
      </c>
    </row>
    <row r="64" spans="1:83" x14ac:dyDescent="0.25">
      <c r="A64" s="31" t="s">
        <v>265</v>
      </c>
      <c r="B64" s="16"/>
      <c r="C64" s="235">
        <v>0</v>
      </c>
      <c r="D64" s="235">
        <v>0</v>
      </c>
      <c r="E64" s="235">
        <v>410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8120</v>
      </c>
      <c r="M64" s="235">
        <v>0</v>
      </c>
      <c r="N64" s="235">
        <v>0</v>
      </c>
      <c r="O64" s="235">
        <v>0</v>
      </c>
      <c r="P64" s="237">
        <v>0</v>
      </c>
      <c r="Q64" s="237">
        <v>0</v>
      </c>
      <c r="R64" s="237">
        <v>0</v>
      </c>
      <c r="S64" s="242">
        <v>63414</v>
      </c>
      <c r="T64" s="242">
        <v>0</v>
      </c>
      <c r="U64" s="238">
        <v>144154</v>
      </c>
      <c r="V64" s="237">
        <v>0</v>
      </c>
      <c r="W64" s="237">
        <v>263</v>
      </c>
      <c r="X64" s="237">
        <v>2449</v>
      </c>
      <c r="Y64" s="237">
        <v>8249</v>
      </c>
      <c r="Z64" s="237">
        <v>0</v>
      </c>
      <c r="AA64" s="237">
        <v>0</v>
      </c>
      <c r="AB64" s="243">
        <v>97772</v>
      </c>
      <c r="AC64" s="237">
        <v>12803</v>
      </c>
      <c r="AD64" s="237">
        <v>0</v>
      </c>
      <c r="AE64" s="237">
        <v>31141</v>
      </c>
      <c r="AF64" s="237">
        <v>0</v>
      </c>
      <c r="AG64" s="237">
        <v>23945</v>
      </c>
      <c r="AH64" s="237">
        <v>3923</v>
      </c>
      <c r="AI64" s="237">
        <v>0</v>
      </c>
      <c r="AJ64" s="237">
        <v>25659</v>
      </c>
      <c r="AK64" s="237">
        <v>0</v>
      </c>
      <c r="AL64" s="237">
        <v>0</v>
      </c>
      <c r="AM64" s="237">
        <v>0</v>
      </c>
      <c r="AN64" s="237">
        <v>0</v>
      </c>
      <c r="AO64" s="237">
        <v>246</v>
      </c>
      <c r="AP64" s="237">
        <v>0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0</v>
      </c>
      <c r="AW64" s="242">
        <v>0</v>
      </c>
      <c r="AX64" s="242">
        <v>0</v>
      </c>
      <c r="AY64" s="237">
        <v>41648</v>
      </c>
      <c r="AZ64" s="237">
        <v>0</v>
      </c>
      <c r="BA64" s="242">
        <v>0</v>
      </c>
      <c r="BB64" s="242">
        <v>0</v>
      </c>
      <c r="BC64" s="242">
        <v>0</v>
      </c>
      <c r="BD64" s="242">
        <v>0</v>
      </c>
      <c r="BE64" s="237">
        <v>19221</v>
      </c>
      <c r="BF64" s="242">
        <v>4361</v>
      </c>
      <c r="BG64" s="242">
        <v>0</v>
      </c>
      <c r="BH64" s="242">
        <v>21001</v>
      </c>
      <c r="BI64" s="242">
        <v>0</v>
      </c>
      <c r="BJ64" s="242">
        <v>611</v>
      </c>
      <c r="BK64" s="242">
        <v>1361</v>
      </c>
      <c r="BL64" s="242">
        <v>0</v>
      </c>
      <c r="BM64" s="242">
        <v>0</v>
      </c>
      <c r="BN64" s="242">
        <v>5888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0</v>
      </c>
      <c r="BX64" s="242">
        <v>0</v>
      </c>
      <c r="BY64" s="242">
        <v>114</v>
      </c>
      <c r="BZ64" s="242">
        <v>0</v>
      </c>
      <c r="CA64" s="242">
        <v>0</v>
      </c>
      <c r="CB64" s="242">
        <v>0</v>
      </c>
      <c r="CC64" s="242">
        <v>0</v>
      </c>
      <c r="CD64" s="24" t="s">
        <v>248</v>
      </c>
      <c r="CE64" s="25">
        <v>516753</v>
      </c>
    </row>
    <row r="65" spans="1:83" x14ac:dyDescent="0.25">
      <c r="A65" s="31" t="s">
        <v>266</v>
      </c>
      <c r="B65" s="16"/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0</v>
      </c>
      <c r="Q65" s="237">
        <v>0</v>
      </c>
      <c r="R65" s="237">
        <v>0</v>
      </c>
      <c r="S65" s="242">
        <v>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0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0</v>
      </c>
      <c r="AI65" s="237">
        <v>0</v>
      </c>
      <c r="AJ65" s="237">
        <v>3034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134409</v>
      </c>
      <c r="BF65" s="242">
        <v>0</v>
      </c>
      <c r="BG65" s="242">
        <v>0</v>
      </c>
      <c r="BH65" s="242">
        <v>13860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61044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212347</v>
      </c>
    </row>
    <row r="66" spans="1:83" x14ac:dyDescent="0.25">
      <c r="A66" s="31" t="s">
        <v>267</v>
      </c>
      <c r="B66" s="16"/>
      <c r="C66" s="235">
        <v>0</v>
      </c>
      <c r="D66" s="235">
        <v>0</v>
      </c>
      <c r="E66" s="235">
        <v>19372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383560</v>
      </c>
      <c r="M66" s="235">
        <v>0</v>
      </c>
      <c r="N66" s="235">
        <v>0</v>
      </c>
      <c r="O66" s="235">
        <v>0</v>
      </c>
      <c r="P66" s="237">
        <v>0</v>
      </c>
      <c r="Q66" s="237">
        <v>0</v>
      </c>
      <c r="R66" s="237">
        <v>0</v>
      </c>
      <c r="S66" s="242">
        <v>0</v>
      </c>
      <c r="T66" s="242">
        <v>0</v>
      </c>
      <c r="U66" s="238">
        <v>168670</v>
      </c>
      <c r="V66" s="237">
        <v>0</v>
      </c>
      <c r="W66" s="237">
        <v>76427</v>
      </c>
      <c r="X66" s="237">
        <v>71542</v>
      </c>
      <c r="Y66" s="237">
        <v>32967</v>
      </c>
      <c r="Z66" s="237">
        <v>0</v>
      </c>
      <c r="AA66" s="237">
        <v>0</v>
      </c>
      <c r="AB66" s="243">
        <v>0</v>
      </c>
      <c r="AC66" s="237">
        <v>0</v>
      </c>
      <c r="AD66" s="237">
        <v>0</v>
      </c>
      <c r="AE66" s="237">
        <v>97760</v>
      </c>
      <c r="AF66" s="237">
        <v>0</v>
      </c>
      <c r="AG66" s="237">
        <v>212793</v>
      </c>
      <c r="AH66" s="237">
        <v>250</v>
      </c>
      <c r="AI66" s="237">
        <v>0</v>
      </c>
      <c r="AJ66" s="237">
        <v>137518</v>
      </c>
      <c r="AK66" s="237">
        <v>0</v>
      </c>
      <c r="AL66" s="237">
        <v>0</v>
      </c>
      <c r="AM66" s="237">
        <v>0</v>
      </c>
      <c r="AN66" s="237">
        <v>0</v>
      </c>
      <c r="AO66" s="237">
        <v>11623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211721</v>
      </c>
      <c r="AW66" s="242">
        <v>0</v>
      </c>
      <c r="AX66" s="242">
        <v>0</v>
      </c>
      <c r="AY66" s="237">
        <v>2510</v>
      </c>
      <c r="AZ66" s="237">
        <v>0</v>
      </c>
      <c r="BA66" s="242">
        <v>23445</v>
      </c>
      <c r="BB66" s="242">
        <v>0</v>
      </c>
      <c r="BC66" s="242">
        <v>0</v>
      </c>
      <c r="BD66" s="242">
        <v>0</v>
      </c>
      <c r="BE66" s="237">
        <v>0</v>
      </c>
      <c r="BF66" s="242">
        <v>558</v>
      </c>
      <c r="BG66" s="242">
        <v>0</v>
      </c>
      <c r="BH66" s="242">
        <v>489246</v>
      </c>
      <c r="BI66" s="242">
        <v>0</v>
      </c>
      <c r="BJ66" s="242">
        <v>98619</v>
      </c>
      <c r="BK66" s="242">
        <v>53789</v>
      </c>
      <c r="BL66" s="242">
        <v>0</v>
      </c>
      <c r="BM66" s="242">
        <v>0</v>
      </c>
      <c r="BN66" s="242">
        <v>292310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0</v>
      </c>
      <c r="BU66" s="242">
        <v>0</v>
      </c>
      <c r="BV66" s="242">
        <v>13193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0</v>
      </c>
      <c r="CD66" s="24" t="s">
        <v>248</v>
      </c>
      <c r="CE66" s="25">
        <v>2397873</v>
      </c>
    </row>
    <row r="67" spans="1:83" x14ac:dyDescent="0.25">
      <c r="A67" s="31" t="s">
        <v>16</v>
      </c>
      <c r="B67" s="16"/>
      <c r="C67" s="25">
        <v>0</v>
      </c>
      <c r="D67" s="25">
        <v>0</v>
      </c>
      <c r="E67" s="25">
        <v>2816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55807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17030</v>
      </c>
      <c r="T67" s="25">
        <v>0</v>
      </c>
      <c r="U67" s="25">
        <v>18421</v>
      </c>
      <c r="V67" s="25">
        <v>0</v>
      </c>
      <c r="W67" s="25">
        <v>1018</v>
      </c>
      <c r="X67" s="25">
        <v>9397</v>
      </c>
      <c r="Y67" s="25">
        <v>31584</v>
      </c>
      <c r="Z67" s="25">
        <v>0</v>
      </c>
      <c r="AA67" s="25">
        <v>0</v>
      </c>
      <c r="AB67" s="25">
        <v>2714</v>
      </c>
      <c r="AC67" s="25">
        <v>0</v>
      </c>
      <c r="AD67" s="25">
        <v>0</v>
      </c>
      <c r="AE67" s="25">
        <v>22798</v>
      </c>
      <c r="AF67" s="25">
        <v>0</v>
      </c>
      <c r="AG67" s="25">
        <v>29481</v>
      </c>
      <c r="AH67" s="25">
        <v>0</v>
      </c>
      <c r="AI67" s="25">
        <v>0</v>
      </c>
      <c r="AJ67" s="25">
        <v>107169</v>
      </c>
      <c r="AK67" s="25">
        <v>0</v>
      </c>
      <c r="AL67" s="25">
        <v>0</v>
      </c>
      <c r="AM67" s="25">
        <v>0</v>
      </c>
      <c r="AN67" s="25">
        <v>0</v>
      </c>
      <c r="AO67" s="25">
        <v>1696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1357</v>
      </c>
      <c r="AW67" s="25">
        <v>0</v>
      </c>
      <c r="AX67" s="25">
        <v>0</v>
      </c>
      <c r="AY67" s="25">
        <v>19032</v>
      </c>
      <c r="AZ67" s="25">
        <v>0</v>
      </c>
      <c r="BA67" s="25">
        <v>1323</v>
      </c>
      <c r="BB67" s="25">
        <v>12824</v>
      </c>
      <c r="BC67" s="25">
        <v>0</v>
      </c>
      <c r="BD67" s="25">
        <v>0</v>
      </c>
      <c r="BE67" s="25">
        <v>199241</v>
      </c>
      <c r="BF67" s="25">
        <v>3901</v>
      </c>
      <c r="BG67" s="25">
        <v>0</v>
      </c>
      <c r="BH67" s="25">
        <v>43186</v>
      </c>
      <c r="BI67" s="25">
        <v>0</v>
      </c>
      <c r="BJ67" s="25">
        <v>3562</v>
      </c>
      <c r="BK67" s="25">
        <v>10279</v>
      </c>
      <c r="BL67" s="25">
        <v>0</v>
      </c>
      <c r="BM67" s="25">
        <v>0</v>
      </c>
      <c r="BN67" s="25">
        <v>125726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31618</v>
      </c>
      <c r="BW67" s="25">
        <v>0</v>
      </c>
      <c r="BX67" s="25">
        <v>0</v>
      </c>
      <c r="BY67" s="25">
        <v>3630</v>
      </c>
      <c r="BZ67" s="25">
        <v>0</v>
      </c>
      <c r="CA67" s="25">
        <v>0</v>
      </c>
      <c r="CB67" s="25">
        <v>0</v>
      </c>
      <c r="CC67" s="25">
        <v>0</v>
      </c>
      <c r="CD67" s="24" t="s">
        <v>248</v>
      </c>
      <c r="CE67" s="25">
        <v>755610</v>
      </c>
    </row>
    <row r="68" spans="1:83" x14ac:dyDescent="0.25">
      <c r="A68" s="31" t="s">
        <v>268</v>
      </c>
      <c r="B68" s="25"/>
      <c r="C68" s="235">
        <v>0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0</v>
      </c>
      <c r="S68" s="242">
        <v>0</v>
      </c>
      <c r="T68" s="242">
        <v>0</v>
      </c>
      <c r="U68" s="238">
        <v>0</v>
      </c>
      <c r="V68" s="237">
        <v>0</v>
      </c>
      <c r="W68" s="237">
        <v>0</v>
      </c>
      <c r="X68" s="237">
        <v>0</v>
      </c>
      <c r="Y68" s="237">
        <v>0</v>
      </c>
      <c r="Z68" s="237">
        <v>0</v>
      </c>
      <c r="AA68" s="237">
        <v>0</v>
      </c>
      <c r="AB68" s="243">
        <v>28212</v>
      </c>
      <c r="AC68" s="237">
        <v>53</v>
      </c>
      <c r="AD68" s="237">
        <v>0</v>
      </c>
      <c r="AE68" s="237">
        <v>0</v>
      </c>
      <c r="AF68" s="237">
        <v>0</v>
      </c>
      <c r="AG68" s="237">
        <v>0</v>
      </c>
      <c r="AH68" s="237">
        <v>0</v>
      </c>
      <c r="AI68" s="237">
        <v>0</v>
      </c>
      <c r="AJ68" s="237">
        <v>0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0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0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27288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v>55553</v>
      </c>
    </row>
    <row r="69" spans="1:83" x14ac:dyDescent="0.25">
      <c r="A69" s="31" t="s">
        <v>269</v>
      </c>
      <c r="B69" s="16"/>
      <c r="C69" s="25">
        <v>0</v>
      </c>
      <c r="D69" s="25">
        <v>0</v>
      </c>
      <c r="E69" s="25">
        <v>157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3110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1225</v>
      </c>
      <c r="V69" s="25">
        <v>0</v>
      </c>
      <c r="W69" s="25">
        <v>0</v>
      </c>
      <c r="X69" s="25">
        <v>1404</v>
      </c>
      <c r="Y69" s="25">
        <v>1071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583</v>
      </c>
      <c r="AF69" s="25">
        <v>0</v>
      </c>
      <c r="AG69" s="25">
        <v>660</v>
      </c>
      <c r="AH69" s="25">
        <v>21073</v>
      </c>
      <c r="AI69" s="25">
        <v>0</v>
      </c>
      <c r="AJ69" s="25">
        <v>6735</v>
      </c>
      <c r="AK69" s="25">
        <v>0</v>
      </c>
      <c r="AL69" s="25">
        <v>0</v>
      </c>
      <c r="AM69" s="25">
        <v>0</v>
      </c>
      <c r="AN69" s="25">
        <v>0</v>
      </c>
      <c r="AO69" s="25">
        <v>94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177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110384</v>
      </c>
      <c r="BF69" s="25">
        <v>95</v>
      </c>
      <c r="BG69" s="25">
        <v>0</v>
      </c>
      <c r="BH69" s="25">
        <v>652</v>
      </c>
      <c r="BI69" s="25">
        <v>0</v>
      </c>
      <c r="BJ69" s="25">
        <v>67</v>
      </c>
      <c r="BK69" s="25">
        <v>6598</v>
      </c>
      <c r="BL69" s="25">
        <v>0</v>
      </c>
      <c r="BM69" s="25">
        <v>0</v>
      </c>
      <c r="BN69" s="25">
        <v>418920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1456</v>
      </c>
      <c r="BZ69" s="25">
        <v>0</v>
      </c>
      <c r="CA69" s="25">
        <v>0</v>
      </c>
      <c r="CB69" s="25">
        <v>0</v>
      </c>
      <c r="CC69" s="25">
        <v>0</v>
      </c>
      <c r="CD69" s="25">
        <v>592861</v>
      </c>
      <c r="CE69" s="25">
        <v>1167322</v>
      </c>
    </row>
    <row r="70" spans="1:83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0</v>
      </c>
    </row>
    <row r="71" spans="1:83" x14ac:dyDescent="0.25">
      <c r="A71" s="26" t="s">
        <v>271</v>
      </c>
      <c r="B71" s="27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v>0</v>
      </c>
    </row>
    <row r="72" spans="1:83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v>0</v>
      </c>
    </row>
    <row r="73" spans="1:83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v>0</v>
      </c>
    </row>
    <row r="74" spans="1:83" x14ac:dyDescent="0.2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0</v>
      </c>
    </row>
    <row r="75" spans="1:83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v>0</v>
      </c>
    </row>
    <row r="76" spans="1:83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0</v>
      </c>
    </row>
    <row r="77" spans="1:83" x14ac:dyDescent="0.25">
      <c r="A77" s="26" t="s">
        <v>277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v>0</v>
      </c>
    </row>
    <row r="78" spans="1:83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v>0</v>
      </c>
    </row>
    <row r="79" spans="1:83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0</v>
      </c>
    </row>
    <row r="80" spans="1:83" x14ac:dyDescent="0.25">
      <c r="A80" s="26" t="s">
        <v>280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v>0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v>0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25">
      <c r="A83" s="26" t="s">
        <v>283</v>
      </c>
      <c r="B83" s="16"/>
      <c r="C83" s="235">
        <v>0</v>
      </c>
      <c r="D83" s="235">
        <v>0</v>
      </c>
      <c r="E83" s="237">
        <v>157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3110</v>
      </c>
      <c r="M83" s="235">
        <v>0</v>
      </c>
      <c r="N83" s="235">
        <v>0</v>
      </c>
      <c r="O83" s="235">
        <v>0</v>
      </c>
      <c r="P83" s="237">
        <v>0</v>
      </c>
      <c r="Q83" s="237">
        <v>0</v>
      </c>
      <c r="R83" s="238">
        <v>0</v>
      </c>
      <c r="S83" s="237">
        <v>0</v>
      </c>
      <c r="T83" s="235">
        <v>0</v>
      </c>
      <c r="U83" s="237">
        <v>1225</v>
      </c>
      <c r="V83" s="237">
        <v>0</v>
      </c>
      <c r="W83" s="235">
        <v>0</v>
      </c>
      <c r="X83" s="237">
        <v>1404</v>
      </c>
      <c r="Y83" s="237">
        <v>1071</v>
      </c>
      <c r="Z83" s="237">
        <v>0</v>
      </c>
      <c r="AA83" s="237">
        <v>0</v>
      </c>
      <c r="AB83" s="237">
        <v>0</v>
      </c>
      <c r="AC83" s="237">
        <v>0</v>
      </c>
      <c r="AD83" s="237">
        <v>0</v>
      </c>
      <c r="AE83" s="237">
        <v>583</v>
      </c>
      <c r="AF83" s="237">
        <v>0</v>
      </c>
      <c r="AG83" s="237">
        <v>660</v>
      </c>
      <c r="AH83" s="237">
        <v>21073</v>
      </c>
      <c r="AI83" s="237">
        <v>0</v>
      </c>
      <c r="AJ83" s="237">
        <v>6735</v>
      </c>
      <c r="AK83" s="237">
        <v>0</v>
      </c>
      <c r="AL83" s="237">
        <v>0</v>
      </c>
      <c r="AM83" s="237">
        <v>0</v>
      </c>
      <c r="AN83" s="237">
        <v>0</v>
      </c>
      <c r="AO83" s="235">
        <v>94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v>177</v>
      </c>
      <c r="AZ83" s="237">
        <v>0</v>
      </c>
      <c r="BA83" s="237">
        <v>0</v>
      </c>
      <c r="BB83" s="237">
        <v>0</v>
      </c>
      <c r="BC83" s="237">
        <v>0</v>
      </c>
      <c r="BD83" s="237">
        <v>0</v>
      </c>
      <c r="BE83" s="237">
        <v>110384</v>
      </c>
      <c r="BF83" s="237">
        <v>95</v>
      </c>
      <c r="BG83" s="237">
        <v>0</v>
      </c>
      <c r="BH83" s="238">
        <v>652</v>
      </c>
      <c r="BI83" s="237">
        <v>0</v>
      </c>
      <c r="BJ83" s="237">
        <v>67</v>
      </c>
      <c r="BK83" s="237">
        <v>6598</v>
      </c>
      <c r="BL83" s="237">
        <v>0</v>
      </c>
      <c r="BM83" s="237">
        <v>0</v>
      </c>
      <c r="BN83" s="237">
        <v>418920</v>
      </c>
      <c r="BO83" s="237">
        <v>0</v>
      </c>
      <c r="BP83" s="237">
        <v>0</v>
      </c>
      <c r="BQ83" s="237">
        <v>0</v>
      </c>
      <c r="BR83" s="237">
        <v>0</v>
      </c>
      <c r="BS83" s="237">
        <v>0</v>
      </c>
      <c r="BT83" s="237">
        <v>0</v>
      </c>
      <c r="BU83" s="237">
        <v>0</v>
      </c>
      <c r="BV83" s="237">
        <v>0</v>
      </c>
      <c r="BW83" s="237">
        <v>0</v>
      </c>
      <c r="BX83" s="237">
        <v>0</v>
      </c>
      <c r="BY83" s="237">
        <v>1456</v>
      </c>
      <c r="BZ83" s="237">
        <v>0</v>
      </c>
      <c r="CA83" s="237">
        <v>0</v>
      </c>
      <c r="CB83" s="237">
        <v>0</v>
      </c>
      <c r="CC83" s="237">
        <v>0</v>
      </c>
      <c r="CD83" s="244">
        <v>592861</v>
      </c>
      <c r="CE83" s="25">
        <v>1167322</v>
      </c>
    </row>
    <row r="84" spans="1:84" x14ac:dyDescent="0.2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578568</v>
      </c>
      <c r="CE84" s="25">
        <v>578568</v>
      </c>
    </row>
    <row r="85" spans="1:84" x14ac:dyDescent="0.25">
      <c r="A85" s="31" t="s">
        <v>285</v>
      </c>
      <c r="B85" s="25"/>
      <c r="C85" s="25">
        <v>0</v>
      </c>
      <c r="D85" s="25">
        <v>0</v>
      </c>
      <c r="E85" s="25">
        <v>91495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1811649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138931</v>
      </c>
      <c r="T85" s="25">
        <v>0</v>
      </c>
      <c r="U85" s="25">
        <v>696901</v>
      </c>
      <c r="V85" s="25">
        <v>0</v>
      </c>
      <c r="W85" s="25">
        <v>85094</v>
      </c>
      <c r="X85" s="25">
        <v>153577</v>
      </c>
      <c r="Y85" s="25">
        <v>305501</v>
      </c>
      <c r="Z85" s="25">
        <v>0</v>
      </c>
      <c r="AA85" s="25">
        <v>0</v>
      </c>
      <c r="AB85" s="25">
        <v>261882</v>
      </c>
      <c r="AC85" s="25">
        <v>12856</v>
      </c>
      <c r="AD85" s="25">
        <v>0</v>
      </c>
      <c r="AE85" s="25">
        <v>567814</v>
      </c>
      <c r="AF85" s="25">
        <v>0</v>
      </c>
      <c r="AG85" s="25">
        <v>776831</v>
      </c>
      <c r="AH85" s="25">
        <v>265267</v>
      </c>
      <c r="AI85" s="25">
        <v>0</v>
      </c>
      <c r="AJ85" s="25">
        <v>1480159</v>
      </c>
      <c r="AK85" s="25">
        <v>0</v>
      </c>
      <c r="AL85" s="25">
        <v>0</v>
      </c>
      <c r="AM85" s="25">
        <v>0</v>
      </c>
      <c r="AN85" s="25">
        <v>0</v>
      </c>
      <c r="AO85" s="25">
        <v>54903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213078</v>
      </c>
      <c r="AW85" s="25">
        <v>0</v>
      </c>
      <c r="AX85" s="25">
        <v>0</v>
      </c>
      <c r="AY85" s="25">
        <v>246295</v>
      </c>
      <c r="AZ85" s="25">
        <v>0</v>
      </c>
      <c r="BA85" s="25">
        <v>24768</v>
      </c>
      <c r="BB85" s="25">
        <v>69016</v>
      </c>
      <c r="BC85" s="25">
        <v>0</v>
      </c>
      <c r="BD85" s="25">
        <v>0</v>
      </c>
      <c r="BE85" s="25">
        <v>613538</v>
      </c>
      <c r="BF85" s="25">
        <v>202569</v>
      </c>
      <c r="BG85" s="25">
        <v>0</v>
      </c>
      <c r="BH85" s="25">
        <v>670382</v>
      </c>
      <c r="BI85" s="25">
        <v>0</v>
      </c>
      <c r="BJ85" s="25">
        <v>102859</v>
      </c>
      <c r="BK85" s="25">
        <v>415044</v>
      </c>
      <c r="BL85" s="25">
        <v>0</v>
      </c>
      <c r="BM85" s="25">
        <v>0</v>
      </c>
      <c r="BN85" s="25">
        <v>1542514</v>
      </c>
      <c r="BO85" s="25">
        <v>0</v>
      </c>
      <c r="BP85" s="25">
        <v>0</v>
      </c>
      <c r="BQ85" s="25">
        <v>0</v>
      </c>
      <c r="BR85" s="25">
        <v>0</v>
      </c>
      <c r="BS85" s="25">
        <v>10582</v>
      </c>
      <c r="BT85" s="25">
        <v>0</v>
      </c>
      <c r="BU85" s="25">
        <v>0</v>
      </c>
      <c r="BV85" s="25">
        <v>101858</v>
      </c>
      <c r="BW85" s="25">
        <v>0</v>
      </c>
      <c r="BX85" s="25">
        <v>0</v>
      </c>
      <c r="BY85" s="25">
        <v>200522</v>
      </c>
      <c r="BZ85" s="25">
        <v>0</v>
      </c>
      <c r="CA85" s="25">
        <v>0</v>
      </c>
      <c r="CB85" s="25">
        <v>0</v>
      </c>
      <c r="CC85" s="25">
        <v>0</v>
      </c>
      <c r="CD85" s="25">
        <v>14293</v>
      </c>
      <c r="CE85" s="25">
        <v>11130178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1230965</v>
      </c>
    </row>
    <row r="87" spans="1:84" x14ac:dyDescent="0.25">
      <c r="A87" s="31" t="s">
        <v>287</v>
      </c>
      <c r="B87" s="16"/>
      <c r="C87" s="235">
        <v>0</v>
      </c>
      <c r="D87" s="235">
        <v>0</v>
      </c>
      <c r="E87" s="235">
        <v>141647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903328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51121</v>
      </c>
      <c r="V87" s="235">
        <v>0</v>
      </c>
      <c r="W87" s="235">
        <v>0</v>
      </c>
      <c r="X87" s="235">
        <v>20564</v>
      </c>
      <c r="Y87" s="235">
        <v>9545</v>
      </c>
      <c r="Z87" s="235">
        <v>0</v>
      </c>
      <c r="AA87" s="235">
        <v>0</v>
      </c>
      <c r="AB87" s="235">
        <v>145521</v>
      </c>
      <c r="AC87" s="235">
        <v>0</v>
      </c>
      <c r="AD87" s="235">
        <v>0</v>
      </c>
      <c r="AE87" s="235">
        <v>85583</v>
      </c>
      <c r="AF87" s="235">
        <v>0</v>
      </c>
      <c r="AG87" s="235">
        <v>3244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1360553</v>
      </c>
    </row>
    <row r="88" spans="1:84" x14ac:dyDescent="0.25">
      <c r="A88" s="31" t="s">
        <v>288</v>
      </c>
      <c r="B88" s="16"/>
      <c r="C88" s="235">
        <v>0</v>
      </c>
      <c r="D88" s="235">
        <v>0</v>
      </c>
      <c r="E88" s="235">
        <v>0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1346801</v>
      </c>
      <c r="V88" s="235">
        <v>0</v>
      </c>
      <c r="W88" s="235">
        <v>153422</v>
      </c>
      <c r="X88" s="235">
        <v>1014451</v>
      </c>
      <c r="Y88" s="235">
        <v>673913</v>
      </c>
      <c r="Z88" s="235">
        <v>0</v>
      </c>
      <c r="AA88" s="235">
        <v>0</v>
      </c>
      <c r="AB88" s="235">
        <v>294606</v>
      </c>
      <c r="AC88" s="235">
        <v>36187</v>
      </c>
      <c r="AD88" s="235">
        <v>0</v>
      </c>
      <c r="AE88" s="235">
        <v>756858</v>
      </c>
      <c r="AF88" s="235">
        <v>0</v>
      </c>
      <c r="AG88" s="235">
        <v>2012835</v>
      </c>
      <c r="AH88" s="235">
        <v>446803</v>
      </c>
      <c r="AI88" s="235">
        <v>0</v>
      </c>
      <c r="AJ88" s="235">
        <v>1135808</v>
      </c>
      <c r="AK88" s="235">
        <v>0</v>
      </c>
      <c r="AL88" s="235">
        <v>0</v>
      </c>
      <c r="AM88" s="235">
        <v>0</v>
      </c>
      <c r="AN88" s="235">
        <v>0</v>
      </c>
      <c r="AO88" s="235">
        <v>121295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915107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8908086</v>
      </c>
    </row>
    <row r="89" spans="1:84" x14ac:dyDescent="0.25">
      <c r="A89" s="21" t="s">
        <v>289</v>
      </c>
      <c r="B89" s="16"/>
      <c r="C89" s="25">
        <v>0</v>
      </c>
      <c r="D89" s="25">
        <v>0</v>
      </c>
      <c r="E89" s="25">
        <v>141647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903328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1397922</v>
      </c>
      <c r="V89" s="25">
        <v>0</v>
      </c>
      <c r="W89" s="25">
        <v>153422</v>
      </c>
      <c r="X89" s="25">
        <v>1035015</v>
      </c>
      <c r="Y89" s="25">
        <v>683458</v>
      </c>
      <c r="Z89" s="25">
        <v>0</v>
      </c>
      <c r="AA89" s="25">
        <v>0</v>
      </c>
      <c r="AB89" s="25">
        <v>440127</v>
      </c>
      <c r="AC89" s="25">
        <v>36187</v>
      </c>
      <c r="AD89" s="25">
        <v>0</v>
      </c>
      <c r="AE89" s="25">
        <v>842441</v>
      </c>
      <c r="AF89" s="25">
        <v>0</v>
      </c>
      <c r="AG89" s="25">
        <v>2016079</v>
      </c>
      <c r="AH89" s="25">
        <v>446803</v>
      </c>
      <c r="AI89" s="25">
        <v>0</v>
      </c>
      <c r="AJ89" s="25">
        <v>1135808</v>
      </c>
      <c r="AK89" s="25">
        <v>0</v>
      </c>
      <c r="AL89" s="25">
        <v>0</v>
      </c>
      <c r="AM89" s="25">
        <v>0</v>
      </c>
      <c r="AN89" s="25">
        <v>0</v>
      </c>
      <c r="AO89" s="25">
        <v>121295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915107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10268639</v>
      </c>
    </row>
    <row r="90" spans="1:84" x14ac:dyDescent="0.25">
      <c r="A90" s="31" t="s">
        <v>290</v>
      </c>
      <c r="B90" s="25"/>
      <c r="C90" s="235">
        <v>0</v>
      </c>
      <c r="D90" s="235">
        <v>0</v>
      </c>
      <c r="E90" s="235">
        <v>83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1645</v>
      </c>
      <c r="M90" s="235">
        <v>0</v>
      </c>
      <c r="N90" s="235">
        <v>0</v>
      </c>
      <c r="O90" s="235">
        <v>0</v>
      </c>
      <c r="P90" s="235">
        <v>0</v>
      </c>
      <c r="Q90" s="235">
        <v>0</v>
      </c>
      <c r="R90" s="235">
        <v>0</v>
      </c>
      <c r="S90" s="235">
        <v>502</v>
      </c>
      <c r="T90" s="235">
        <v>0</v>
      </c>
      <c r="U90" s="235">
        <v>543</v>
      </c>
      <c r="V90" s="235">
        <v>0</v>
      </c>
      <c r="W90" s="235">
        <v>30</v>
      </c>
      <c r="X90" s="235">
        <v>277</v>
      </c>
      <c r="Y90" s="235">
        <v>931</v>
      </c>
      <c r="Z90" s="235">
        <v>0</v>
      </c>
      <c r="AA90" s="235">
        <v>0</v>
      </c>
      <c r="AB90" s="235">
        <v>80</v>
      </c>
      <c r="AC90" s="235">
        <v>0</v>
      </c>
      <c r="AD90" s="235">
        <v>0</v>
      </c>
      <c r="AE90" s="235">
        <v>672</v>
      </c>
      <c r="AF90" s="235">
        <v>0</v>
      </c>
      <c r="AG90" s="235">
        <v>869</v>
      </c>
      <c r="AH90" s="235">
        <v>0</v>
      </c>
      <c r="AI90" s="235">
        <v>0</v>
      </c>
      <c r="AJ90" s="235">
        <v>3159</v>
      </c>
      <c r="AK90" s="235">
        <v>0</v>
      </c>
      <c r="AL90" s="235">
        <v>0</v>
      </c>
      <c r="AM90" s="235">
        <v>0</v>
      </c>
      <c r="AN90" s="235">
        <v>0</v>
      </c>
      <c r="AO90" s="235">
        <v>50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40</v>
      </c>
      <c r="AW90" s="235">
        <v>0</v>
      </c>
      <c r="AX90" s="235">
        <v>0</v>
      </c>
      <c r="AY90" s="235">
        <v>561</v>
      </c>
      <c r="AZ90" s="235">
        <v>0</v>
      </c>
      <c r="BA90" s="235">
        <v>39</v>
      </c>
      <c r="BB90" s="235">
        <v>378</v>
      </c>
      <c r="BC90" s="235">
        <v>0</v>
      </c>
      <c r="BD90" s="235">
        <v>0</v>
      </c>
      <c r="BE90" s="235">
        <v>5873</v>
      </c>
      <c r="BF90" s="235">
        <v>115</v>
      </c>
      <c r="BG90" s="235">
        <v>0</v>
      </c>
      <c r="BH90" s="235">
        <v>1273</v>
      </c>
      <c r="BI90" s="235">
        <v>0</v>
      </c>
      <c r="BJ90" s="235">
        <v>105</v>
      </c>
      <c r="BK90" s="235">
        <v>303</v>
      </c>
      <c r="BL90" s="235">
        <v>0</v>
      </c>
      <c r="BM90" s="235">
        <v>0</v>
      </c>
      <c r="BN90" s="235">
        <v>3706</v>
      </c>
      <c r="BO90" s="235">
        <v>0</v>
      </c>
      <c r="BP90" s="235">
        <v>0</v>
      </c>
      <c r="BQ90" s="235">
        <v>0</v>
      </c>
      <c r="BR90" s="235">
        <v>0</v>
      </c>
      <c r="BS90" s="235">
        <v>0</v>
      </c>
      <c r="BT90" s="235">
        <v>0</v>
      </c>
      <c r="BU90" s="235">
        <v>0</v>
      </c>
      <c r="BV90" s="235">
        <v>932</v>
      </c>
      <c r="BW90" s="235">
        <v>0</v>
      </c>
      <c r="BX90" s="235">
        <v>0</v>
      </c>
      <c r="BY90" s="235">
        <v>107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v>22273</v>
      </c>
      <c r="CF90" s="25">
        <v>0</v>
      </c>
    </row>
    <row r="91" spans="1:84" x14ac:dyDescent="0.25">
      <c r="A91" s="21" t="s">
        <v>291</v>
      </c>
      <c r="B91" s="16"/>
      <c r="C91" s="235">
        <v>0</v>
      </c>
      <c r="D91" s="235">
        <v>0</v>
      </c>
      <c r="E91" s="235">
        <v>222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4395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58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133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v>4808</v>
      </c>
      <c r="CF91" s="25">
        <v>0</v>
      </c>
    </row>
    <row r="92" spans="1:84" x14ac:dyDescent="0.25">
      <c r="A92" s="21" t="s">
        <v>292</v>
      </c>
      <c r="B92" s="16"/>
      <c r="C92" s="235">
        <v>0</v>
      </c>
      <c r="D92" s="235">
        <v>0</v>
      </c>
      <c r="E92" s="235">
        <v>26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510</v>
      </c>
      <c r="M92" s="235">
        <v>0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9</v>
      </c>
      <c r="X92" s="235">
        <v>86</v>
      </c>
      <c r="Y92" s="235">
        <v>289</v>
      </c>
      <c r="Z92" s="235">
        <v>0</v>
      </c>
      <c r="AA92" s="235">
        <v>0</v>
      </c>
      <c r="AB92" s="23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15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0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0</v>
      </c>
      <c r="BI92" s="235">
        <v>0</v>
      </c>
      <c r="BJ92" s="24" t="s">
        <v>248</v>
      </c>
      <c r="BK92" s="235">
        <v>0</v>
      </c>
      <c r="BL92" s="235">
        <v>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v>935</v>
      </c>
      <c r="CF92" s="16"/>
    </row>
    <row r="93" spans="1:84" x14ac:dyDescent="0.25">
      <c r="A93" s="21" t="s">
        <v>293</v>
      </c>
      <c r="B93" s="16"/>
      <c r="C93" s="235">
        <v>0</v>
      </c>
      <c r="D93" s="235">
        <v>0</v>
      </c>
      <c r="E93" s="235">
        <v>508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10049</v>
      </c>
      <c r="M93" s="235">
        <v>0</v>
      </c>
      <c r="N93" s="235">
        <v>0</v>
      </c>
      <c r="O93" s="235">
        <v>0</v>
      </c>
      <c r="P93" s="235">
        <v>0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31</v>
      </c>
      <c r="X93" s="235">
        <v>1296</v>
      </c>
      <c r="Y93" s="235">
        <v>975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954</v>
      </c>
      <c r="AF93" s="235">
        <v>0</v>
      </c>
      <c r="AG93" s="235">
        <v>6749</v>
      </c>
      <c r="AH93" s="235">
        <v>430</v>
      </c>
      <c r="AI93" s="235">
        <v>0</v>
      </c>
      <c r="AJ93" s="235">
        <v>110</v>
      </c>
      <c r="AK93" s="235">
        <v>0</v>
      </c>
      <c r="AL93" s="235">
        <v>0</v>
      </c>
      <c r="AM93" s="235">
        <v>0</v>
      </c>
      <c r="AN93" s="235">
        <v>0</v>
      </c>
      <c r="AO93" s="235">
        <v>304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v>21406</v>
      </c>
      <c r="CF93" s="25">
        <v>0</v>
      </c>
    </row>
    <row r="94" spans="1:84" x14ac:dyDescent="0.25">
      <c r="A94" s="21" t="s">
        <v>294</v>
      </c>
      <c r="B94" s="16"/>
      <c r="C94" s="239">
        <v>0</v>
      </c>
      <c r="D94" s="239">
        <v>0</v>
      </c>
      <c r="E94" s="239">
        <v>0.68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13.49</v>
      </c>
      <c r="M94" s="239">
        <v>0</v>
      </c>
      <c r="N94" s="239">
        <v>0</v>
      </c>
      <c r="O94" s="239">
        <v>0</v>
      </c>
      <c r="P94" s="236">
        <v>0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1.55</v>
      </c>
      <c r="AH94" s="236">
        <v>7.0000000000000007E-2</v>
      </c>
      <c r="AI94" s="236">
        <v>0</v>
      </c>
      <c r="AJ94" s="236">
        <v>2.48</v>
      </c>
      <c r="AK94" s="236">
        <v>0</v>
      </c>
      <c r="AL94" s="236">
        <v>0</v>
      </c>
      <c r="AM94" s="236">
        <v>0</v>
      </c>
      <c r="AN94" s="236">
        <v>0</v>
      </c>
      <c r="AO94" s="236">
        <v>0.42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0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v>18.690000000000001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2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304</v>
      </c>
      <c r="D100" s="246" t="s">
        <v>5</v>
      </c>
      <c r="E100" s="247" t="s">
        <v>5</v>
      </c>
      <c r="F100" s="12"/>
    </row>
    <row r="101" spans="1:6" x14ac:dyDescent="0.25">
      <c r="A101" s="25" t="s">
        <v>306</v>
      </c>
      <c r="B101" s="32" t="s">
        <v>299</v>
      </c>
      <c r="C101" s="249" t="s">
        <v>307</v>
      </c>
      <c r="D101" s="246" t="s">
        <v>5</v>
      </c>
      <c r="E101" s="247" t="s">
        <v>5</v>
      </c>
      <c r="F101" s="12"/>
    </row>
    <row r="102" spans="1:6" x14ac:dyDescent="0.25">
      <c r="A102" s="25" t="s">
        <v>308</v>
      </c>
      <c r="B102" s="32" t="s">
        <v>299</v>
      </c>
      <c r="C102" s="251">
        <v>99169</v>
      </c>
      <c r="D102" s="246" t="s">
        <v>5</v>
      </c>
      <c r="E102" s="247" t="s">
        <v>5</v>
      </c>
      <c r="F102" s="12"/>
    </row>
    <row r="103" spans="1:6" x14ac:dyDescent="0.25">
      <c r="A103" s="25" t="s">
        <v>309</v>
      </c>
      <c r="B103" s="32" t="s">
        <v>299</v>
      </c>
      <c r="C103" s="249" t="s">
        <v>310</v>
      </c>
      <c r="D103" s="246" t="s">
        <v>5</v>
      </c>
      <c r="E103" s="247" t="s">
        <v>5</v>
      </c>
      <c r="F103" s="12"/>
    </row>
    <row r="104" spans="1:6" x14ac:dyDescent="0.25">
      <c r="A104" s="25" t="s">
        <v>311</v>
      </c>
      <c r="B104" s="32" t="s">
        <v>299</v>
      </c>
      <c r="C104" s="252" t="s">
        <v>312</v>
      </c>
      <c r="D104" s="246" t="s">
        <v>5</v>
      </c>
      <c r="E104" s="247" t="s">
        <v>5</v>
      </c>
      <c r="F104" s="12"/>
    </row>
    <row r="105" spans="1:6" x14ac:dyDescent="0.25">
      <c r="A105" s="25" t="s">
        <v>313</v>
      </c>
      <c r="B105" s="32" t="s">
        <v>299</v>
      </c>
      <c r="C105" s="252" t="s">
        <v>314</v>
      </c>
      <c r="D105" s="246" t="s">
        <v>5</v>
      </c>
      <c r="E105" s="247" t="s">
        <v>5</v>
      </c>
      <c r="F105" s="12"/>
    </row>
    <row r="106" spans="1:6" x14ac:dyDescent="0.25">
      <c r="A106" s="25" t="s">
        <v>315</v>
      </c>
      <c r="B106" s="32" t="s">
        <v>299</v>
      </c>
      <c r="C106" s="249" t="s">
        <v>316</v>
      </c>
      <c r="D106" s="246" t="s">
        <v>5</v>
      </c>
      <c r="E106" s="247" t="s">
        <v>5</v>
      </c>
      <c r="F106" s="12"/>
    </row>
    <row r="107" spans="1:6" x14ac:dyDescent="0.25">
      <c r="A107" s="25" t="s">
        <v>317</v>
      </c>
      <c r="B107" s="32" t="s">
        <v>299</v>
      </c>
      <c r="C107" s="253" t="s">
        <v>318</v>
      </c>
      <c r="D107" s="246" t="s">
        <v>5</v>
      </c>
      <c r="E107" s="247" t="s">
        <v>5</v>
      </c>
      <c r="F107" s="12"/>
    </row>
    <row r="108" spans="1:6" x14ac:dyDescent="0.25">
      <c r="A108" s="25" t="s">
        <v>319</v>
      </c>
      <c r="B108" s="32" t="s">
        <v>299</v>
      </c>
      <c r="C108" s="253" t="s">
        <v>320</v>
      </c>
      <c r="D108" s="246" t="s">
        <v>5</v>
      </c>
      <c r="E108" s="247" t="s">
        <v>5</v>
      </c>
      <c r="F108" s="12"/>
    </row>
    <row r="109" spans="1:6" x14ac:dyDescent="0.25">
      <c r="A109" s="33" t="s">
        <v>321</v>
      </c>
      <c r="B109" s="32" t="s">
        <v>299</v>
      </c>
      <c r="C109" s="260" t="s">
        <v>322</v>
      </c>
      <c r="D109" s="246" t="s">
        <v>5</v>
      </c>
      <c r="E109" s="247" t="s">
        <v>5</v>
      </c>
      <c r="F109" s="12"/>
    </row>
    <row r="110" spans="1:6" x14ac:dyDescent="0.25">
      <c r="A110" s="33" t="s">
        <v>323</v>
      </c>
      <c r="B110" s="32" t="s">
        <v>299</v>
      </c>
      <c r="C110" s="260" t="s">
        <v>324</v>
      </c>
      <c r="D110" s="246" t="s">
        <v>5</v>
      </c>
      <c r="E110" s="247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4" t="s">
        <v>326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54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54">
        <v>0</v>
      </c>
      <c r="D114" s="16"/>
      <c r="E114" s="16"/>
    </row>
    <row r="115" spans="1:5" x14ac:dyDescent="0.25">
      <c r="A115" s="16" t="s">
        <v>327</v>
      </c>
      <c r="B115" s="35" t="s">
        <v>299</v>
      </c>
      <c r="C115" s="254">
        <v>1</v>
      </c>
      <c r="D115" s="16"/>
      <c r="E115" s="16"/>
    </row>
    <row r="116" spans="1:5" x14ac:dyDescent="0.25">
      <c r="A116" s="34" t="s">
        <v>328</v>
      </c>
      <c r="B116" s="34"/>
      <c r="C116" s="34"/>
      <c r="D116" s="34"/>
      <c r="E116" s="34"/>
    </row>
    <row r="117" spans="1:5" x14ac:dyDescent="0.25">
      <c r="A117" s="16" t="s">
        <v>329</v>
      </c>
      <c r="B117" s="35" t="s">
        <v>299</v>
      </c>
      <c r="C117" s="254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25">
      <c r="A119" s="34" t="s">
        <v>330</v>
      </c>
      <c r="B119" s="34"/>
      <c r="C119" s="34"/>
      <c r="D119" s="34"/>
      <c r="E119" s="34"/>
    </row>
    <row r="120" spans="1:5" x14ac:dyDescent="0.25">
      <c r="A120" s="16" t="s">
        <v>331</v>
      </c>
      <c r="B120" s="35" t="s">
        <v>299</v>
      </c>
      <c r="C120" s="254">
        <v>0</v>
      </c>
      <c r="D120" s="16"/>
      <c r="E120" s="16"/>
    </row>
    <row r="121" spans="1:5" x14ac:dyDescent="0.25">
      <c r="A121" s="16" t="s">
        <v>332</v>
      </c>
      <c r="B121" s="35" t="s">
        <v>299</v>
      </c>
      <c r="C121" s="254">
        <v>0</v>
      </c>
      <c r="D121" s="16"/>
      <c r="E121" s="16"/>
    </row>
    <row r="122" spans="1:5" x14ac:dyDescent="0.25">
      <c r="A122" s="16" t="s">
        <v>333</v>
      </c>
      <c r="B122" s="35" t="s">
        <v>299</v>
      </c>
      <c r="C122" s="254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334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5" t="s">
        <v>299</v>
      </c>
      <c r="C127" s="256">
        <v>25</v>
      </c>
      <c r="D127" s="257">
        <v>75</v>
      </c>
      <c r="E127" s="16"/>
    </row>
    <row r="128" spans="1:5" x14ac:dyDescent="0.25">
      <c r="A128" s="16" t="s">
        <v>338</v>
      </c>
      <c r="B128" s="35" t="s">
        <v>299</v>
      </c>
      <c r="C128" s="256">
        <v>0</v>
      </c>
      <c r="D128" s="257">
        <v>1485</v>
      </c>
      <c r="E128" s="16"/>
    </row>
    <row r="129" spans="1:5" x14ac:dyDescent="0.25">
      <c r="A129" s="16" t="s">
        <v>339</v>
      </c>
      <c r="B129" s="35" t="s">
        <v>299</v>
      </c>
      <c r="C129" s="254">
        <v>0</v>
      </c>
      <c r="D129" s="257">
        <v>0</v>
      </c>
      <c r="E129" s="16"/>
    </row>
    <row r="130" spans="1:5" x14ac:dyDescent="0.25">
      <c r="A130" s="16" t="s">
        <v>340</v>
      </c>
      <c r="B130" s="35" t="s">
        <v>299</v>
      </c>
      <c r="C130" s="254">
        <v>0</v>
      </c>
      <c r="D130" s="257">
        <v>0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5" t="s">
        <v>299</v>
      </c>
      <c r="C132" s="254">
        <v>0</v>
      </c>
      <c r="D132" s="16"/>
      <c r="E132" s="16"/>
    </row>
    <row r="133" spans="1:5" x14ac:dyDescent="0.25">
      <c r="A133" s="16" t="s">
        <v>343</v>
      </c>
      <c r="B133" s="35" t="s">
        <v>299</v>
      </c>
      <c r="C133" s="254">
        <v>0</v>
      </c>
      <c r="D133" s="16"/>
      <c r="E133" s="16"/>
    </row>
    <row r="134" spans="1:5" x14ac:dyDescent="0.25">
      <c r="A134" s="16" t="s">
        <v>344</v>
      </c>
      <c r="B134" s="35" t="s">
        <v>299</v>
      </c>
      <c r="C134" s="258">
        <v>12</v>
      </c>
      <c r="D134" s="16"/>
      <c r="E134" s="16"/>
    </row>
    <row r="135" spans="1:5" x14ac:dyDescent="0.25">
      <c r="A135" s="16" t="s">
        <v>345</v>
      </c>
      <c r="B135" s="35" t="s">
        <v>299</v>
      </c>
      <c r="C135" s="254">
        <v>0</v>
      </c>
      <c r="D135" s="16"/>
      <c r="E135" s="16"/>
    </row>
    <row r="136" spans="1:5" x14ac:dyDescent="0.25">
      <c r="A136" s="16" t="s">
        <v>346</v>
      </c>
      <c r="B136" s="35" t="s">
        <v>299</v>
      </c>
      <c r="C136" s="254">
        <v>0</v>
      </c>
      <c r="D136" s="16"/>
      <c r="E136" s="16"/>
    </row>
    <row r="137" spans="1:5" x14ac:dyDescent="0.25">
      <c r="A137" s="16" t="s">
        <v>347</v>
      </c>
      <c r="B137" s="35" t="s">
        <v>299</v>
      </c>
      <c r="C137" s="254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56">
        <v>0</v>
      </c>
      <c r="D139" s="16"/>
      <c r="E139" s="16"/>
    </row>
    <row r="140" spans="1:5" x14ac:dyDescent="0.25">
      <c r="A140" s="16" t="s">
        <v>349</v>
      </c>
      <c r="B140" s="35"/>
      <c r="C140" s="254">
        <v>0</v>
      </c>
      <c r="D140" s="16"/>
      <c r="E140" s="16"/>
    </row>
    <row r="141" spans="1:5" x14ac:dyDescent="0.25">
      <c r="A141" s="16" t="s">
        <v>339</v>
      </c>
      <c r="B141" s="35" t="s">
        <v>299</v>
      </c>
      <c r="C141" s="254">
        <v>0</v>
      </c>
      <c r="D141" s="16"/>
      <c r="E141" s="16"/>
    </row>
    <row r="142" spans="1:5" x14ac:dyDescent="0.25">
      <c r="A142" s="16" t="s">
        <v>350</v>
      </c>
      <c r="B142" s="35" t="s">
        <v>299</v>
      </c>
      <c r="C142" s="254">
        <v>0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v>12</v>
      </c>
    </row>
    <row r="144" spans="1:5" x14ac:dyDescent="0.25">
      <c r="A144" s="16" t="s">
        <v>352</v>
      </c>
      <c r="B144" s="35" t="s">
        <v>299</v>
      </c>
      <c r="C144" s="256">
        <v>0</v>
      </c>
      <c r="D144" s="16"/>
      <c r="E144" s="16"/>
    </row>
    <row r="145" spans="1:6" x14ac:dyDescent="0.25">
      <c r="A145" s="16" t="s">
        <v>353</v>
      </c>
      <c r="B145" s="35" t="s">
        <v>299</v>
      </c>
      <c r="C145" s="254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5" t="s">
        <v>299</v>
      </c>
      <c r="C147" s="256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7"/>
      <c r="C152" s="37"/>
      <c r="D152" s="37"/>
      <c r="E152" s="37"/>
    </row>
    <row r="153" spans="1:6" x14ac:dyDescent="0.2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25">
      <c r="A154" s="16" t="s">
        <v>336</v>
      </c>
      <c r="B154" s="316">
        <v>12</v>
      </c>
      <c r="C154" s="317">
        <v>5</v>
      </c>
      <c r="D154" s="316">
        <v>8</v>
      </c>
      <c r="E154" s="25">
        <v>25</v>
      </c>
    </row>
    <row r="155" spans="1:6" x14ac:dyDescent="0.25">
      <c r="A155" s="16" t="s">
        <v>242</v>
      </c>
      <c r="B155" s="316">
        <v>35</v>
      </c>
      <c r="C155" s="317">
        <v>17</v>
      </c>
      <c r="D155" s="316">
        <v>23</v>
      </c>
      <c r="E155" s="25">
        <v>75</v>
      </c>
    </row>
    <row r="156" spans="1:6" x14ac:dyDescent="0.25">
      <c r="A156" s="16" t="s">
        <v>359</v>
      </c>
      <c r="B156" s="316"/>
      <c r="C156" s="316"/>
      <c r="D156" s="316"/>
      <c r="E156" s="25">
        <v>0</v>
      </c>
    </row>
    <row r="157" spans="1:6" x14ac:dyDescent="0.25">
      <c r="A157" s="16" t="s">
        <v>287</v>
      </c>
      <c r="B157" s="316">
        <v>55557</v>
      </c>
      <c r="C157" s="317">
        <v>8465</v>
      </c>
      <c r="D157" s="316">
        <v>12803</v>
      </c>
      <c r="E157" s="25">
        <v>135434</v>
      </c>
      <c r="F157" s="14"/>
    </row>
    <row r="158" spans="1:6" x14ac:dyDescent="0.25">
      <c r="A158" s="16" t="s">
        <v>288</v>
      </c>
      <c r="B158" s="316">
        <v>3474632</v>
      </c>
      <c r="C158" s="317">
        <v>1030239</v>
      </c>
      <c r="D158" s="316">
        <v>4374635</v>
      </c>
      <c r="E158" s="25">
        <v>9380195</v>
      </c>
      <c r="F158" s="14"/>
    </row>
    <row r="159" spans="1:6" x14ac:dyDescent="0.2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25">
      <c r="A160" s="16" t="s">
        <v>336</v>
      </c>
      <c r="B160" s="316">
        <v>17</v>
      </c>
      <c r="C160" s="317">
        <v>7</v>
      </c>
      <c r="D160" s="316">
        <v>7</v>
      </c>
      <c r="E160" s="25">
        <v>0</v>
      </c>
    </row>
    <row r="161" spans="1:5" x14ac:dyDescent="0.25">
      <c r="A161" s="16" t="s">
        <v>242</v>
      </c>
      <c r="B161" s="316">
        <v>496</v>
      </c>
      <c r="C161" s="317">
        <v>435</v>
      </c>
      <c r="D161" s="316">
        <v>554</v>
      </c>
      <c r="E161" s="25">
        <v>1485</v>
      </c>
    </row>
    <row r="162" spans="1:5" x14ac:dyDescent="0.25">
      <c r="A162" s="16" t="s">
        <v>359</v>
      </c>
      <c r="B162" s="316"/>
      <c r="C162" s="317"/>
      <c r="D162" s="316"/>
      <c r="E162" s="25">
        <v>0</v>
      </c>
    </row>
    <row r="163" spans="1:5" x14ac:dyDescent="0.25">
      <c r="A163" s="16" t="s">
        <v>287</v>
      </c>
      <c r="B163" s="316">
        <v>787329</v>
      </c>
      <c r="C163" s="317">
        <v>216599</v>
      </c>
      <c r="D163" s="316">
        <v>308381</v>
      </c>
      <c r="E163" s="25">
        <v>1225120</v>
      </c>
    </row>
    <row r="164" spans="1:5" x14ac:dyDescent="0.25">
      <c r="A164" s="16" t="s">
        <v>288</v>
      </c>
      <c r="B164" s="316"/>
      <c r="C164" s="317"/>
      <c r="D164" s="316"/>
      <c r="E164" s="25">
        <v>0</v>
      </c>
    </row>
    <row r="165" spans="1:5" x14ac:dyDescent="0.2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25">
      <c r="A166" s="16" t="s">
        <v>336</v>
      </c>
      <c r="B166" s="257">
        <v>0</v>
      </c>
      <c r="C166" s="257">
        <v>0</v>
      </c>
      <c r="D166" s="257">
        <v>0</v>
      </c>
      <c r="E166" s="25">
        <v>0</v>
      </c>
    </row>
    <row r="167" spans="1:5" x14ac:dyDescent="0.25">
      <c r="A167" s="16" t="s">
        <v>242</v>
      </c>
      <c r="B167" s="257">
        <v>0</v>
      </c>
      <c r="C167" s="257">
        <v>0</v>
      </c>
      <c r="D167" s="257">
        <v>0</v>
      </c>
      <c r="E167" s="25">
        <v>0</v>
      </c>
    </row>
    <row r="168" spans="1:5" x14ac:dyDescent="0.25">
      <c r="A168" s="16" t="s">
        <v>359</v>
      </c>
      <c r="B168" s="257">
        <v>0</v>
      </c>
      <c r="C168" s="257">
        <v>0</v>
      </c>
      <c r="D168" s="257">
        <v>0</v>
      </c>
      <c r="E168" s="25">
        <v>0</v>
      </c>
    </row>
    <row r="169" spans="1:5" x14ac:dyDescent="0.25">
      <c r="A169" s="16" t="s">
        <v>287</v>
      </c>
      <c r="B169" s="257">
        <v>0</v>
      </c>
      <c r="C169" s="257">
        <v>0</v>
      </c>
      <c r="D169" s="257">
        <v>0</v>
      </c>
      <c r="E169" s="25">
        <v>0</v>
      </c>
    </row>
    <row r="170" spans="1:5" x14ac:dyDescent="0.25">
      <c r="A170" s="16" t="s">
        <v>288</v>
      </c>
      <c r="B170" s="257">
        <v>0</v>
      </c>
      <c r="C170" s="257">
        <v>0</v>
      </c>
      <c r="D170" s="257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25">
      <c r="A173" s="20" t="s">
        <v>365</v>
      </c>
      <c r="B173" s="234">
        <v>648806</v>
      </c>
      <c r="C173" s="234">
        <v>598031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366</v>
      </c>
      <c r="B179" s="30"/>
      <c r="C179" s="30"/>
      <c r="D179" s="30"/>
      <c r="E179" s="30"/>
    </row>
    <row r="180" spans="1:5" x14ac:dyDescent="0.25">
      <c r="A180" s="34" t="s">
        <v>367</v>
      </c>
      <c r="B180" s="34"/>
      <c r="C180" s="34"/>
      <c r="D180" s="34"/>
      <c r="E180" s="34"/>
    </row>
    <row r="181" spans="1:5" x14ac:dyDescent="0.25">
      <c r="A181" s="16" t="s">
        <v>368</v>
      </c>
      <c r="B181" s="35" t="s">
        <v>299</v>
      </c>
      <c r="C181" s="254">
        <v>393659</v>
      </c>
      <c r="D181" s="16"/>
      <c r="E181" s="16"/>
    </row>
    <row r="182" spans="1:5" x14ac:dyDescent="0.25">
      <c r="A182" s="16" t="s">
        <v>369</v>
      </c>
      <c r="B182" s="35" t="s">
        <v>299</v>
      </c>
      <c r="C182" s="254">
        <v>-26261</v>
      </c>
      <c r="D182" s="16"/>
      <c r="E182" s="16"/>
    </row>
    <row r="183" spans="1:5" x14ac:dyDescent="0.25">
      <c r="A183" s="20" t="s">
        <v>370</v>
      </c>
      <c r="B183" s="35" t="s">
        <v>299</v>
      </c>
      <c r="C183" s="254">
        <v>15731</v>
      </c>
      <c r="D183" s="16"/>
      <c r="E183" s="16"/>
    </row>
    <row r="184" spans="1:5" x14ac:dyDescent="0.25">
      <c r="A184" s="16" t="s">
        <v>371</v>
      </c>
      <c r="B184" s="35" t="s">
        <v>299</v>
      </c>
      <c r="C184" s="254">
        <v>476834</v>
      </c>
      <c r="D184" s="16"/>
      <c r="E184" s="16"/>
    </row>
    <row r="185" spans="1:5" x14ac:dyDescent="0.25">
      <c r="A185" s="16" t="s">
        <v>372</v>
      </c>
      <c r="B185" s="35" t="s">
        <v>299</v>
      </c>
      <c r="C185" s="254">
        <v>6433</v>
      </c>
      <c r="D185" s="16"/>
      <c r="E185" s="16"/>
    </row>
    <row r="186" spans="1:5" x14ac:dyDescent="0.25">
      <c r="A186" s="16" t="s">
        <v>373</v>
      </c>
      <c r="B186" s="35" t="s">
        <v>299</v>
      </c>
      <c r="C186" s="254">
        <v>107538</v>
      </c>
      <c r="D186" s="16"/>
      <c r="E186" s="16"/>
    </row>
    <row r="187" spans="1:5" x14ac:dyDescent="0.25">
      <c r="A187" s="16" t="s">
        <v>374</v>
      </c>
      <c r="B187" s="35" t="s">
        <v>299</v>
      </c>
      <c r="C187" s="254">
        <v>32863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54">
        <v>0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1006797</v>
      </c>
      <c r="E189" s="16"/>
    </row>
    <row r="190" spans="1:5" x14ac:dyDescent="0.25">
      <c r="A190" s="34" t="s">
        <v>375</v>
      </c>
      <c r="B190" s="34"/>
      <c r="C190" s="34"/>
      <c r="D190" s="34"/>
      <c r="E190" s="34"/>
    </row>
    <row r="191" spans="1:5" x14ac:dyDescent="0.25">
      <c r="A191" s="16" t="s">
        <v>376</v>
      </c>
      <c r="B191" s="35" t="s">
        <v>299</v>
      </c>
      <c r="C191" s="254">
        <v>27288</v>
      </c>
      <c r="D191" s="16"/>
      <c r="E191" s="16"/>
    </row>
    <row r="192" spans="1:5" x14ac:dyDescent="0.25">
      <c r="A192" s="16" t="s">
        <v>377</v>
      </c>
      <c r="B192" s="35" t="s">
        <v>299</v>
      </c>
      <c r="C192" s="254">
        <v>28265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55553</v>
      </c>
      <c r="E193" s="16"/>
    </row>
    <row r="194" spans="1:5" x14ac:dyDescent="0.25">
      <c r="A194" s="34" t="s">
        <v>378</v>
      </c>
      <c r="B194" s="34"/>
      <c r="C194" s="34"/>
      <c r="D194" s="34"/>
      <c r="E194" s="34"/>
    </row>
    <row r="195" spans="1:5" x14ac:dyDescent="0.25">
      <c r="A195" s="16" t="s">
        <v>379</v>
      </c>
      <c r="B195" s="35" t="s">
        <v>299</v>
      </c>
      <c r="C195" s="254">
        <v>139997</v>
      </c>
      <c r="D195" s="16"/>
      <c r="E195" s="16"/>
    </row>
    <row r="196" spans="1:5" x14ac:dyDescent="0.25">
      <c r="A196" s="16" t="s">
        <v>380</v>
      </c>
      <c r="B196" s="35" t="s">
        <v>299</v>
      </c>
      <c r="C196" s="254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139997</v>
      </c>
      <c r="E197" s="16"/>
    </row>
    <row r="198" spans="1:5" x14ac:dyDescent="0.25">
      <c r="A198" s="34" t="s">
        <v>381</v>
      </c>
      <c r="B198" s="34"/>
      <c r="C198" s="34"/>
      <c r="D198" s="34"/>
      <c r="E198" s="34"/>
    </row>
    <row r="199" spans="1:5" x14ac:dyDescent="0.25">
      <c r="A199" s="16" t="s">
        <v>382</v>
      </c>
      <c r="B199" s="35" t="s">
        <v>299</v>
      </c>
      <c r="C199" s="254">
        <v>2494</v>
      </c>
      <c r="D199" s="16"/>
      <c r="E199" s="16"/>
    </row>
    <row r="200" spans="1:5" x14ac:dyDescent="0.25">
      <c r="A200" s="16" t="s">
        <v>383</v>
      </c>
      <c r="B200" s="35" t="s">
        <v>299</v>
      </c>
      <c r="C200" s="254">
        <v>88631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91125</v>
      </c>
      <c r="E202" s="16"/>
    </row>
    <row r="203" spans="1:5" x14ac:dyDescent="0.25">
      <c r="A203" s="34" t="s">
        <v>384</v>
      </c>
      <c r="B203" s="34"/>
      <c r="C203" s="34"/>
      <c r="D203" s="34"/>
      <c r="E203" s="34"/>
    </row>
    <row r="204" spans="1:5" x14ac:dyDescent="0.25">
      <c r="A204" s="16" t="s">
        <v>385</v>
      </c>
      <c r="B204" s="35" t="s">
        <v>299</v>
      </c>
      <c r="C204" s="254">
        <v>361739</v>
      </c>
      <c r="D204" s="16"/>
      <c r="E204" s="16"/>
    </row>
    <row r="205" spans="1:5" x14ac:dyDescent="0.25">
      <c r="A205" s="16" t="s">
        <v>386</v>
      </c>
      <c r="B205" s="35" t="s">
        <v>299</v>
      </c>
      <c r="C205" s="254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361739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7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54">
        <v>16698</v>
      </c>
      <c r="C211" s="254">
        <v>0</v>
      </c>
      <c r="D211" s="257">
        <v>0</v>
      </c>
      <c r="E211" s="25">
        <v>16698</v>
      </c>
    </row>
    <row r="212" spans="1:5" x14ac:dyDescent="0.25">
      <c r="A212" s="16" t="s">
        <v>394</v>
      </c>
      <c r="B212" s="254">
        <v>244149</v>
      </c>
      <c r="C212" s="254">
        <v>0</v>
      </c>
      <c r="D212" s="257">
        <v>0</v>
      </c>
      <c r="E212" s="25">
        <v>244149</v>
      </c>
    </row>
    <row r="213" spans="1:5" x14ac:dyDescent="0.25">
      <c r="A213" s="16" t="s">
        <v>395</v>
      </c>
      <c r="B213" s="254">
        <v>10560026</v>
      </c>
      <c r="C213" s="254">
        <v>0</v>
      </c>
      <c r="D213" s="257">
        <v>0</v>
      </c>
      <c r="E213" s="25">
        <v>10560026</v>
      </c>
    </row>
    <row r="214" spans="1:5" x14ac:dyDescent="0.25">
      <c r="A214" s="16" t="s">
        <v>396</v>
      </c>
      <c r="B214" s="254">
        <v>0</v>
      </c>
      <c r="C214" s="254">
        <v>0</v>
      </c>
      <c r="D214" s="257">
        <v>0</v>
      </c>
      <c r="E214" s="25">
        <v>0</v>
      </c>
    </row>
    <row r="215" spans="1:5" x14ac:dyDescent="0.25">
      <c r="A215" s="16" t="s">
        <v>397</v>
      </c>
      <c r="B215" s="254">
        <v>1770045</v>
      </c>
      <c r="C215" s="254">
        <v>10723</v>
      </c>
      <c r="D215" s="257">
        <v>0</v>
      </c>
      <c r="E215" s="25">
        <v>1780768</v>
      </c>
    </row>
    <row r="216" spans="1:5" x14ac:dyDescent="0.25">
      <c r="A216" s="16" t="s">
        <v>398</v>
      </c>
      <c r="B216" s="254">
        <v>4183902</v>
      </c>
      <c r="C216" s="254">
        <v>136213</v>
      </c>
      <c r="D216" s="257">
        <v>68325</v>
      </c>
      <c r="E216" s="25">
        <v>4251790</v>
      </c>
    </row>
    <row r="217" spans="1:5" x14ac:dyDescent="0.25">
      <c r="A217" s="16" t="s">
        <v>399</v>
      </c>
      <c r="B217" s="254">
        <v>0</v>
      </c>
      <c r="C217" s="254">
        <v>0</v>
      </c>
      <c r="D217" s="257">
        <v>0</v>
      </c>
      <c r="E217" s="25">
        <v>0</v>
      </c>
    </row>
    <row r="218" spans="1:5" x14ac:dyDescent="0.25">
      <c r="A218" s="16" t="s">
        <v>400</v>
      </c>
      <c r="B218" s="254">
        <v>0</v>
      </c>
      <c r="C218" s="254">
        <v>0</v>
      </c>
      <c r="D218" s="257">
        <v>0</v>
      </c>
      <c r="E218" s="25">
        <v>0</v>
      </c>
    </row>
    <row r="219" spans="1:5" x14ac:dyDescent="0.25">
      <c r="A219" s="16" t="s">
        <v>401</v>
      </c>
      <c r="B219" s="254">
        <v>0</v>
      </c>
      <c r="C219" s="254">
        <v>106840</v>
      </c>
      <c r="D219" s="257">
        <v>0</v>
      </c>
      <c r="E219" s="25">
        <v>106840</v>
      </c>
    </row>
    <row r="220" spans="1:5" x14ac:dyDescent="0.25">
      <c r="A220" s="16" t="s">
        <v>230</v>
      </c>
      <c r="B220" s="25">
        <v>16774820</v>
      </c>
      <c r="C220" s="225">
        <v>253776</v>
      </c>
      <c r="D220" s="25">
        <v>68325</v>
      </c>
      <c r="E220" s="25">
        <v>16960271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402</v>
      </c>
      <c r="B222" s="37"/>
      <c r="C222" s="37"/>
      <c r="D222" s="37"/>
      <c r="E222" s="37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2"/>
      <c r="C224" s="41"/>
      <c r="D224" s="42"/>
      <c r="E224" s="16"/>
    </row>
    <row r="225" spans="1:6" x14ac:dyDescent="0.25">
      <c r="A225" s="16" t="s">
        <v>394</v>
      </c>
      <c r="B225" s="254">
        <v>106010</v>
      </c>
      <c r="C225" s="254">
        <v>20969</v>
      </c>
      <c r="D225" s="257">
        <v>0</v>
      </c>
      <c r="E225" s="25">
        <v>126979</v>
      </c>
    </row>
    <row r="226" spans="1:6" x14ac:dyDescent="0.25">
      <c r="A226" s="16" t="s">
        <v>395</v>
      </c>
      <c r="B226" s="254">
        <v>2744311</v>
      </c>
      <c r="C226" s="254">
        <v>509444</v>
      </c>
      <c r="D226" s="257">
        <v>0</v>
      </c>
      <c r="E226" s="25">
        <v>3253755</v>
      </c>
    </row>
    <row r="227" spans="1:6" x14ac:dyDescent="0.25">
      <c r="A227" s="16" t="s">
        <v>396</v>
      </c>
      <c r="B227" s="254">
        <v>0</v>
      </c>
      <c r="C227" s="254">
        <v>0</v>
      </c>
      <c r="D227" s="257">
        <v>0</v>
      </c>
      <c r="E227" s="25">
        <v>0</v>
      </c>
    </row>
    <row r="228" spans="1:6" x14ac:dyDescent="0.25">
      <c r="A228" s="16" t="s">
        <v>397</v>
      </c>
      <c r="B228" s="254">
        <v>528311</v>
      </c>
      <c r="C228" s="254">
        <v>111420</v>
      </c>
      <c r="D228" s="257">
        <v>0</v>
      </c>
      <c r="E228" s="25">
        <v>639731</v>
      </c>
    </row>
    <row r="229" spans="1:6" x14ac:dyDescent="0.25">
      <c r="A229" s="16" t="s">
        <v>398</v>
      </c>
      <c r="B229" s="254">
        <v>3828410</v>
      </c>
      <c r="C229" s="254">
        <v>113777</v>
      </c>
      <c r="D229" s="257">
        <v>68325</v>
      </c>
      <c r="E229" s="25">
        <v>3873862</v>
      </c>
    </row>
    <row r="230" spans="1:6" x14ac:dyDescent="0.25">
      <c r="A230" s="16" t="s">
        <v>399</v>
      </c>
      <c r="B230" s="254">
        <v>0</v>
      </c>
      <c r="C230" s="254">
        <v>0</v>
      </c>
      <c r="D230" s="257">
        <v>0</v>
      </c>
      <c r="E230" s="25">
        <v>0</v>
      </c>
    </row>
    <row r="231" spans="1:6" x14ac:dyDescent="0.25">
      <c r="A231" s="16" t="s">
        <v>400</v>
      </c>
      <c r="B231" s="254">
        <v>0</v>
      </c>
      <c r="C231" s="254">
        <v>0</v>
      </c>
      <c r="D231" s="257">
        <v>0</v>
      </c>
      <c r="E231" s="25">
        <v>0</v>
      </c>
    </row>
    <row r="232" spans="1:6" x14ac:dyDescent="0.25">
      <c r="A232" s="16" t="s">
        <v>401</v>
      </c>
      <c r="B232" s="254">
        <v>0</v>
      </c>
      <c r="C232" s="254">
        <v>0</v>
      </c>
      <c r="D232" s="257">
        <v>0</v>
      </c>
      <c r="E232" s="25">
        <v>0</v>
      </c>
    </row>
    <row r="233" spans="1:6" x14ac:dyDescent="0.25">
      <c r="A233" s="16" t="s">
        <v>230</v>
      </c>
      <c r="B233" s="25">
        <v>7207042</v>
      </c>
      <c r="C233" s="225">
        <v>755610</v>
      </c>
      <c r="D233" s="25">
        <v>68325</v>
      </c>
      <c r="E233" s="25">
        <v>7894327</v>
      </c>
    </row>
    <row r="234" spans="1:6" x14ac:dyDescent="0.25">
      <c r="A234" s="16"/>
      <c r="B234" s="16"/>
      <c r="C234" s="22"/>
      <c r="D234" s="16"/>
      <c r="E234" s="16"/>
      <c r="F234" s="11">
        <v>9065944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18" t="s">
        <v>404</v>
      </c>
      <c r="C236" s="318"/>
      <c r="D236" s="30"/>
      <c r="E236" s="30"/>
    </row>
    <row r="237" spans="1:6" x14ac:dyDescent="0.25">
      <c r="A237" s="43" t="s">
        <v>404</v>
      </c>
      <c r="B237" s="30"/>
      <c r="C237" s="254">
        <v>61863</v>
      </c>
      <c r="D237" s="32">
        <v>61863</v>
      </c>
      <c r="E237" s="30"/>
    </row>
    <row r="238" spans="1:6" x14ac:dyDescent="0.25">
      <c r="A238" s="34" t="s">
        <v>405</v>
      </c>
      <c r="B238" s="34"/>
      <c r="C238" s="34"/>
      <c r="D238" s="34"/>
      <c r="E238" s="34"/>
    </row>
    <row r="239" spans="1:6" x14ac:dyDescent="0.25">
      <c r="A239" s="16" t="s">
        <v>406</v>
      </c>
      <c r="B239" s="35" t="s">
        <v>299</v>
      </c>
      <c r="C239" s="254">
        <v>-2993230</v>
      </c>
      <c r="D239" s="16"/>
      <c r="E239" s="16"/>
    </row>
    <row r="240" spans="1:6" x14ac:dyDescent="0.25">
      <c r="A240" s="16" t="s">
        <v>407</v>
      </c>
      <c r="B240" s="35" t="s">
        <v>299</v>
      </c>
      <c r="C240" s="254">
        <v>323391</v>
      </c>
      <c r="D240" s="16"/>
      <c r="E240" s="16"/>
    </row>
    <row r="241" spans="1:5" x14ac:dyDescent="0.25">
      <c r="A241" s="16" t="s">
        <v>408</v>
      </c>
      <c r="B241" s="35" t="s">
        <v>299</v>
      </c>
      <c r="C241" s="254">
        <v>0</v>
      </c>
      <c r="D241" s="16"/>
      <c r="E241" s="16"/>
    </row>
    <row r="242" spans="1:5" x14ac:dyDescent="0.25">
      <c r="A242" s="16" t="s">
        <v>409</v>
      </c>
      <c r="B242" s="35" t="s">
        <v>299</v>
      </c>
      <c r="C242" s="254">
        <v>0</v>
      </c>
      <c r="D242" s="16"/>
      <c r="E242" s="16"/>
    </row>
    <row r="243" spans="1:5" x14ac:dyDescent="0.25">
      <c r="A243" s="16" t="s">
        <v>410</v>
      </c>
      <c r="B243" s="35" t="s">
        <v>299</v>
      </c>
      <c r="C243" s="254">
        <v>0</v>
      </c>
      <c r="D243" s="16"/>
      <c r="E243" s="16"/>
    </row>
    <row r="244" spans="1:5" x14ac:dyDescent="0.25">
      <c r="A244" s="16" t="s">
        <v>411</v>
      </c>
      <c r="B244" s="35" t="s">
        <v>299</v>
      </c>
      <c r="C244" s="254">
        <v>1390267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v>-1279572</v>
      </c>
      <c r="E245" s="16"/>
    </row>
    <row r="246" spans="1:5" x14ac:dyDescent="0.25">
      <c r="A246" s="34" t="s">
        <v>413</v>
      </c>
      <c r="B246" s="34"/>
      <c r="C246" s="34"/>
      <c r="D246" s="34"/>
      <c r="E246" s="34"/>
    </row>
    <row r="247" spans="1:5" x14ac:dyDescent="0.25">
      <c r="A247" s="21" t="s">
        <v>414</v>
      </c>
      <c r="B247" s="35" t="s">
        <v>299</v>
      </c>
      <c r="C247" s="256">
        <v>246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415</v>
      </c>
      <c r="B249" s="35" t="s">
        <v>299</v>
      </c>
      <c r="C249" s="254">
        <v>0</v>
      </c>
      <c r="D249" s="16"/>
      <c r="E249" s="16"/>
    </row>
    <row r="250" spans="1:5" x14ac:dyDescent="0.25">
      <c r="A250" s="21" t="s">
        <v>416</v>
      </c>
      <c r="B250" s="35" t="s">
        <v>299</v>
      </c>
      <c r="C250" s="254">
        <v>317703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v>317703</v>
      </c>
      <c r="E252" s="16"/>
    </row>
    <row r="253" spans="1:5" x14ac:dyDescent="0.25">
      <c r="A253" s="34" t="s">
        <v>418</v>
      </c>
      <c r="B253" s="34"/>
      <c r="C253" s="34"/>
      <c r="D253" s="34"/>
      <c r="E253" s="34"/>
    </row>
    <row r="254" spans="1:5" x14ac:dyDescent="0.25">
      <c r="A254" s="16" t="s">
        <v>419</v>
      </c>
      <c r="B254" s="35" t="s">
        <v>299</v>
      </c>
      <c r="C254" s="254">
        <v>664893</v>
      </c>
      <c r="D254" s="16"/>
      <c r="E254" s="16"/>
    </row>
    <row r="255" spans="1:5" x14ac:dyDescent="0.25">
      <c r="A255" s="16" t="s">
        <v>418</v>
      </c>
      <c r="B255" s="35" t="s">
        <v>299</v>
      </c>
      <c r="C255" s="254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v>664893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v>-235113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4" t="s">
        <v>423</v>
      </c>
      <c r="B265" s="34"/>
      <c r="C265" s="34"/>
      <c r="D265" s="34"/>
      <c r="E265" s="34"/>
    </row>
    <row r="266" spans="1:5" x14ac:dyDescent="0.25">
      <c r="A266" s="16" t="s">
        <v>424</v>
      </c>
      <c r="B266" s="35" t="s">
        <v>299</v>
      </c>
      <c r="C266" s="254">
        <v>6159147</v>
      </c>
      <c r="D266" s="16"/>
      <c r="E266" s="16"/>
    </row>
    <row r="267" spans="1:5" x14ac:dyDescent="0.25">
      <c r="A267" s="16" t="s">
        <v>425</v>
      </c>
      <c r="B267" s="35" t="s">
        <v>299</v>
      </c>
      <c r="C267" s="254">
        <v>0</v>
      </c>
      <c r="D267" s="16"/>
      <c r="E267" s="16"/>
    </row>
    <row r="268" spans="1:5" x14ac:dyDescent="0.25">
      <c r="A268" s="16" t="s">
        <v>426</v>
      </c>
      <c r="B268" s="35" t="s">
        <v>299</v>
      </c>
      <c r="C268" s="254">
        <v>5162793</v>
      </c>
      <c r="D268" s="16"/>
      <c r="E268" s="16"/>
    </row>
    <row r="269" spans="1:5" x14ac:dyDescent="0.25">
      <c r="A269" s="16" t="s">
        <v>427</v>
      </c>
      <c r="B269" s="35" t="s">
        <v>299</v>
      </c>
      <c r="C269" s="254">
        <v>-22000</v>
      </c>
      <c r="D269" s="16"/>
      <c r="E269" s="16"/>
    </row>
    <row r="270" spans="1:5" x14ac:dyDescent="0.25">
      <c r="A270" s="16" t="s">
        <v>428</v>
      </c>
      <c r="B270" s="35" t="s">
        <v>299</v>
      </c>
      <c r="C270" s="254">
        <v>0</v>
      </c>
      <c r="D270" s="16"/>
      <c r="E270" s="16"/>
    </row>
    <row r="271" spans="1:5" x14ac:dyDescent="0.25">
      <c r="A271" s="16" t="s">
        <v>429</v>
      </c>
      <c r="B271" s="35" t="s">
        <v>299</v>
      </c>
      <c r="C271" s="254">
        <v>54084</v>
      </c>
      <c r="D271" s="16"/>
      <c r="E271" s="16"/>
    </row>
    <row r="272" spans="1:5" x14ac:dyDescent="0.25">
      <c r="A272" s="16" t="s">
        <v>430</v>
      </c>
      <c r="B272" s="35" t="s">
        <v>299</v>
      </c>
      <c r="C272" s="254">
        <v>0</v>
      </c>
      <c r="D272" s="16"/>
      <c r="E272" s="16"/>
    </row>
    <row r="273" spans="1:5" x14ac:dyDescent="0.25">
      <c r="A273" s="16" t="s">
        <v>431</v>
      </c>
      <c r="B273" s="35" t="s">
        <v>299</v>
      </c>
      <c r="C273" s="254">
        <v>217256</v>
      </c>
      <c r="D273" s="16"/>
      <c r="E273" s="16"/>
    </row>
    <row r="274" spans="1:5" x14ac:dyDescent="0.25">
      <c r="A274" s="16" t="s">
        <v>432</v>
      </c>
      <c r="B274" s="35" t="s">
        <v>299</v>
      </c>
      <c r="C274" s="254">
        <v>26345</v>
      </c>
      <c r="D274" s="16"/>
      <c r="E274" s="16"/>
    </row>
    <row r="275" spans="1:5" x14ac:dyDescent="0.25">
      <c r="A275" s="16" t="s">
        <v>433</v>
      </c>
      <c r="B275" s="35" t="s">
        <v>299</v>
      </c>
      <c r="C275" s="254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v>11641625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299</v>
      </c>
      <c r="C278" s="254">
        <v>1887121</v>
      </c>
      <c r="D278" s="16"/>
      <c r="E278" s="16"/>
    </row>
    <row r="279" spans="1:5" x14ac:dyDescent="0.25">
      <c r="A279" s="16" t="s">
        <v>425</v>
      </c>
      <c r="B279" s="35" t="s">
        <v>299</v>
      </c>
      <c r="C279" s="254">
        <v>0</v>
      </c>
      <c r="D279" s="16"/>
      <c r="E279" s="16"/>
    </row>
    <row r="280" spans="1:5" x14ac:dyDescent="0.25">
      <c r="A280" s="16" t="s">
        <v>436</v>
      </c>
      <c r="B280" s="35" t="s">
        <v>299</v>
      </c>
      <c r="C280" s="254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v>1887121</v>
      </c>
      <c r="E281" s="16"/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393</v>
      </c>
      <c r="B283" s="35" t="s">
        <v>299</v>
      </c>
      <c r="C283" s="254">
        <v>16698</v>
      </c>
      <c r="D283" s="16"/>
      <c r="E283" s="16"/>
    </row>
    <row r="284" spans="1:5" x14ac:dyDescent="0.25">
      <c r="A284" s="16" t="s">
        <v>394</v>
      </c>
      <c r="B284" s="35" t="s">
        <v>299</v>
      </c>
      <c r="C284" s="254">
        <v>244149</v>
      </c>
      <c r="D284" s="16"/>
      <c r="E284" s="16"/>
    </row>
    <row r="285" spans="1:5" x14ac:dyDescent="0.25">
      <c r="A285" s="16" t="s">
        <v>395</v>
      </c>
      <c r="B285" s="35" t="s">
        <v>299</v>
      </c>
      <c r="C285" s="254">
        <v>10560026</v>
      </c>
      <c r="D285" s="16"/>
      <c r="E285" s="16"/>
    </row>
    <row r="286" spans="1:5" x14ac:dyDescent="0.25">
      <c r="A286" s="16" t="s">
        <v>439</v>
      </c>
      <c r="B286" s="35" t="s">
        <v>299</v>
      </c>
      <c r="C286" s="254">
        <v>0</v>
      </c>
      <c r="D286" s="16"/>
      <c r="E286" s="16"/>
    </row>
    <row r="287" spans="1:5" x14ac:dyDescent="0.25">
      <c r="A287" s="16" t="s">
        <v>440</v>
      </c>
      <c r="B287" s="35" t="s">
        <v>299</v>
      </c>
      <c r="C287" s="254">
        <v>1780768</v>
      </c>
      <c r="D287" s="16"/>
      <c r="E287" s="16"/>
    </row>
    <row r="288" spans="1:5" x14ac:dyDescent="0.25">
      <c r="A288" s="16" t="s">
        <v>441</v>
      </c>
      <c r="B288" s="35" t="s">
        <v>299</v>
      </c>
      <c r="C288" s="254">
        <v>4251790</v>
      </c>
      <c r="D288" s="16"/>
      <c r="E288" s="16"/>
    </row>
    <row r="289" spans="1:5" x14ac:dyDescent="0.25">
      <c r="A289" s="16" t="s">
        <v>400</v>
      </c>
      <c r="B289" s="35" t="s">
        <v>299</v>
      </c>
      <c r="C289" s="254">
        <v>0</v>
      </c>
      <c r="D289" s="16"/>
      <c r="E289" s="16"/>
    </row>
    <row r="290" spans="1:5" x14ac:dyDescent="0.25">
      <c r="A290" s="16" t="s">
        <v>401</v>
      </c>
      <c r="B290" s="35" t="s">
        <v>299</v>
      </c>
      <c r="C290" s="254">
        <v>106840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v>16960271</v>
      </c>
      <c r="E291" s="16"/>
    </row>
    <row r="292" spans="1:5" x14ac:dyDescent="0.25">
      <c r="A292" s="16" t="s">
        <v>443</v>
      </c>
      <c r="B292" s="35" t="s">
        <v>299</v>
      </c>
      <c r="C292" s="254">
        <v>7894327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v>9065944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299</v>
      </c>
      <c r="C295" s="254">
        <v>0</v>
      </c>
      <c r="D295" s="16"/>
      <c r="E295" s="16"/>
    </row>
    <row r="296" spans="1:5" x14ac:dyDescent="0.25">
      <c r="A296" s="16" t="s">
        <v>447</v>
      </c>
      <c r="B296" s="35" t="s">
        <v>299</v>
      </c>
      <c r="C296" s="254">
        <v>0</v>
      </c>
      <c r="D296" s="16"/>
      <c r="E296" s="16"/>
    </row>
    <row r="297" spans="1:5" x14ac:dyDescent="0.25">
      <c r="A297" s="16" t="s">
        <v>448</v>
      </c>
      <c r="B297" s="35" t="s">
        <v>299</v>
      </c>
      <c r="C297" s="254">
        <v>0</v>
      </c>
      <c r="D297" s="16"/>
      <c r="E297" s="16"/>
    </row>
    <row r="298" spans="1:5" x14ac:dyDescent="0.25">
      <c r="A298" s="16" t="s">
        <v>436</v>
      </c>
      <c r="B298" s="35" t="s">
        <v>299</v>
      </c>
      <c r="C298" s="254">
        <v>247474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v>247474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299</v>
      </c>
      <c r="C302" s="254">
        <v>0</v>
      </c>
      <c r="D302" s="16"/>
      <c r="E302" s="16"/>
    </row>
    <row r="303" spans="1:5" x14ac:dyDescent="0.25">
      <c r="A303" s="16" t="s">
        <v>452</v>
      </c>
      <c r="B303" s="35" t="s">
        <v>299</v>
      </c>
      <c r="C303" s="254">
        <v>0</v>
      </c>
      <c r="D303" s="16"/>
      <c r="E303" s="16"/>
    </row>
    <row r="304" spans="1:5" x14ac:dyDescent="0.25">
      <c r="A304" s="16" t="s">
        <v>453</v>
      </c>
      <c r="B304" s="35" t="s">
        <v>299</v>
      </c>
      <c r="C304" s="254">
        <v>0</v>
      </c>
      <c r="D304" s="16"/>
      <c r="E304" s="16"/>
    </row>
    <row r="305" spans="1:6" x14ac:dyDescent="0.25">
      <c r="A305" s="16" t="s">
        <v>454</v>
      </c>
      <c r="B305" s="35" t="s">
        <v>299</v>
      </c>
      <c r="C305" s="254">
        <v>0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v>22842164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22842164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299</v>
      </c>
      <c r="C314" s="254">
        <v>0</v>
      </c>
      <c r="D314" s="16"/>
      <c r="E314" s="16"/>
    </row>
    <row r="315" spans="1:6" x14ac:dyDescent="0.25">
      <c r="A315" s="16" t="s">
        <v>460</v>
      </c>
      <c r="B315" s="35" t="s">
        <v>299</v>
      </c>
      <c r="C315" s="254">
        <v>343692</v>
      </c>
      <c r="D315" s="16"/>
      <c r="E315" s="16"/>
    </row>
    <row r="316" spans="1:6" x14ac:dyDescent="0.25">
      <c r="A316" s="16" t="s">
        <v>461</v>
      </c>
      <c r="B316" s="35" t="s">
        <v>299</v>
      </c>
      <c r="C316" s="254">
        <v>518401</v>
      </c>
      <c r="D316" s="16"/>
      <c r="E316" s="16"/>
    </row>
    <row r="317" spans="1:6" x14ac:dyDescent="0.25">
      <c r="A317" s="16" t="s">
        <v>462</v>
      </c>
      <c r="B317" s="35" t="s">
        <v>299</v>
      </c>
      <c r="C317" s="254">
        <v>0</v>
      </c>
      <c r="D317" s="16"/>
      <c r="E317" s="16"/>
    </row>
    <row r="318" spans="1:6" x14ac:dyDescent="0.25">
      <c r="A318" s="16" t="s">
        <v>463</v>
      </c>
      <c r="B318" s="35" t="s">
        <v>299</v>
      </c>
      <c r="C318" s="254">
        <v>0</v>
      </c>
      <c r="D318" s="16"/>
      <c r="E318" s="16"/>
    </row>
    <row r="319" spans="1:6" x14ac:dyDescent="0.25">
      <c r="A319" s="16" t="s">
        <v>464</v>
      </c>
      <c r="B319" s="35" t="s">
        <v>299</v>
      </c>
      <c r="C319" s="254">
        <v>277000</v>
      </c>
      <c r="D319" s="16"/>
      <c r="E319" s="16"/>
    </row>
    <row r="320" spans="1:6" x14ac:dyDescent="0.25">
      <c r="A320" s="16" t="s">
        <v>465</v>
      </c>
      <c r="B320" s="35" t="s">
        <v>299</v>
      </c>
      <c r="C320" s="254">
        <v>0</v>
      </c>
      <c r="D320" s="16"/>
      <c r="E320" s="16"/>
    </row>
    <row r="321" spans="1:5" x14ac:dyDescent="0.25">
      <c r="A321" s="16" t="s">
        <v>466</v>
      </c>
      <c r="B321" s="35" t="s">
        <v>299</v>
      </c>
      <c r="C321" s="254">
        <v>0</v>
      </c>
      <c r="D321" s="16"/>
      <c r="E321" s="16"/>
    </row>
    <row r="322" spans="1:5" x14ac:dyDescent="0.25">
      <c r="A322" s="16" t="s">
        <v>467</v>
      </c>
      <c r="B322" s="35" t="s">
        <v>299</v>
      </c>
      <c r="C322" s="254">
        <v>1393839</v>
      </c>
      <c r="D322" s="16"/>
      <c r="E322" s="16"/>
    </row>
    <row r="323" spans="1:5" x14ac:dyDescent="0.25">
      <c r="A323" s="16" t="s">
        <v>468</v>
      </c>
      <c r="B323" s="35" t="s">
        <v>299</v>
      </c>
      <c r="C323" s="254">
        <v>250000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v>2782932</v>
      </c>
      <c r="E324" s="16"/>
    </row>
    <row r="325" spans="1:5" x14ac:dyDescent="0.25">
      <c r="A325" s="34" t="s">
        <v>470</v>
      </c>
      <c r="B325" s="34"/>
      <c r="C325" s="34"/>
      <c r="D325" s="34"/>
      <c r="E325" s="34"/>
    </row>
    <row r="326" spans="1:5" x14ac:dyDescent="0.25">
      <c r="A326" s="16" t="s">
        <v>471</v>
      </c>
      <c r="B326" s="35" t="s">
        <v>299</v>
      </c>
      <c r="C326" s="254">
        <v>0</v>
      </c>
      <c r="D326" s="16"/>
      <c r="E326" s="16"/>
    </row>
    <row r="327" spans="1:5" x14ac:dyDescent="0.25">
      <c r="A327" s="16" t="s">
        <v>472</v>
      </c>
      <c r="B327" s="35" t="s">
        <v>299</v>
      </c>
      <c r="C327" s="254">
        <v>252263</v>
      </c>
      <c r="D327" s="16"/>
      <c r="E327" s="16"/>
    </row>
    <row r="328" spans="1:5" x14ac:dyDescent="0.25">
      <c r="A328" s="16" t="s">
        <v>473</v>
      </c>
      <c r="B328" s="35" t="s">
        <v>299</v>
      </c>
      <c r="C328" s="254">
        <v>0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v>252263</v>
      </c>
      <c r="E329" s="16"/>
    </row>
    <row r="330" spans="1:5" x14ac:dyDescent="0.25">
      <c r="A330" s="34" t="s">
        <v>475</v>
      </c>
      <c r="B330" s="34"/>
      <c r="C330" s="34"/>
      <c r="D330" s="34"/>
      <c r="E330" s="34"/>
    </row>
    <row r="331" spans="1:5" x14ac:dyDescent="0.25">
      <c r="A331" s="16" t="s">
        <v>476</v>
      </c>
      <c r="B331" s="35" t="s">
        <v>299</v>
      </c>
      <c r="C331" s="254">
        <v>0</v>
      </c>
      <c r="D331" s="16"/>
      <c r="E331" s="16"/>
    </row>
    <row r="332" spans="1:5" x14ac:dyDescent="0.25">
      <c r="A332" s="16" t="s">
        <v>477</v>
      </c>
      <c r="B332" s="35" t="s">
        <v>299</v>
      </c>
      <c r="C332" s="254">
        <v>0</v>
      </c>
      <c r="D332" s="16"/>
      <c r="E332" s="16"/>
    </row>
    <row r="333" spans="1:5" x14ac:dyDescent="0.25">
      <c r="A333" s="16" t="s">
        <v>478</v>
      </c>
      <c r="B333" s="35" t="s">
        <v>299</v>
      </c>
      <c r="C333" s="254">
        <v>0</v>
      </c>
      <c r="D333" s="16"/>
      <c r="E333" s="16"/>
    </row>
    <row r="334" spans="1:5" x14ac:dyDescent="0.25">
      <c r="A334" s="21" t="s">
        <v>479</v>
      </c>
      <c r="B334" s="35" t="s">
        <v>299</v>
      </c>
      <c r="C334" s="254">
        <v>0</v>
      </c>
      <c r="D334" s="16"/>
      <c r="E334" s="16"/>
    </row>
    <row r="335" spans="1:5" x14ac:dyDescent="0.25">
      <c r="A335" s="16" t="s">
        <v>480</v>
      </c>
      <c r="B335" s="35" t="s">
        <v>299</v>
      </c>
      <c r="C335" s="254">
        <v>7871600</v>
      </c>
      <c r="D335" s="16"/>
      <c r="E335" s="16"/>
    </row>
    <row r="336" spans="1:5" x14ac:dyDescent="0.25">
      <c r="A336" s="21" t="s">
        <v>481</v>
      </c>
      <c r="B336" s="35" t="s">
        <v>299</v>
      </c>
      <c r="C336" s="254">
        <v>0</v>
      </c>
      <c r="D336" s="16"/>
      <c r="E336" s="16"/>
    </row>
    <row r="337" spans="1:5" x14ac:dyDescent="0.25">
      <c r="A337" s="21" t="s">
        <v>482</v>
      </c>
      <c r="B337" s="35" t="s">
        <v>299</v>
      </c>
      <c r="C337" s="277">
        <v>0</v>
      </c>
      <c r="D337" s="16"/>
      <c r="E337" s="16"/>
    </row>
    <row r="338" spans="1:5" x14ac:dyDescent="0.25">
      <c r="A338" s="16" t="s">
        <v>483</v>
      </c>
      <c r="B338" s="35" t="s">
        <v>299</v>
      </c>
      <c r="C338" s="254" t="s">
        <v>484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7871600</v>
      </c>
      <c r="E339" s="16"/>
    </row>
    <row r="340" spans="1:5" x14ac:dyDescent="0.25">
      <c r="A340" s="16" t="s">
        <v>485</v>
      </c>
      <c r="B340" s="16"/>
      <c r="C340" s="22"/>
      <c r="D340" s="25">
        <v>250000</v>
      </c>
      <c r="E340" s="16"/>
    </row>
    <row r="341" spans="1:5" x14ac:dyDescent="0.25">
      <c r="A341" s="16" t="s">
        <v>486</v>
      </c>
      <c r="B341" s="16"/>
      <c r="C341" s="22"/>
      <c r="D341" s="25">
        <v>7621600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9">
        <v>12185369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v>22842164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v>22842164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4">
        <v>1360553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4">
        <v>8908086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v>10268639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404</v>
      </c>
      <c r="B362" s="34"/>
      <c r="C362" s="254">
        <v>61863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4">
        <v>-1279572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4">
        <v>317703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4">
        <v>664893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v>-235113</v>
      </c>
      <c r="E366" s="16"/>
    </row>
    <row r="367" spans="1:5" x14ac:dyDescent="0.25">
      <c r="A367" s="16" t="s">
        <v>504</v>
      </c>
      <c r="B367" s="16"/>
      <c r="C367" s="22"/>
      <c r="D367" s="25">
        <v>10503752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4">
        <v>0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4">
        <v>0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4">
        <v>0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4">
        <v>0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4">
        <v>0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6">
        <v>578568</v>
      </c>
      <c r="D380" s="25">
        <v>0</v>
      </c>
      <c r="E380" s="204" t="s">
        <v>1058</v>
      </c>
      <c r="F380" s="47"/>
    </row>
    <row r="381" spans="1:6" x14ac:dyDescent="0.25">
      <c r="A381" s="48" t="s">
        <v>518</v>
      </c>
      <c r="B381" s="35"/>
      <c r="C381" s="35"/>
      <c r="D381" s="25">
        <v>578568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4">
        <v>1230965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v>1809533</v>
      </c>
      <c r="E383" s="16"/>
    </row>
    <row r="384" spans="1:6" x14ac:dyDescent="0.25">
      <c r="A384" s="16" t="s">
        <v>521</v>
      </c>
      <c r="B384" s="16"/>
      <c r="C384" s="22"/>
      <c r="D384" s="25">
        <v>12313285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4">
        <v>5278022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4">
        <v>1006797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4">
        <v>318467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4">
        <v>516753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4">
        <v>212347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4">
        <v>2397873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4">
        <v>755610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4">
        <v>55553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6">
        <v>139997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6">
        <v>91125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6">
        <v>361739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4">
        <v>0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4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4">
        <v>0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4">
        <v>0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4">
        <v>0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4">
        <v>0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6">
        <v>574461</v>
      </c>
      <c r="D414" s="25">
        <v>0</v>
      </c>
      <c r="E414" s="204" t="s">
        <v>1058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v>574461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v>11708744</v>
      </c>
      <c r="E416" s="25"/>
    </row>
    <row r="417" spans="1:13" x14ac:dyDescent="0.25">
      <c r="A417" s="25" t="s">
        <v>535</v>
      </c>
      <c r="B417" s="16"/>
      <c r="C417" s="22"/>
      <c r="D417" s="25">
        <v>604541</v>
      </c>
      <c r="E417" s="25"/>
    </row>
    <row r="418" spans="1:13" x14ac:dyDescent="0.25">
      <c r="A418" s="25" t="s">
        <v>536</v>
      </c>
      <c r="B418" s="16"/>
      <c r="C418" s="256">
        <v>1893606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v>1893606</v>
      </c>
      <c r="E420" s="25"/>
      <c r="F420" s="11">
        <v>1531867</v>
      </c>
    </row>
    <row r="421" spans="1:13" x14ac:dyDescent="0.25">
      <c r="A421" s="25" t="s">
        <v>539</v>
      </c>
      <c r="B421" s="16"/>
      <c r="C421" s="22"/>
      <c r="D421" s="25">
        <v>2498147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v>2498147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543</v>
      </c>
      <c r="D612" s="217">
        <f>CE90-(BE90+CD90)</f>
        <v>16400</v>
      </c>
      <c r="E612" s="219">
        <f>SUM(C624:D647)+SUM(C668:D713)</f>
        <v>9338910.8572560977</v>
      </c>
      <c r="F612" s="219">
        <f>CE64-(AX64+BD64+BE64+BG64+BJ64+BN64+BP64+BQ64+CB64+CC64+CD64)</f>
        <v>491033</v>
      </c>
      <c r="G612" s="217">
        <f>CE91-(AX91+AY91+BD91+BE91+BG91+BJ91+BN91+BP91+BQ91+CB91+CC91+CD91)</f>
        <v>4808</v>
      </c>
      <c r="H612" s="222">
        <f>CE60-(AX60+AY60+AZ60+BD60+BE60+BG60+BJ60+BN60+BO60+BP60+BQ60+BR60+CB60+CC60+CD60)</f>
        <v>58.509999999999991</v>
      </c>
      <c r="I612" s="217">
        <f>CE92-(AX92+AY92+AZ92+BD92+BE92+BF92+BG92+BJ92+BN92+BO92+BP92+BQ92+BR92+CB92+CC92+CD92)</f>
        <v>935</v>
      </c>
      <c r="J612" s="217">
        <f>CE93-(AX93+AY93+AZ93+BA93+BD93+BE93+BF93+BG93+BJ93+BN93+BO93+BP93+BQ93+BR93+CB93+CC93+CD93)</f>
        <v>21406</v>
      </c>
      <c r="K612" s="217">
        <f>CE89-(AW89+AX89+AY89+AZ89+BA89+BB89+BC89+BD89+BE89+BF89+BG89+BH89+BI89+BJ89+BK89+BL89+BM89+BN89+BO89+BP89+BQ89+BR89+BS89+BT89+BU89+BV89+BW89+BX89+CB89+CC89+CD89)</f>
        <v>10268639</v>
      </c>
      <c r="L612" s="223">
        <f>CE94-(AW94+AX94+AY94+AZ94+BA94+BB94+BC94+BD94+BE94+BF94+BG94+BH94+BI94+BJ94+BK94+BL94+BM94+BN94+BO94+BP94+BQ94+BR94+BS94+BT94+BU94+BV94+BW94+BX94+BY94+BZ94+CA94+CB94+CC94+CD94)</f>
        <v>18.690000000000001</v>
      </c>
    </row>
    <row r="613" spans="1:14" s="202" customFormat="1" ht="12.6" customHeight="1" x14ac:dyDescent="0.2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" customHeight="1" x14ac:dyDescent="0.2">
      <c r="A614" s="212">
        <v>8430</v>
      </c>
      <c r="B614" s="211" t="s">
        <v>167</v>
      </c>
      <c r="C614" s="217">
        <f>BE85</f>
        <v>613538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" customHeight="1" x14ac:dyDescent="0.2">
      <c r="A615" s="212"/>
      <c r="B615" s="211" t="s">
        <v>555</v>
      </c>
      <c r="C615" s="217">
        <f>CD69-CD84</f>
        <v>14293</v>
      </c>
      <c r="D615" s="217">
        <f>SUM(C614:C615)</f>
        <v>627831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" customHeight="1" x14ac:dyDescent="0.2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" customHeight="1" x14ac:dyDescent="0.2">
      <c r="A617" s="212">
        <v>8510</v>
      </c>
      <c r="B617" s="216" t="s">
        <v>172</v>
      </c>
      <c r="C617" s="217">
        <f>BJ85</f>
        <v>102859</v>
      </c>
      <c r="D617" s="217">
        <f>(D615/D612)*BJ90</f>
        <v>4019.649695121951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" customHeight="1" x14ac:dyDescent="0.2">
      <c r="A618" s="212">
        <v>8470</v>
      </c>
      <c r="B618" s="216" t="s">
        <v>560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" customHeight="1" x14ac:dyDescent="0.2">
      <c r="A619" s="212">
        <v>8610</v>
      </c>
      <c r="B619" s="216" t="s">
        <v>562</v>
      </c>
      <c r="C619" s="217">
        <f>BN85</f>
        <v>1542514</v>
      </c>
      <c r="D619" s="217">
        <f>(D615/D612)*BN90</f>
        <v>141874.49304878048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" customHeight="1" x14ac:dyDescent="0.2">
      <c r="A620" s="212">
        <v>8790</v>
      </c>
      <c r="B620" s="216" t="s">
        <v>564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" customHeight="1" x14ac:dyDescent="0.2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" customHeight="1" x14ac:dyDescent="0.2">
      <c r="A622" s="212">
        <v>8770</v>
      </c>
      <c r="B622" s="211" t="s">
        <v>568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" customHeight="1" x14ac:dyDescent="0.2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1791267.1427439023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" customHeight="1" x14ac:dyDescent="0.2">
      <c r="A624" s="212">
        <v>8420</v>
      </c>
      <c r="B624" s="216" t="s">
        <v>166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572</v>
      </c>
    </row>
    <row r="625" spans="1:14" s="202" customFormat="1" ht="12.6" customHeight="1" x14ac:dyDescent="0.2">
      <c r="A625" s="212">
        <v>8320</v>
      </c>
      <c r="B625" s="216" t="s">
        <v>162</v>
      </c>
      <c r="C625" s="217">
        <f>AY85</f>
        <v>246295</v>
      </c>
      <c r="D625" s="217">
        <f>(D615/D612)*AY90</f>
        <v>21476.414085365854</v>
      </c>
      <c r="E625" s="219">
        <f>(E623/E612)*SUM(C625:D625)</f>
        <v>51360.393427945775</v>
      </c>
      <c r="F625" s="219">
        <f>(F624/F612)*AY64</f>
        <v>0</v>
      </c>
      <c r="G625" s="217">
        <f>SUM(C625:F625)</f>
        <v>319131.80751331162</v>
      </c>
      <c r="H625" s="219"/>
      <c r="I625" s="217"/>
      <c r="J625" s="217"/>
      <c r="N625" s="213" t="s">
        <v>573</v>
      </c>
    </row>
    <row r="626" spans="1:14" s="202" customFormat="1" ht="12.6" customHeight="1" x14ac:dyDescent="0.2">
      <c r="A626" s="212">
        <v>8650</v>
      </c>
      <c r="B626" s="216" t="s">
        <v>179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2" customFormat="1" ht="12.6" customHeight="1" x14ac:dyDescent="0.2">
      <c r="A627" s="212">
        <v>8620</v>
      </c>
      <c r="B627" s="211" t="s">
        <v>575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2" customFormat="1" ht="12.6" customHeight="1" x14ac:dyDescent="0.2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577</v>
      </c>
    </row>
    <row r="629" spans="1:14" s="202" customFormat="1" ht="12.6" customHeight="1" x14ac:dyDescent="0.2">
      <c r="A629" s="212">
        <v>8460</v>
      </c>
      <c r="B629" s="216" t="s">
        <v>168</v>
      </c>
      <c r="C629" s="217">
        <f>BF85</f>
        <v>202569</v>
      </c>
      <c r="D629" s="217">
        <f>(D615/D612)*BF90</f>
        <v>4402.473475609756</v>
      </c>
      <c r="E629" s="219">
        <f>(E623/E612)*SUM(C629:D629)</f>
        <v>39698.547891598544</v>
      </c>
      <c r="F629" s="219">
        <f>(F624/F612)*BF64</f>
        <v>0</v>
      </c>
      <c r="G629" s="217">
        <f>(G625/G612)*BF91</f>
        <v>0</v>
      </c>
      <c r="H629" s="219">
        <f>(H628/H612)*BF60</f>
        <v>0</v>
      </c>
      <c r="I629" s="217">
        <f>SUM(C629:H629)</f>
        <v>246670.0213672083</v>
      </c>
      <c r="J629" s="217"/>
      <c r="N629" s="213" t="s">
        <v>578</v>
      </c>
    </row>
    <row r="630" spans="1:14" s="202" customFormat="1" ht="12.6" customHeight="1" x14ac:dyDescent="0.2">
      <c r="A630" s="212">
        <v>8350</v>
      </c>
      <c r="B630" s="216" t="s">
        <v>579</v>
      </c>
      <c r="C630" s="217">
        <f>BA85</f>
        <v>24768</v>
      </c>
      <c r="D630" s="217">
        <f>(D615/D612)*BA90</f>
        <v>1493.0127439024391</v>
      </c>
      <c r="E630" s="219">
        <f>(E623/E612)*SUM(C630:D630)</f>
        <v>5037.0423256350132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31298.055069537455</v>
      </c>
      <c r="N630" s="213" t="s">
        <v>580</v>
      </c>
    </row>
    <row r="631" spans="1:14" s="202" customFormat="1" ht="12.6" customHeight="1" x14ac:dyDescent="0.2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582</v>
      </c>
    </row>
    <row r="632" spans="1:14" s="202" customFormat="1" ht="12.6" customHeight="1" x14ac:dyDescent="0.2">
      <c r="A632" s="212">
        <v>8360</v>
      </c>
      <c r="B632" s="216" t="s">
        <v>583</v>
      </c>
      <c r="C632" s="217">
        <f>BB85</f>
        <v>69016</v>
      </c>
      <c r="D632" s="217">
        <f>(D615/D612)*BB90</f>
        <v>14470.738902439023</v>
      </c>
      <c r="E632" s="219">
        <f>(E623/E612)*SUM(C632:D632)</f>
        <v>16013.329020544603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584</v>
      </c>
    </row>
    <row r="633" spans="1:14" s="202" customFormat="1" ht="12.6" customHeight="1" x14ac:dyDescent="0.2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586</v>
      </c>
    </row>
    <row r="634" spans="1:14" s="202" customFormat="1" ht="12.6" customHeight="1" x14ac:dyDescent="0.2">
      <c r="A634" s="212">
        <v>8490</v>
      </c>
      <c r="B634" s="216" t="s">
        <v>587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588</v>
      </c>
    </row>
    <row r="635" spans="1:14" s="202" customFormat="1" ht="12.6" customHeight="1" x14ac:dyDescent="0.2">
      <c r="A635" s="212">
        <v>8530</v>
      </c>
      <c r="B635" s="216" t="s">
        <v>589</v>
      </c>
      <c r="C635" s="217">
        <f>BK85</f>
        <v>415044</v>
      </c>
      <c r="D635" s="217">
        <f>(D615/D612)*BK90</f>
        <v>11599.560548780488</v>
      </c>
      <c r="E635" s="219">
        <f>(E623/E612)*SUM(C635:D635)</f>
        <v>81833.160563954807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590</v>
      </c>
    </row>
    <row r="636" spans="1:14" s="202" customFormat="1" ht="12.6" customHeight="1" x14ac:dyDescent="0.2">
      <c r="A636" s="212">
        <v>8480</v>
      </c>
      <c r="B636" s="216" t="s">
        <v>591</v>
      </c>
      <c r="C636" s="217">
        <f>BH85</f>
        <v>670382</v>
      </c>
      <c r="D636" s="217">
        <f>(D615/D612)*BH90</f>
        <v>48733.46725609756</v>
      </c>
      <c r="E636" s="219">
        <f>(E623/E612)*SUM(C636:D636)</f>
        <v>137931.27785708901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592</v>
      </c>
    </row>
    <row r="637" spans="1:14" s="202" customFormat="1" ht="12.6" customHeight="1" x14ac:dyDescent="0.2">
      <c r="A637" s="212">
        <v>8560</v>
      </c>
      <c r="B637" s="216" t="s">
        <v>174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593</v>
      </c>
    </row>
    <row r="638" spans="1:14" s="202" customFormat="1" ht="12.6" customHeight="1" x14ac:dyDescent="0.2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595</v>
      </c>
    </row>
    <row r="639" spans="1:14" s="202" customFormat="1" ht="12.6" customHeight="1" x14ac:dyDescent="0.2">
      <c r="A639" s="212">
        <v>8660</v>
      </c>
      <c r="B639" s="216" t="s">
        <v>596</v>
      </c>
      <c r="C639" s="217">
        <f>BS85</f>
        <v>10582</v>
      </c>
      <c r="D639" s="217">
        <f>(D615/D612)*BS90</f>
        <v>0</v>
      </c>
      <c r="E639" s="219">
        <f>(E623/E612)*SUM(C639:D639)</f>
        <v>2029.7001646383926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597</v>
      </c>
    </row>
    <row r="640" spans="1:14" s="202" customFormat="1" ht="12.6" customHeight="1" x14ac:dyDescent="0.2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599</v>
      </c>
    </row>
    <row r="641" spans="1:14" s="202" customFormat="1" ht="12.6" customHeight="1" x14ac:dyDescent="0.2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601</v>
      </c>
    </row>
    <row r="642" spans="1:14" s="202" customFormat="1" ht="12.6" customHeight="1" x14ac:dyDescent="0.2">
      <c r="A642" s="212">
        <v>8690</v>
      </c>
      <c r="B642" s="216" t="s">
        <v>602</v>
      </c>
      <c r="C642" s="217">
        <f>BV85</f>
        <v>101858</v>
      </c>
      <c r="D642" s="217">
        <f>(D615/D612)*BV90</f>
        <v>35679.176341463412</v>
      </c>
      <c r="E642" s="219">
        <f>(E623/E612)*SUM(C642:D642)</f>
        <v>26380.573564937433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603</v>
      </c>
    </row>
    <row r="643" spans="1:14" s="202" customFormat="1" ht="12.6" customHeight="1" x14ac:dyDescent="0.2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605</v>
      </c>
    </row>
    <row r="644" spans="1:14" s="202" customFormat="1" ht="12.6" customHeight="1" x14ac:dyDescent="0.2">
      <c r="A644" s="212">
        <v>8710</v>
      </c>
      <c r="B644" s="216" t="s">
        <v>606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1641552.9842199446</v>
      </c>
      <c r="L644" s="219"/>
      <c r="N644" s="213" t="s">
        <v>607</v>
      </c>
    </row>
    <row r="645" spans="1:14" s="202" customFormat="1" ht="12.6" customHeight="1" x14ac:dyDescent="0.2">
      <c r="A645" s="212">
        <v>8720</v>
      </c>
      <c r="B645" s="216" t="s">
        <v>608</v>
      </c>
      <c r="C645" s="217">
        <f>BY85</f>
        <v>200522</v>
      </c>
      <c r="D645" s="217">
        <f>(D615/D612)*BY90</f>
        <v>4096.2144512195118</v>
      </c>
      <c r="E645" s="219">
        <f>(E623/E612)*SUM(C645:D645)</f>
        <v>39247.17667356399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609</v>
      </c>
    </row>
    <row r="646" spans="1:14" s="202" customFormat="1" ht="12.6" customHeight="1" x14ac:dyDescent="0.2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611</v>
      </c>
    </row>
    <row r="647" spans="1:14" s="202" customFormat="1" ht="12.6" customHeight="1" x14ac:dyDescent="0.2">
      <c r="A647" s="212">
        <v>8740</v>
      </c>
      <c r="B647" s="216" t="s">
        <v>612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243865.39112478349</v>
      </c>
      <c r="N647" s="213" t="s">
        <v>613</v>
      </c>
    </row>
    <row r="648" spans="1:14" s="202" customFormat="1" ht="12.6" customHeight="1" x14ac:dyDescent="0.2">
      <c r="A648" s="212"/>
      <c r="B648" s="212"/>
      <c r="C648" s="202">
        <f>SUM(C614:C647)</f>
        <v>4214240</v>
      </c>
      <c r="L648" s="215"/>
    </row>
    <row r="666" spans="1:14" s="202" customFormat="1" ht="12.6" customHeight="1" x14ac:dyDescent="0.2">
      <c r="C666" s="210" t="s">
        <v>614</v>
      </c>
      <c r="M666" s="210" t="s">
        <v>615</v>
      </c>
    </row>
    <row r="667" spans="1:14" s="202" customFormat="1" ht="12.6" customHeight="1" x14ac:dyDescent="0.2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" customHeight="1" x14ac:dyDescent="0.2">
      <c r="A668" s="212">
        <v>6010</v>
      </c>
      <c r="B668" s="211" t="s">
        <v>342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617</v>
      </c>
    </row>
    <row r="669" spans="1:14" s="202" customFormat="1" ht="12.6" customHeight="1" x14ac:dyDescent="0.2">
      <c r="A669" s="212">
        <v>6030</v>
      </c>
      <c r="B669" s="211" t="s">
        <v>343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618</v>
      </c>
    </row>
    <row r="670" spans="1:14" s="202" customFormat="1" ht="12.6" customHeight="1" x14ac:dyDescent="0.2">
      <c r="A670" s="212">
        <v>6070</v>
      </c>
      <c r="B670" s="211" t="s">
        <v>619</v>
      </c>
      <c r="C670" s="217">
        <f>E85</f>
        <v>91495</v>
      </c>
      <c r="D670" s="217">
        <f>(D615/D612)*E90</f>
        <v>3177.4373780487804</v>
      </c>
      <c r="E670" s="219">
        <f>(E623/E612)*SUM(C670:D670)</f>
        <v>18158.822692585854</v>
      </c>
      <c r="F670" s="219">
        <f>(F624/F612)*E64</f>
        <v>0</v>
      </c>
      <c r="G670" s="217">
        <f>(G625/G612)*E91</f>
        <v>14735.287285348417</v>
      </c>
      <c r="H670" s="219">
        <f>(H628/H612)*E60</f>
        <v>0</v>
      </c>
      <c r="I670" s="217">
        <f>(I629/I612)*E92</f>
        <v>6859.2733214410873</v>
      </c>
      <c r="J670" s="217">
        <f>(J630/J612)*E93</f>
        <v>742.75492737199977</v>
      </c>
      <c r="K670" s="217">
        <f>(K644/K612)*E89</f>
        <v>22643.804651794897</v>
      </c>
      <c r="L670" s="217">
        <f>(L647/L612)*E94</f>
        <v>8872.5770981729693</v>
      </c>
      <c r="M670" s="202">
        <f t="shared" si="0"/>
        <v>75190</v>
      </c>
      <c r="N670" s="211" t="s">
        <v>620</v>
      </c>
    </row>
    <row r="671" spans="1:14" s="202" customFormat="1" ht="12.6" customHeight="1" x14ac:dyDescent="0.2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622</v>
      </c>
    </row>
    <row r="672" spans="1:14" s="202" customFormat="1" ht="12.6" customHeight="1" x14ac:dyDescent="0.2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624</v>
      </c>
    </row>
    <row r="673" spans="1:14" s="202" customFormat="1" ht="12.6" customHeight="1" x14ac:dyDescent="0.2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626</v>
      </c>
    </row>
    <row r="674" spans="1:14" s="202" customFormat="1" ht="12.6" customHeight="1" x14ac:dyDescent="0.2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628</v>
      </c>
    </row>
    <row r="675" spans="1:14" s="202" customFormat="1" ht="12.6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629</v>
      </c>
    </row>
    <row r="676" spans="1:14" s="202" customFormat="1" ht="12.6" customHeight="1" x14ac:dyDescent="0.2">
      <c r="A676" s="212">
        <v>6200</v>
      </c>
      <c r="B676" s="211" t="s">
        <v>348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630</v>
      </c>
    </row>
    <row r="677" spans="1:14" s="202" customFormat="1" ht="12.6" customHeight="1" x14ac:dyDescent="0.2">
      <c r="A677" s="212">
        <v>6210</v>
      </c>
      <c r="B677" s="211" t="s">
        <v>349</v>
      </c>
      <c r="C677" s="217">
        <f>L85</f>
        <v>1811649</v>
      </c>
      <c r="D677" s="217">
        <f>(D615/D612)*L90</f>
        <v>62974.511890243899</v>
      </c>
      <c r="E677" s="219">
        <f>(E623/E612)*SUM(C677:D677)</f>
        <v>359565.6445585551</v>
      </c>
      <c r="F677" s="219">
        <f>(F624/F612)*L64</f>
        <v>0</v>
      </c>
      <c r="G677" s="217">
        <f>(G625/G612)*L91</f>
        <v>291718.86314912746</v>
      </c>
      <c r="H677" s="219">
        <f>(H628/H612)*L60</f>
        <v>0</v>
      </c>
      <c r="I677" s="217">
        <f>(I629/I612)*L92</f>
        <v>134547.28438211363</v>
      </c>
      <c r="J677" s="217">
        <f>(J630/J612)*L93</f>
        <v>14692.803671577216</v>
      </c>
      <c r="K677" s="217">
        <f>(K644/K612)*L89</f>
        <v>144406.74894983007</v>
      </c>
      <c r="L677" s="217">
        <f>(L647/L612)*L94</f>
        <v>176016.27213875492</v>
      </c>
      <c r="M677" s="202">
        <f t="shared" si="0"/>
        <v>1183922</v>
      </c>
      <c r="N677" s="211" t="s">
        <v>631</v>
      </c>
    </row>
    <row r="678" spans="1:14" s="202" customFormat="1" ht="12.6" customHeight="1" x14ac:dyDescent="0.2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633</v>
      </c>
    </row>
    <row r="679" spans="1:14" s="202" customFormat="1" ht="12.6" customHeight="1" x14ac:dyDescent="0.2">
      <c r="A679" s="212">
        <v>6400</v>
      </c>
      <c r="B679" s="211" t="s">
        <v>634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635</v>
      </c>
    </row>
    <row r="680" spans="1:14" s="202" customFormat="1" ht="12.6" customHeight="1" x14ac:dyDescent="0.2">
      <c r="A680" s="212">
        <v>7010</v>
      </c>
      <c r="B680" s="211" t="s">
        <v>636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637</v>
      </c>
    </row>
    <row r="681" spans="1:14" s="202" customFormat="1" ht="12.6" customHeight="1" x14ac:dyDescent="0.2">
      <c r="A681" s="212">
        <v>7020</v>
      </c>
      <c r="B681" s="211" t="s">
        <v>638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0"/>
        <v>0</v>
      </c>
      <c r="N681" s="211" t="s">
        <v>639</v>
      </c>
    </row>
    <row r="682" spans="1:14" s="202" customFormat="1" ht="12.6" customHeight="1" x14ac:dyDescent="0.2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641</v>
      </c>
    </row>
    <row r="683" spans="1:14" s="202" customFormat="1" ht="12.6" customHeight="1" x14ac:dyDescent="0.2">
      <c r="A683" s="212">
        <v>7040</v>
      </c>
      <c r="B683" s="211" t="s">
        <v>133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0"/>
        <v>0</v>
      </c>
      <c r="N683" s="211" t="s">
        <v>642</v>
      </c>
    </row>
    <row r="684" spans="1:14" s="202" customFormat="1" ht="12.6" customHeight="1" x14ac:dyDescent="0.2">
      <c r="A684" s="212">
        <v>7050</v>
      </c>
      <c r="B684" s="211" t="s">
        <v>643</v>
      </c>
      <c r="C684" s="217">
        <f>S85</f>
        <v>138931</v>
      </c>
      <c r="D684" s="217">
        <f>(D615/D612)*S90</f>
        <v>19217.753780487805</v>
      </c>
      <c r="E684" s="219">
        <f>(E623/E612)*SUM(C684:D684)</f>
        <v>30334.015458855862</v>
      </c>
      <c r="F684" s="219">
        <f>(F624/F612)*S64</f>
        <v>0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0"/>
        <v>49552</v>
      </c>
      <c r="N684" s="211" t="s">
        <v>644</v>
      </c>
    </row>
    <row r="685" spans="1:14" s="202" customFormat="1" ht="12.6" customHeight="1" x14ac:dyDescent="0.2">
      <c r="A685" s="212">
        <v>7060</v>
      </c>
      <c r="B685" s="211" t="s">
        <v>645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646</v>
      </c>
    </row>
    <row r="686" spans="1:14" s="202" customFormat="1" ht="12.6" customHeight="1" x14ac:dyDescent="0.2">
      <c r="A686" s="212">
        <v>7070</v>
      </c>
      <c r="B686" s="211" t="s">
        <v>136</v>
      </c>
      <c r="C686" s="217">
        <f>U85</f>
        <v>696901</v>
      </c>
      <c r="D686" s="217">
        <f>(D615/D612)*U90</f>
        <v>20787.331280487804</v>
      </c>
      <c r="E686" s="219">
        <f>(E623/E612)*SUM(C686:D686)</f>
        <v>137657.54339057449</v>
      </c>
      <c r="F686" s="219">
        <f>(F624/F612)*U64</f>
        <v>0</v>
      </c>
      <c r="G686" s="217">
        <f>(G625/G612)*U91</f>
        <v>0</v>
      </c>
      <c r="H686" s="219">
        <f>(H628/H612)*U60</f>
        <v>0</v>
      </c>
      <c r="I686" s="217">
        <f>(I629/I612)*U92</f>
        <v>0</v>
      </c>
      <c r="J686" s="217">
        <f>(J630/J612)*U93</f>
        <v>0</v>
      </c>
      <c r="K686" s="217">
        <f>(K644/K612)*U89</f>
        <v>223472.94814889427</v>
      </c>
      <c r="L686" s="217">
        <f>(L647/L612)*U94</f>
        <v>0</v>
      </c>
      <c r="M686" s="202">
        <f t="shared" si="0"/>
        <v>381918</v>
      </c>
      <c r="N686" s="211" t="s">
        <v>647</v>
      </c>
    </row>
    <row r="687" spans="1:14" s="202" customFormat="1" ht="12.6" customHeight="1" x14ac:dyDescent="0.2">
      <c r="A687" s="212">
        <v>7110</v>
      </c>
      <c r="B687" s="211" t="s">
        <v>648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0</v>
      </c>
      <c r="N687" s="211" t="s">
        <v>649</v>
      </c>
    </row>
    <row r="688" spans="1:14" s="202" customFormat="1" ht="12.6" customHeight="1" x14ac:dyDescent="0.2">
      <c r="A688" s="212">
        <v>7120</v>
      </c>
      <c r="B688" s="211" t="s">
        <v>650</v>
      </c>
      <c r="C688" s="217">
        <f>W85</f>
        <v>85094</v>
      </c>
      <c r="D688" s="217">
        <f>(D615/D612)*W90</f>
        <v>1148.4713414634145</v>
      </c>
      <c r="E688" s="219">
        <f>(E623/E612)*SUM(C688:D688)</f>
        <v>16541.89739941317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2374.3638420372995</v>
      </c>
      <c r="J688" s="217">
        <f>(J630/J612)*W93</f>
        <v>45.325595961677152</v>
      </c>
      <c r="K688" s="217">
        <f>(K644/K612)*W89</f>
        <v>24526.165730920362</v>
      </c>
      <c r="L688" s="217">
        <f>(L647/L612)*W94</f>
        <v>0</v>
      </c>
      <c r="M688" s="202">
        <f t="shared" si="0"/>
        <v>44636</v>
      </c>
      <c r="N688" s="211" t="s">
        <v>651</v>
      </c>
    </row>
    <row r="689" spans="1:14" s="202" customFormat="1" ht="12.6" customHeight="1" x14ac:dyDescent="0.2">
      <c r="A689" s="212">
        <v>7130</v>
      </c>
      <c r="B689" s="211" t="s">
        <v>652</v>
      </c>
      <c r="C689" s="217">
        <f>X85</f>
        <v>153577</v>
      </c>
      <c r="D689" s="217">
        <f>(D615/D612)*X90</f>
        <v>10604.218719512195</v>
      </c>
      <c r="E689" s="219">
        <f>(E623/E612)*SUM(C689:D689)</f>
        <v>31491.083600975791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22688.365601689751</v>
      </c>
      <c r="J689" s="217">
        <f>(J630/J612)*X93</f>
        <v>1894.9023343978577</v>
      </c>
      <c r="K689" s="217">
        <f>(K644/K612)*X89</f>
        <v>165458.33989902714</v>
      </c>
      <c r="L689" s="217">
        <f>(L647/L612)*X94</f>
        <v>0</v>
      </c>
      <c r="M689" s="202">
        <f t="shared" si="0"/>
        <v>232137</v>
      </c>
      <c r="N689" s="211" t="s">
        <v>653</v>
      </c>
    </row>
    <row r="690" spans="1:14" s="202" customFormat="1" ht="12.6" customHeight="1" x14ac:dyDescent="0.2">
      <c r="A690" s="212">
        <v>7140</v>
      </c>
      <c r="B690" s="211" t="s">
        <v>654</v>
      </c>
      <c r="C690" s="217">
        <f>Y85</f>
        <v>305501</v>
      </c>
      <c r="D690" s="217">
        <f>(D615/D612)*Y90</f>
        <v>35640.89396341463</v>
      </c>
      <c r="E690" s="219">
        <f>(E623/E612)*SUM(C690:D690)</f>
        <v>65433.3545967299</v>
      </c>
      <c r="F690" s="219">
        <f>(F624/F612)*Y64</f>
        <v>0</v>
      </c>
      <c r="G690" s="217">
        <f>(G625/G612)*Y91</f>
        <v>0</v>
      </c>
      <c r="H690" s="219">
        <f>(H628/H612)*Y60</f>
        <v>0</v>
      </c>
      <c r="I690" s="217">
        <f>(I629/I612)*Y92</f>
        <v>76243.461149864394</v>
      </c>
      <c r="J690" s="217">
        <f>(J630/J612)*Y93</f>
        <v>1425.5630987946845</v>
      </c>
      <c r="K690" s="217">
        <f>(K644/K612)*Y89</f>
        <v>109258.15188254206</v>
      </c>
      <c r="L690" s="217">
        <f>(L647/L612)*Y94</f>
        <v>0</v>
      </c>
      <c r="M690" s="202">
        <f t="shared" si="0"/>
        <v>288001</v>
      </c>
      <c r="N690" s="211" t="s">
        <v>655</v>
      </c>
    </row>
    <row r="691" spans="1:14" s="202" customFormat="1" ht="12.6" customHeight="1" x14ac:dyDescent="0.2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657</v>
      </c>
    </row>
    <row r="692" spans="1:14" s="202" customFormat="1" ht="12.6" customHeight="1" x14ac:dyDescent="0.2">
      <c r="A692" s="212">
        <v>7160</v>
      </c>
      <c r="B692" s="211" t="s">
        <v>658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659</v>
      </c>
    </row>
    <row r="693" spans="1:14" s="202" customFormat="1" ht="12.6" customHeight="1" x14ac:dyDescent="0.2">
      <c r="A693" s="212">
        <v>7170</v>
      </c>
      <c r="B693" s="211" t="s">
        <v>142</v>
      </c>
      <c r="C693" s="217">
        <f>AB85</f>
        <v>261882</v>
      </c>
      <c r="D693" s="217">
        <f>(D615/D612)*AB90</f>
        <v>3062.5902439024389</v>
      </c>
      <c r="E693" s="219">
        <f>(E623/E612)*SUM(C693:D693)</f>
        <v>50818.189230589705</v>
      </c>
      <c r="F693" s="219">
        <f>(F624/F612)*AB64</f>
        <v>0</v>
      </c>
      <c r="G693" s="217">
        <f>(G625/G612)*AB91</f>
        <v>0</v>
      </c>
      <c r="H693" s="219">
        <f>(H628/H612)*AB60</f>
        <v>0</v>
      </c>
      <c r="I693" s="217">
        <f>(I629/I612)*AB92</f>
        <v>0</v>
      </c>
      <c r="J693" s="217">
        <f>(J630/J612)*AB93</f>
        <v>0</v>
      </c>
      <c r="K693" s="217">
        <f>(K644/K612)*AB89</f>
        <v>70359.060269405862</v>
      </c>
      <c r="L693" s="217">
        <f>(L647/L612)*AB94</f>
        <v>0</v>
      </c>
      <c r="M693" s="202">
        <f t="shared" si="0"/>
        <v>124240</v>
      </c>
      <c r="N693" s="211" t="s">
        <v>660</v>
      </c>
    </row>
    <row r="694" spans="1:14" s="202" customFormat="1" ht="12.6" customHeight="1" x14ac:dyDescent="0.2">
      <c r="A694" s="212">
        <v>7180</v>
      </c>
      <c r="B694" s="211" t="s">
        <v>661</v>
      </c>
      <c r="C694" s="217">
        <f>AC85</f>
        <v>12856</v>
      </c>
      <c r="D694" s="217">
        <f>(D615/D612)*AC90</f>
        <v>0</v>
      </c>
      <c r="E694" s="219">
        <f>(E623/E612)*SUM(C694:D694)</f>
        <v>2465.8689582868242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5784.8832586253284</v>
      </c>
      <c r="L694" s="217">
        <f>(L647/L612)*AC94</f>
        <v>0</v>
      </c>
      <c r="M694" s="202">
        <f t="shared" si="0"/>
        <v>8251</v>
      </c>
      <c r="N694" s="211" t="s">
        <v>662</v>
      </c>
    </row>
    <row r="695" spans="1:14" s="202" customFormat="1" ht="12.6" customHeight="1" x14ac:dyDescent="0.2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663</v>
      </c>
    </row>
    <row r="696" spans="1:14" s="202" customFormat="1" ht="12.6" customHeight="1" x14ac:dyDescent="0.2">
      <c r="A696" s="212">
        <v>7200</v>
      </c>
      <c r="B696" s="211" t="s">
        <v>664</v>
      </c>
      <c r="C696" s="217">
        <f>AE85</f>
        <v>567814</v>
      </c>
      <c r="D696" s="217">
        <f>(D615/D612)*AE90</f>
        <v>25725.758048780488</v>
      </c>
      <c r="E696" s="219">
        <f>(E623/E612)*SUM(C696:D696)</f>
        <v>113844.99571262913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1394.8586628206451</v>
      </c>
      <c r="K696" s="217">
        <f>(K644/K612)*AE89</f>
        <v>134673.30359741289</v>
      </c>
      <c r="L696" s="217">
        <f>(L647/L612)*AE94</f>
        <v>0</v>
      </c>
      <c r="M696" s="202">
        <f t="shared" si="0"/>
        <v>275639</v>
      </c>
      <c r="N696" s="211" t="s">
        <v>665</v>
      </c>
    </row>
    <row r="697" spans="1:14" s="202" customFormat="1" ht="12.6" customHeight="1" x14ac:dyDescent="0.2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667</v>
      </c>
    </row>
    <row r="698" spans="1:14" s="202" customFormat="1" ht="12.6" customHeight="1" x14ac:dyDescent="0.2">
      <c r="A698" s="212">
        <v>7230</v>
      </c>
      <c r="B698" s="211" t="s">
        <v>668</v>
      </c>
      <c r="C698" s="217">
        <f>AG85</f>
        <v>776831</v>
      </c>
      <c r="D698" s="217">
        <f>(D615/D612)*AG90</f>
        <v>33267.38652439024</v>
      </c>
      <c r="E698" s="219">
        <f>(E623/E612)*SUM(C698:D698)</f>
        <v>155382.42567585059</v>
      </c>
      <c r="F698" s="219">
        <f>(F624/F612)*AG64</f>
        <v>0</v>
      </c>
      <c r="G698" s="217">
        <f>(G625/G612)*AG91</f>
        <v>3849.759741217154</v>
      </c>
      <c r="H698" s="219">
        <f>(H628/H612)*AG60</f>
        <v>0</v>
      </c>
      <c r="I698" s="217">
        <f>(I629/I612)*AG92</f>
        <v>0</v>
      </c>
      <c r="J698" s="217">
        <f>(J630/J612)*AG93</f>
        <v>9867.8208756567456</v>
      </c>
      <c r="K698" s="217">
        <f>(K644/K612)*AG89</f>
        <v>322292.02904816909</v>
      </c>
      <c r="L698" s="217">
        <f>(L647/L612)*AG94</f>
        <v>20224.256620835444</v>
      </c>
      <c r="M698" s="202">
        <f t="shared" si="0"/>
        <v>544884</v>
      </c>
      <c r="N698" s="211" t="s">
        <v>669</v>
      </c>
    </row>
    <row r="699" spans="1:14" s="202" customFormat="1" ht="12.6" customHeight="1" x14ac:dyDescent="0.2">
      <c r="A699" s="212">
        <v>7240</v>
      </c>
      <c r="B699" s="211" t="s">
        <v>146</v>
      </c>
      <c r="C699" s="217">
        <f>AH85</f>
        <v>265267</v>
      </c>
      <c r="D699" s="217">
        <f>(D615/D612)*AH90</f>
        <v>0</v>
      </c>
      <c r="E699" s="219">
        <f>(E623/E612)*SUM(C699:D699)</f>
        <v>50880.029632690654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628.70987946842502</v>
      </c>
      <c r="K699" s="217">
        <f>(K644/K612)*AH89</f>
        <v>71426.291060424264</v>
      </c>
      <c r="L699" s="217">
        <f>(L647/L612)*AH94</f>
        <v>913.35352481192331</v>
      </c>
      <c r="M699" s="202">
        <f t="shared" si="0"/>
        <v>123848</v>
      </c>
      <c r="N699" s="211" t="s">
        <v>670</v>
      </c>
    </row>
    <row r="700" spans="1:14" s="202" customFormat="1" ht="12.6" customHeight="1" x14ac:dyDescent="0.2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672</v>
      </c>
    </row>
    <row r="701" spans="1:14" s="202" customFormat="1" ht="12.6" customHeight="1" x14ac:dyDescent="0.2">
      <c r="A701" s="212">
        <v>7260</v>
      </c>
      <c r="B701" s="211" t="s">
        <v>148</v>
      </c>
      <c r="C701" s="217">
        <f>AJ85</f>
        <v>1480159</v>
      </c>
      <c r="D701" s="217">
        <f>(D615/D612)*AJ90</f>
        <v>120934.03225609756</v>
      </c>
      <c r="E701" s="219">
        <f>(E623/E612)*SUM(C701:D701)</f>
        <v>307100.6228663376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160.83275986401569</v>
      </c>
      <c r="K701" s="217">
        <f>(K644/K612)*AJ89</f>
        <v>181571.19087552759</v>
      </c>
      <c r="L701" s="217">
        <f>(L647/L612)*AJ94</f>
        <v>32358.810593336708</v>
      </c>
      <c r="M701" s="202">
        <f t="shared" si="0"/>
        <v>642125</v>
      </c>
      <c r="N701" s="211" t="s">
        <v>673</v>
      </c>
    </row>
    <row r="702" spans="1:14" s="202" customFormat="1" ht="12.6" customHeight="1" x14ac:dyDescent="0.2">
      <c r="A702" s="212">
        <v>7310</v>
      </c>
      <c r="B702" s="211" t="s">
        <v>674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675</v>
      </c>
    </row>
    <row r="703" spans="1:14" s="202" customFormat="1" ht="12.6" customHeight="1" x14ac:dyDescent="0.2">
      <c r="A703" s="212">
        <v>7320</v>
      </c>
      <c r="B703" s="211" t="s">
        <v>676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677</v>
      </c>
    </row>
    <row r="704" spans="1:14" s="202" customFormat="1" ht="12.6" customHeight="1" x14ac:dyDescent="0.2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679</v>
      </c>
    </row>
    <row r="705" spans="1:14" s="202" customFormat="1" ht="12.6" customHeight="1" x14ac:dyDescent="0.2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681</v>
      </c>
    </row>
    <row r="706" spans="1:14" s="202" customFormat="1" ht="12.6" customHeight="1" x14ac:dyDescent="0.2">
      <c r="A706" s="212">
        <v>7350</v>
      </c>
      <c r="B706" s="211" t="s">
        <v>682</v>
      </c>
      <c r="C706" s="217">
        <f>AO85</f>
        <v>54903</v>
      </c>
      <c r="D706" s="217">
        <f>(D615/D612)*AO90</f>
        <v>1914.1189024390244</v>
      </c>
      <c r="E706" s="219">
        <f>(E623/E612)*SUM(C706:D706)</f>
        <v>10897.913021220906</v>
      </c>
      <c r="F706" s="219">
        <f>(F624/F612)*AO64</f>
        <v>0</v>
      </c>
      <c r="G706" s="217">
        <f>(G625/G612)*AO91</f>
        <v>8827.8973376186459</v>
      </c>
      <c r="H706" s="219">
        <f>(H628/H612)*AO60</f>
        <v>0</v>
      </c>
      <c r="I706" s="217">
        <f>(I629/I612)*AO92</f>
        <v>3957.2730700621655</v>
      </c>
      <c r="J706" s="217">
        <f>(J630/J612)*AO93</f>
        <v>444.48326362418885</v>
      </c>
      <c r="K706" s="217">
        <f>(K644/K612)*AO89</f>
        <v>19390.317375161223</v>
      </c>
      <c r="L706" s="217">
        <f>(L647/L612)*AO94</f>
        <v>5480.1211488715389</v>
      </c>
      <c r="M706" s="202">
        <f t="shared" si="0"/>
        <v>50912</v>
      </c>
      <c r="N706" s="211" t="s">
        <v>683</v>
      </c>
    </row>
    <row r="707" spans="1:14" s="202" customFormat="1" ht="12.6" customHeight="1" x14ac:dyDescent="0.2">
      <c r="A707" s="212">
        <v>7380</v>
      </c>
      <c r="B707" s="211" t="s">
        <v>684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685</v>
      </c>
    </row>
    <row r="708" spans="1:14" s="202" customFormat="1" ht="12.6" customHeight="1" x14ac:dyDescent="0.2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687</v>
      </c>
    </row>
    <row r="709" spans="1:14" s="202" customFormat="1" ht="12.6" customHeight="1" x14ac:dyDescent="0.2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689</v>
      </c>
    </row>
    <row r="710" spans="1:14" s="202" customFormat="1" ht="12.6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690</v>
      </c>
    </row>
    <row r="711" spans="1:14" s="202" customFormat="1" ht="12.6" customHeight="1" x14ac:dyDescent="0.2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692</v>
      </c>
    </row>
    <row r="712" spans="1:14" s="202" customFormat="1" ht="12.6" customHeight="1" x14ac:dyDescent="0.2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694</v>
      </c>
    </row>
    <row r="713" spans="1:14" s="202" customFormat="1" ht="12.6" customHeight="1" x14ac:dyDescent="0.2">
      <c r="A713" s="212">
        <v>7490</v>
      </c>
      <c r="B713" s="211" t="s">
        <v>695</v>
      </c>
      <c r="C713" s="217">
        <f>AV85</f>
        <v>213078</v>
      </c>
      <c r="D713" s="217">
        <f>(D615/D612)*AV90</f>
        <v>1531.2951219512195</v>
      </c>
      <c r="E713" s="219">
        <f>(E623/E612)*SUM(C713:D713)</f>
        <v>41163.53445869909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146289.7494722096</v>
      </c>
      <c r="L713" s="217">
        <f>(L647/L612)*AV94</f>
        <v>0</v>
      </c>
      <c r="M713" s="202">
        <f t="shared" si="0"/>
        <v>188985</v>
      </c>
      <c r="N713" s="213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11130178</v>
      </c>
      <c r="D715" s="202">
        <f>SUM(D616:D647)+SUM(D668:D713)</f>
        <v>627831</v>
      </c>
      <c r="E715" s="202">
        <f>SUM(E624:E647)+SUM(E668:E713)</f>
        <v>1791267.1427439023</v>
      </c>
      <c r="F715" s="202">
        <f>SUM(F625:F648)+SUM(F668:F713)</f>
        <v>0</v>
      </c>
      <c r="G715" s="202">
        <f>SUM(G626:G647)+SUM(G668:G713)</f>
        <v>319131.80751331162</v>
      </c>
      <c r="H715" s="202">
        <f>SUM(H629:H647)+SUM(H668:H713)</f>
        <v>0</v>
      </c>
      <c r="I715" s="202">
        <f>SUM(I630:I647)+SUM(I668:I713)</f>
        <v>246670.02136720833</v>
      </c>
      <c r="J715" s="202">
        <f>SUM(J631:J647)+SUM(J668:J713)</f>
        <v>31298.055069537455</v>
      </c>
      <c r="K715" s="202">
        <f>SUM(K668:K713)</f>
        <v>1641552.9842199446</v>
      </c>
      <c r="L715" s="202">
        <f>SUM(L668:L713)</f>
        <v>243865.39112478352</v>
      </c>
      <c r="M715" s="202">
        <f>SUM(M668:M713)</f>
        <v>4214240</v>
      </c>
      <c r="N715" s="211" t="s">
        <v>697</v>
      </c>
    </row>
    <row r="716" spans="1:14" s="202" customFormat="1" ht="12.6" customHeight="1" x14ac:dyDescent="0.2">
      <c r="C716" s="214">
        <f>CE85</f>
        <v>11130178</v>
      </c>
      <c r="D716" s="202">
        <f>D615</f>
        <v>627831</v>
      </c>
      <c r="E716" s="202">
        <f>E623</f>
        <v>1791267.1427439023</v>
      </c>
      <c r="F716" s="202">
        <f>F624</f>
        <v>0</v>
      </c>
      <c r="G716" s="202">
        <f>G625</f>
        <v>319131.80751331162</v>
      </c>
      <c r="H716" s="202">
        <f>H628</f>
        <v>0</v>
      </c>
      <c r="I716" s="202">
        <f>I629</f>
        <v>246670.0213672083</v>
      </c>
      <c r="J716" s="202">
        <f>J630</f>
        <v>31298.055069537455</v>
      </c>
      <c r="K716" s="202">
        <f>K644</f>
        <v>1641552.9842199446</v>
      </c>
      <c r="L716" s="202">
        <f>L647</f>
        <v>243865.39112478349</v>
      </c>
      <c r="M716" s="202">
        <f>C648</f>
        <v>4214240</v>
      </c>
      <c r="N716" s="211" t="s">
        <v>698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customFormat="1" ht="15.75" customHeight="1" x14ac:dyDescent="0.25">
      <c r="A2" s="11" t="str">
        <f>MONTH(data!C96) &amp; "-" &amp; DAY(data!C96)</f>
        <v>12-31</v>
      </c>
      <c r="B2" s="201" t="str">
        <f>RIGHT(data!C97, 3)</f>
        <v>111</v>
      </c>
      <c r="C2" s="11" t="str">
        <f>SUBSTITUTE(LEFT(data!C98,49),",","")</f>
        <v>EAST ADAMS RURAL HEALTHCARE</v>
      </c>
      <c r="D2" s="11" t="str">
        <f>LEFT(data!C99, 49)</f>
        <v>903 S ADAMS STREET</v>
      </c>
      <c r="E2" s="11" t="str">
        <f>LEFT(data!C100, 100)</f>
        <v>RITZVILLE</v>
      </c>
      <c r="F2" s="11" t="str">
        <f>LEFT(data!C101, 2)</f>
        <v>WA</v>
      </c>
      <c r="G2" s="11" t="str">
        <f>LEFT(data!C102, 100)</f>
        <v>99169</v>
      </c>
      <c r="H2" s="11" t="str">
        <f>LEFT(data!C103, 100)</f>
        <v>ADAMS</v>
      </c>
      <c r="I2" s="11" t="str">
        <f>LEFT(data!C104, 49)</f>
        <v>Corey Fedie</v>
      </c>
      <c r="J2" s="11" t="str">
        <f>LEFT(data!C105, 49)</f>
        <v>Matthew Gosman</v>
      </c>
      <c r="K2" s="11" t="str">
        <f>LEFT(data!C107, 49)</f>
        <v>(509) 659-5402</v>
      </c>
      <c r="L2" s="11" t="str">
        <f>LEFT(data!C108, 49)</f>
        <v>(509) 659-1252</v>
      </c>
      <c r="M2" s="11" t="str">
        <f>LEFT(data!C109, 49)</f>
        <v>Jeannette Ring</v>
      </c>
      <c r="N2" s="11" t="str">
        <f>LEFT(data!C110, 49)</f>
        <v>jring@dza.cpa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J424" sqref="J42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69" customFormat="1" ht="12.6" customHeight="1" x14ac:dyDescent="0.25">
      <c r="A2" s="12" t="str">
        <f>RIGHT(data!C97,3)</f>
        <v>111</v>
      </c>
      <c r="B2" s="200" t="str">
        <f>RIGHT(data!C96,4)</f>
        <v>2022</v>
      </c>
      <c r="C2" s="12" t="s">
        <v>1157</v>
      </c>
      <c r="D2" s="199">
        <f>ROUND(N(data!C181),0)</f>
        <v>499956</v>
      </c>
      <c r="E2" s="199">
        <f>ROUND(N(data!C182),0)</f>
        <v>-38586</v>
      </c>
      <c r="F2" s="199">
        <f>ROUND(N(data!C183),0)</f>
        <v>110767</v>
      </c>
      <c r="G2" s="199">
        <f>ROUND(N(data!C184),0)</f>
        <v>648850</v>
      </c>
      <c r="H2" s="199">
        <f>ROUND(N(data!C185),0)</f>
        <v>53378</v>
      </c>
      <c r="I2" s="199">
        <f>ROUND(N(data!C186),0)</f>
        <v>125982</v>
      </c>
      <c r="J2" s="199">
        <f>ROUND(N(data!C187)+N(data!C188),0)</f>
        <v>0</v>
      </c>
      <c r="K2" s="199">
        <f>ROUND(N(data!C191),0)</f>
        <v>0</v>
      </c>
      <c r="L2" s="199">
        <f>ROUND(N(data!C192),0)</f>
        <v>70672</v>
      </c>
      <c r="M2" s="199">
        <f>ROUND(N(data!C195),0)</f>
        <v>167307</v>
      </c>
      <c r="N2" s="199">
        <f>ROUND(N(data!C196),0)</f>
        <v>35935</v>
      </c>
      <c r="O2" s="199">
        <f>ROUND(N(data!C199),0)</f>
        <v>90697</v>
      </c>
      <c r="P2" s="199">
        <f>ROUND(N(data!C200),0)</f>
        <v>49865</v>
      </c>
      <c r="Q2" s="199">
        <f>ROUND(N(data!C201),0)</f>
        <v>402044</v>
      </c>
      <c r="R2" s="199">
        <f>ROUND(N(data!C204),0)</f>
        <v>354135</v>
      </c>
      <c r="S2" s="199">
        <f>ROUND(N(data!C205),0)</f>
        <v>0</v>
      </c>
      <c r="T2" s="199">
        <f>ROUND(N(data!B211),0)</f>
        <v>16698</v>
      </c>
      <c r="U2" s="199">
        <f>ROUND(N(data!C211),0)</f>
        <v>0</v>
      </c>
      <c r="V2" s="199">
        <f>ROUND(N(data!D211),0)</f>
        <v>0</v>
      </c>
      <c r="W2" s="199">
        <f>ROUND(N(data!B212),0)</f>
        <v>244149</v>
      </c>
      <c r="X2" s="199">
        <f>ROUND(N(data!C212),0)</f>
        <v>0</v>
      </c>
      <c r="Y2" s="199">
        <f>ROUND(N(data!D212),0)</f>
        <v>0</v>
      </c>
      <c r="Z2" s="199">
        <f>ROUND(N(data!B213),0)</f>
        <v>10560026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1780768</v>
      </c>
      <c r="AG2" s="199">
        <f>ROUND(N(data!C215),0)</f>
        <v>0</v>
      </c>
      <c r="AH2" s="199">
        <f>ROUND(N(data!D215),0)</f>
        <v>0</v>
      </c>
      <c r="AI2" s="199">
        <f>ROUND(N(data!B216),0)</f>
        <v>4251790</v>
      </c>
      <c r="AJ2" s="199">
        <f>ROUND(N(data!C216),0)</f>
        <v>697423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2403540</v>
      </c>
      <c r="AQ2" s="199">
        <f>ROUND(N(data!D218),0)</f>
        <v>0</v>
      </c>
      <c r="AR2" s="199">
        <f>ROUND(N(data!B219),0)</f>
        <v>106840</v>
      </c>
      <c r="AS2" s="199">
        <f>ROUND(N(data!C219),0)</f>
        <v>429852</v>
      </c>
      <c r="AT2" s="199">
        <f>ROUND(N(data!D219),0)</f>
        <v>536692</v>
      </c>
      <c r="AU2" s="199">
        <v>0</v>
      </c>
      <c r="AV2" s="199">
        <v>0</v>
      </c>
      <c r="AW2" s="199">
        <v>0</v>
      </c>
      <c r="AX2" s="199">
        <f>ROUND(N(data!B225),0)</f>
        <v>126979</v>
      </c>
      <c r="AY2" s="199">
        <f>ROUND(N(data!C225),0)</f>
        <v>20969</v>
      </c>
      <c r="AZ2" s="199">
        <f>ROUND(N(data!D225),0)</f>
        <v>0</v>
      </c>
      <c r="BA2" s="199">
        <f>ROUND(N(data!B226),0)</f>
        <v>3253755</v>
      </c>
      <c r="BB2" s="199">
        <f>ROUND(N(data!C226),0)</f>
        <v>508834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639731</v>
      </c>
      <c r="BH2" s="199">
        <f>ROUND(N(data!C228),0)</f>
        <v>111419</v>
      </c>
      <c r="BI2" s="199">
        <f>ROUND(N(data!D228),0)</f>
        <v>0</v>
      </c>
      <c r="BJ2" s="199">
        <f>ROUND(N(data!B229),0)</f>
        <v>3873862</v>
      </c>
      <c r="BK2" s="199">
        <f>ROUND(N(data!C229),0)</f>
        <v>93256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26840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1042179</v>
      </c>
      <c r="BW2" s="199">
        <f>ROUND(N(data!C240),0)</f>
        <v>-2564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1633910</v>
      </c>
      <c r="CB2" s="199">
        <f>ROUND(N(data!C247),0)</f>
        <v>304</v>
      </c>
      <c r="CC2" s="199">
        <f>ROUND(N(data!C249),0)</f>
        <v>0</v>
      </c>
      <c r="CD2" s="199">
        <f>ROUND(N(data!C250),0)</f>
        <v>850453</v>
      </c>
      <c r="CE2" s="199">
        <f>ROUND(N(data!C254)+N(data!C255),0)</f>
        <v>0</v>
      </c>
      <c r="CF2" s="199">
        <f>ROUND(N(data!D237),0)</f>
        <v>1358931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69" customFormat="1" ht="12.6" customHeight="1" x14ac:dyDescent="0.25">
      <c r="A2" s="12" t="str">
        <f>RIGHT(data!C97,3)</f>
        <v>111</v>
      </c>
      <c r="B2" s="12" t="str">
        <f>RIGHT(data!C96,4)</f>
        <v>2022</v>
      </c>
      <c r="C2" s="12" t="s">
        <v>1157</v>
      </c>
      <c r="D2" s="198">
        <f>ROUND(N(data!C127),0)</f>
        <v>87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261</v>
      </c>
      <c r="I2" s="198">
        <f>ROUND(N(data!D128),0)</f>
        <v>1324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12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0</v>
      </c>
      <c r="X2" s="198">
        <f>ROUND(N(data!C145),0)</f>
        <v>0</v>
      </c>
      <c r="Y2" s="198">
        <f>ROUND(N(data!B154),0)</f>
        <v>30</v>
      </c>
      <c r="Z2" s="198">
        <f>ROUND(N(data!B155),0)</f>
        <v>122</v>
      </c>
      <c r="AA2" s="198">
        <f>ROUND(N(data!B156),0)</f>
        <v>0</v>
      </c>
      <c r="AB2" s="198">
        <f>ROUND(N(data!B157),0)</f>
        <v>381601</v>
      </c>
      <c r="AC2" s="198">
        <f>ROUND(N(data!B158),0)</f>
        <v>2947406</v>
      </c>
      <c r="AD2" s="198">
        <f>ROUND(N(data!C154),0)</f>
        <v>14</v>
      </c>
      <c r="AE2" s="198">
        <f>ROUND(N(data!C155),0)</f>
        <v>61</v>
      </c>
      <c r="AF2" s="198">
        <f>ROUND(N(data!C156),0)</f>
        <v>0</v>
      </c>
      <c r="AG2" s="198">
        <f>ROUND(N(data!C157),0)</f>
        <v>229706</v>
      </c>
      <c r="AH2" s="198">
        <f>ROUND(N(data!C158),0)</f>
        <v>1387639</v>
      </c>
      <c r="AI2" s="198">
        <f>ROUND(N(data!D154),0)</f>
        <v>43</v>
      </c>
      <c r="AJ2" s="198">
        <f>ROUND(N(data!D155),0)</f>
        <v>78</v>
      </c>
      <c r="AK2" s="198">
        <f>ROUND(N(data!D156),0)</f>
        <v>0</v>
      </c>
      <c r="AL2" s="198">
        <f>ROUND(N(data!D157),0)</f>
        <v>55882</v>
      </c>
      <c r="AM2" s="198">
        <f>ROUND(N(data!D158),0)</f>
        <v>6388969</v>
      </c>
      <c r="AN2" s="198">
        <f>ROUND(N(data!B160),0)</f>
        <v>0</v>
      </c>
      <c r="AO2" s="198">
        <f>ROUND(N(data!B161),0)</f>
        <v>227</v>
      </c>
      <c r="AP2" s="198">
        <f>ROUND(N(data!B162),0)</f>
        <v>0</v>
      </c>
      <c r="AQ2" s="198">
        <f>ROUND(N(data!B163),0)</f>
        <v>333480</v>
      </c>
      <c r="AR2" s="198">
        <f>ROUND(N(data!B164),0)</f>
        <v>0</v>
      </c>
      <c r="AS2" s="198">
        <f>ROUND(N(data!C160),0)</f>
        <v>0</v>
      </c>
      <c r="AT2" s="198">
        <f>ROUND(N(data!C161),0)</f>
        <v>568</v>
      </c>
      <c r="AU2" s="198">
        <f>ROUND(N(data!C162),0)</f>
        <v>0</v>
      </c>
      <c r="AV2" s="198">
        <f>ROUND(N(data!C163),0)</f>
        <v>133800</v>
      </c>
      <c r="AW2" s="198">
        <f>ROUND(N(data!C164),0)</f>
        <v>0</v>
      </c>
      <c r="AX2" s="198">
        <f>ROUND(N(data!D160),0)</f>
        <v>0</v>
      </c>
      <c r="AY2" s="198">
        <f>ROUND(N(data!D161),0)</f>
        <v>529</v>
      </c>
      <c r="AZ2" s="198">
        <f>ROUND(N(data!D162),0)</f>
        <v>0</v>
      </c>
      <c r="BA2" s="198">
        <f>ROUND(N(data!D163),0)</f>
        <v>283480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1171066</v>
      </c>
      <c r="BS2" s="198">
        <f>ROUND(N(data!C173),0)</f>
        <v>762055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197" t="s">
        <v>1323</v>
      </c>
      <c r="CR1" s="197" t="s">
        <v>1324</v>
      </c>
      <c r="CS1" s="197" t="s">
        <v>1325</v>
      </c>
      <c r="CT1" s="197" t="s">
        <v>1326</v>
      </c>
      <c r="CU1" s="197" t="s">
        <v>1327</v>
      </c>
      <c r="CV1" s="197" t="s">
        <v>1328</v>
      </c>
      <c r="CW1" s="197" t="s">
        <v>1329</v>
      </c>
      <c r="CX1" s="197" t="s">
        <v>1330</v>
      </c>
      <c r="CY1" s="197" t="s">
        <v>1331</v>
      </c>
      <c r="CZ1" s="197" t="s">
        <v>1332</v>
      </c>
      <c r="DA1" s="197" t="s">
        <v>1333</v>
      </c>
      <c r="DB1" s="197" t="s">
        <v>1334</v>
      </c>
      <c r="DC1" s="197" t="s">
        <v>1335</v>
      </c>
      <c r="DD1" s="197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69" customFormat="1" ht="12.6" customHeight="1" x14ac:dyDescent="0.25">
      <c r="A2" s="199" t="str">
        <f>RIGHT(data!C97,3)</f>
        <v>111</v>
      </c>
      <c r="B2" s="200" t="str">
        <f>RIGHT(data!C96,4)</f>
        <v>2022</v>
      </c>
      <c r="C2" s="12" t="s">
        <v>1157</v>
      </c>
      <c r="D2" s="198">
        <f>ROUND(N(data!C181),0)</f>
        <v>499956</v>
      </c>
      <c r="E2" s="198">
        <f>ROUND(N(data!C267),0)</f>
        <v>0</v>
      </c>
      <c r="F2" s="198">
        <f>ROUND(N(data!C268),0)</f>
        <v>4784912</v>
      </c>
      <c r="G2" s="198">
        <f>ROUND(N(data!C269),0)</f>
        <v>2526776</v>
      </c>
      <c r="H2" s="198">
        <f>ROUND(N(data!C270),0)</f>
        <v>0</v>
      </c>
      <c r="I2" s="198">
        <f>ROUND(N(data!C271),0)</f>
        <v>810772</v>
      </c>
      <c r="J2" s="198">
        <f>ROUND(N(data!C272),0)</f>
        <v>0</v>
      </c>
      <c r="K2" s="198">
        <f>ROUND(N(data!C273),0)</f>
        <v>279989</v>
      </c>
      <c r="L2" s="198">
        <f>ROUND(N(data!C274),0)</f>
        <v>18671</v>
      </c>
      <c r="M2" s="198">
        <f>ROUND(N(data!C275),0)</f>
        <v>0</v>
      </c>
      <c r="N2" s="198">
        <f>ROUND(N(data!C278),0)</f>
        <v>1903738</v>
      </c>
      <c r="O2" s="198">
        <f>ROUND(N(data!C279),0)</f>
        <v>0</v>
      </c>
      <c r="P2" s="198">
        <f>ROUND(N(data!C280),0)</f>
        <v>0</v>
      </c>
      <c r="Q2" s="198">
        <f>ROUND(N(data!C283),0)</f>
        <v>16698</v>
      </c>
      <c r="R2" s="198">
        <f>ROUND(N(data!C284),0)</f>
        <v>244149</v>
      </c>
      <c r="S2" s="198">
        <f>ROUND(N(data!C285),0)</f>
        <v>10560026</v>
      </c>
      <c r="T2" s="198">
        <f>ROUND(N(data!C286),0)</f>
        <v>0</v>
      </c>
      <c r="U2" s="198">
        <f>ROUND(N(data!C287),0)</f>
        <v>1780768</v>
      </c>
      <c r="V2" s="198">
        <f>ROUND(N(data!C288),0)</f>
        <v>4949213</v>
      </c>
      <c r="W2" s="198">
        <f>ROUND(N(data!C289),0)</f>
        <v>2403540</v>
      </c>
      <c r="X2" s="198">
        <f>ROUND(N(data!C290),0)</f>
        <v>0</v>
      </c>
      <c r="Y2" s="198">
        <f>ROUND(N(data!C291),0)</f>
        <v>0</v>
      </c>
      <c r="Z2" s="198">
        <f>ROUND(N(data!C292),0)</f>
        <v>8655645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34516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553703</v>
      </c>
      <c r="AK2" s="198">
        <f>ROUND(N(data!C316),0)</f>
        <v>525196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161768</v>
      </c>
      <c r="AR2" s="198">
        <f>ROUND(N(data!C323),0)</f>
        <v>0</v>
      </c>
      <c r="AS2" s="198">
        <f>ROUND(N(data!C326),0)</f>
        <v>0</v>
      </c>
      <c r="AT2" s="198">
        <f>ROUND(N(data!C327),0)</f>
        <v>492000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1960999</v>
      </c>
      <c r="AZ2" s="198">
        <f>ROUND(N(data!C335),0)</f>
        <v>7610614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8459394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70.28</v>
      </c>
      <c r="BL2" s="198">
        <f>ROUND(N(data!C358),0)</f>
        <v>1417949</v>
      </c>
      <c r="BM2" s="198">
        <f>ROUND(N(data!C359),0)</f>
        <v>10724014</v>
      </c>
      <c r="BN2" s="198">
        <f>ROUND(N(data!C363),0)</f>
        <v>2673525</v>
      </c>
      <c r="BO2" s="198">
        <f>ROUND(N(data!C364),0)</f>
        <v>850453</v>
      </c>
      <c r="BP2" s="198">
        <f>ROUND(N(data!C365),0)</f>
        <v>0</v>
      </c>
      <c r="BQ2" s="198">
        <f>ROUND(N(data!D381),0)</f>
        <v>1596533</v>
      </c>
      <c r="BR2" s="198">
        <f>ROUND(N(data!C370),0)</f>
        <v>0</v>
      </c>
      <c r="BS2" s="198">
        <f>ROUND(N(data!C371),0)</f>
        <v>1529191</v>
      </c>
      <c r="BT2" s="198">
        <f>ROUND(N(data!C372),0)</f>
        <v>0</v>
      </c>
      <c r="BU2" s="198">
        <f>ROUND(N(data!C373),0)</f>
        <v>0</v>
      </c>
      <c r="BV2" s="198">
        <f>ROUND(N(data!C374),0)</f>
        <v>30099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900</v>
      </c>
      <c r="CA2" s="198">
        <f>ROUND(N(data!C379),0)</f>
        <v>0</v>
      </c>
      <c r="CB2" s="198">
        <f>ROUND(N(data!C380),0)</f>
        <v>36343</v>
      </c>
      <c r="CC2" s="198">
        <f>ROUND(N(data!C382),0)</f>
        <v>1234465</v>
      </c>
      <c r="CD2" s="198">
        <f>ROUND(N(data!C389),0)</f>
        <v>6134087</v>
      </c>
      <c r="CE2" s="198">
        <f>ROUND(N(data!C390),0)</f>
        <v>1400347</v>
      </c>
      <c r="CF2" s="198">
        <f>ROUND(N(data!C391),0)</f>
        <v>3249030</v>
      </c>
      <c r="CG2" s="198">
        <f>ROUND(N(data!C392),0)</f>
        <v>883932</v>
      </c>
      <c r="CH2" s="198">
        <f>ROUND(N(data!C393),0)</f>
        <v>248396</v>
      </c>
      <c r="CI2" s="198">
        <f>ROUND(N(data!C394),0)</f>
        <v>0</v>
      </c>
      <c r="CJ2" s="198">
        <f>ROUND(N(data!C395),0)</f>
        <v>761318</v>
      </c>
      <c r="CK2" s="198">
        <f>ROUND(N(data!C396),0)</f>
        <v>70672</v>
      </c>
      <c r="CL2" s="198">
        <f>ROUND(N(data!C397),0)</f>
        <v>203242</v>
      </c>
      <c r="CM2" s="198">
        <f>ROUND(N(data!C398),0)</f>
        <v>140562</v>
      </c>
      <c r="CN2" s="198">
        <f>ROUND(N(data!C399),0)</f>
        <v>354135</v>
      </c>
      <c r="CO2" s="198">
        <f>ROUND(N(data!C362),0)</f>
        <v>1358931</v>
      </c>
      <c r="CP2" s="198">
        <f>ROUND(N(data!D415),0)</f>
        <v>402044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140760</v>
      </c>
      <c r="CY2" s="52">
        <f>ROUND(N(data!C409),0)</f>
        <v>0</v>
      </c>
      <c r="CZ2" s="52">
        <f>ROUND(N(data!C410),0)</f>
        <v>67887</v>
      </c>
      <c r="DA2" s="52">
        <f>ROUND(N(data!C411),0)</f>
        <v>11143</v>
      </c>
      <c r="DB2" s="52">
        <f>ROUND(N(data!C412),0)</f>
        <v>0</v>
      </c>
      <c r="DC2" s="52">
        <f>ROUND(N(data!C413),0)</f>
        <v>0</v>
      </c>
      <c r="DD2" s="52">
        <f>ROUND(N(data!C414),0)</f>
        <v>182254</v>
      </c>
      <c r="DE2" s="52">
        <f>ROUND(N(data!C419),0)</f>
        <v>0</v>
      </c>
      <c r="DF2" s="198">
        <f>ROUND(N(data!D420),0)</f>
        <v>31738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52"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111</v>
      </c>
      <c r="B2" s="200" t="str">
        <f>RIGHT(data!$C$96,4)</f>
        <v>2022</v>
      </c>
      <c r="C2" s="12" t="str">
        <f>data!C$55</f>
        <v>6010</v>
      </c>
      <c r="D2" s="12" t="s">
        <v>1157</v>
      </c>
      <c r="E2" s="198">
        <f>ROUND(N(data!C59), 0)</f>
        <v>0</v>
      </c>
      <c r="F2" s="315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315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111</v>
      </c>
      <c r="B3" s="200" t="str">
        <f>RIGHT(data!$C$96,4)</f>
        <v>2022</v>
      </c>
      <c r="C3" s="12" t="str">
        <f>data!D$55</f>
        <v>6030</v>
      </c>
      <c r="D3" s="12" t="s">
        <v>1157</v>
      </c>
      <c r="E3" s="198">
        <f>ROUND(N(data!D59), 0)</f>
        <v>0</v>
      </c>
      <c r="F3" s="315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5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111</v>
      </c>
      <c r="B4" s="200" t="str">
        <f>RIGHT(data!$C$96,4)</f>
        <v>2022</v>
      </c>
      <c r="C4" s="12" t="str">
        <f>data!E$55</f>
        <v>6070</v>
      </c>
      <c r="D4" s="12" t="s">
        <v>1157</v>
      </c>
      <c r="E4" s="198">
        <f>ROUND(N(data!E59), 0)</f>
        <v>261</v>
      </c>
      <c r="F4" s="315">
        <f>ROUND(N(data!E60), 2)</f>
        <v>1.77</v>
      </c>
      <c r="G4" s="198">
        <f>ROUND(N(data!E61), 0)</f>
        <v>139405</v>
      </c>
      <c r="H4" s="198">
        <f>ROUND(N(data!E62), 0)</f>
        <v>31825</v>
      </c>
      <c r="I4" s="198">
        <f>ROUND(N(data!E63), 0)</f>
        <v>0</v>
      </c>
      <c r="J4" s="198">
        <f>ROUND(N(data!E64), 0)</f>
        <v>13856</v>
      </c>
      <c r="K4" s="198">
        <f>ROUND(N(data!E65), 0)</f>
        <v>0</v>
      </c>
      <c r="L4" s="198">
        <f>ROUND(N(data!E66), 0)</f>
        <v>151847</v>
      </c>
      <c r="M4" s="198">
        <f>ROUND(N(data!E67), 0)</f>
        <v>9571</v>
      </c>
      <c r="N4" s="198">
        <f>ROUND(N(data!E68), 0)</f>
        <v>0</v>
      </c>
      <c r="O4" s="198">
        <f>ROUND(N(data!E69), 0)</f>
        <v>740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5</v>
      </c>
      <c r="AA4" s="198">
        <f>ROUND(N(data!E81), 0)</f>
        <v>0</v>
      </c>
      <c r="AB4" s="198">
        <f>ROUND(N(data!E82), 0)</f>
        <v>0</v>
      </c>
      <c r="AC4" s="198">
        <f>ROUND(N(data!E83), 0)</f>
        <v>735</v>
      </c>
      <c r="AD4" s="198">
        <f>ROUND(N(data!E84), 0)</f>
        <v>0</v>
      </c>
      <c r="AE4" s="198">
        <f>ROUND(N(data!E89), 0)</f>
        <v>520409</v>
      </c>
      <c r="AF4" s="198">
        <f>ROUND(N(data!E87), 0)</f>
        <v>520409</v>
      </c>
      <c r="AG4" s="198">
        <f>ROUND(N(data!E90), 0)</f>
        <v>280</v>
      </c>
      <c r="AH4" s="198">
        <f>ROUND(N(data!E91), 0)</f>
        <v>790</v>
      </c>
      <c r="AI4" s="198">
        <f>ROUND(N(data!E92), 0)</f>
        <v>118</v>
      </c>
      <c r="AJ4" s="198">
        <f>ROUND(N(data!E93), 0)</f>
        <v>1751</v>
      </c>
      <c r="AK4" s="315">
        <f>ROUND(N(data!E94), 2)</f>
        <v>1.4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111</v>
      </c>
      <c r="B5" s="200" t="str">
        <f>RIGHT(data!$C$96,4)</f>
        <v>2022</v>
      </c>
      <c r="C5" s="12" t="str">
        <f>data!F$55</f>
        <v>6100</v>
      </c>
      <c r="D5" s="12" t="s">
        <v>1157</v>
      </c>
      <c r="E5" s="198">
        <f>ROUND(N(data!F59), 0)</f>
        <v>0</v>
      </c>
      <c r="F5" s="315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5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111</v>
      </c>
      <c r="B6" s="200" t="str">
        <f>RIGHT(data!$C$96,4)</f>
        <v>2022</v>
      </c>
      <c r="C6" s="12" t="str">
        <f>data!G$55</f>
        <v>6120</v>
      </c>
      <c r="D6" s="12" t="s">
        <v>1157</v>
      </c>
      <c r="E6" s="198">
        <f>ROUND(N(data!G59), 0)</f>
        <v>0</v>
      </c>
      <c r="F6" s="315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5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111</v>
      </c>
      <c r="B7" s="200" t="str">
        <f>RIGHT(data!$C$96,4)</f>
        <v>2022</v>
      </c>
      <c r="C7" s="12" t="str">
        <f>data!H$55</f>
        <v>6140</v>
      </c>
      <c r="D7" s="12" t="s">
        <v>1157</v>
      </c>
      <c r="E7" s="198">
        <f>ROUND(N(data!H59), 0)</f>
        <v>0</v>
      </c>
      <c r="F7" s="315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5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111</v>
      </c>
      <c r="B8" s="200" t="str">
        <f>RIGHT(data!$C$96,4)</f>
        <v>2022</v>
      </c>
      <c r="C8" s="12" t="str">
        <f>data!I$55</f>
        <v>6150</v>
      </c>
      <c r="D8" s="12" t="s">
        <v>1157</v>
      </c>
      <c r="E8" s="198">
        <f>ROUND(N(data!I59), 0)</f>
        <v>0</v>
      </c>
      <c r="F8" s="315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5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111</v>
      </c>
      <c r="B9" s="200" t="str">
        <f>RIGHT(data!$C$96,4)</f>
        <v>2022</v>
      </c>
      <c r="C9" s="12" t="str">
        <f>data!J$55</f>
        <v>6170</v>
      </c>
      <c r="D9" s="12" t="s">
        <v>1157</v>
      </c>
      <c r="E9" s="198">
        <f>ROUND(N(data!J59), 0)</f>
        <v>0</v>
      </c>
      <c r="F9" s="315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5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111</v>
      </c>
      <c r="B10" s="200" t="str">
        <f>RIGHT(data!$C$96,4)</f>
        <v>2022</v>
      </c>
      <c r="C10" s="12" t="str">
        <f>data!K$55</f>
        <v>6200</v>
      </c>
      <c r="D10" s="12" t="s">
        <v>1157</v>
      </c>
      <c r="E10" s="198">
        <f>ROUND(N(data!K59), 0)</f>
        <v>0</v>
      </c>
      <c r="F10" s="315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5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111</v>
      </c>
      <c r="B11" s="200" t="str">
        <f>RIGHT(data!$C$96,4)</f>
        <v>2022</v>
      </c>
      <c r="C11" s="12" t="str">
        <f>data!L$55</f>
        <v>6210</v>
      </c>
      <c r="D11" s="12" t="s">
        <v>1157</v>
      </c>
      <c r="E11" s="198">
        <f>ROUND(N(data!L59), 0)</f>
        <v>1324</v>
      </c>
      <c r="F11" s="315">
        <f>ROUND(N(data!L60), 2)</f>
        <v>8.9700000000000006</v>
      </c>
      <c r="G11" s="198">
        <f>ROUND(N(data!L61), 0)</f>
        <v>707175</v>
      </c>
      <c r="H11" s="198">
        <f>ROUND(N(data!L62), 0)</f>
        <v>161441</v>
      </c>
      <c r="I11" s="198">
        <f>ROUND(N(data!L63), 0)</f>
        <v>0</v>
      </c>
      <c r="J11" s="198">
        <f>ROUND(N(data!L64), 0)</f>
        <v>70290</v>
      </c>
      <c r="K11" s="198">
        <f>ROUND(N(data!L65), 0)</f>
        <v>0</v>
      </c>
      <c r="L11" s="198">
        <f>ROUND(N(data!L66), 0)</f>
        <v>770289</v>
      </c>
      <c r="M11" s="198">
        <f>ROUND(N(data!L67), 0)</f>
        <v>48606</v>
      </c>
      <c r="N11" s="198">
        <f>ROUND(N(data!L68), 0)</f>
        <v>0</v>
      </c>
      <c r="O11" s="198">
        <f>ROUND(N(data!L69), 0)</f>
        <v>3751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24</v>
      </c>
      <c r="AA11" s="198">
        <f>ROUND(N(data!L81), 0)</f>
        <v>0</v>
      </c>
      <c r="AB11" s="198">
        <f>ROUND(N(data!L82), 0)</f>
        <v>0</v>
      </c>
      <c r="AC11" s="198">
        <f>ROUND(N(data!L83), 0)</f>
        <v>3727</v>
      </c>
      <c r="AD11" s="198">
        <f>ROUND(N(data!L84), 0)</f>
        <v>0</v>
      </c>
      <c r="AE11" s="198">
        <f>ROUND(N(data!L89), 0)</f>
        <v>738690</v>
      </c>
      <c r="AF11" s="198">
        <f>ROUND(N(data!L87), 0)</f>
        <v>738690</v>
      </c>
      <c r="AG11" s="198">
        <f>ROUND(N(data!L90), 0)</f>
        <v>1422</v>
      </c>
      <c r="AH11" s="198">
        <f>ROUND(N(data!L91), 0)</f>
        <v>4008</v>
      </c>
      <c r="AI11" s="198">
        <f>ROUND(N(data!L92), 0)</f>
        <v>600</v>
      </c>
      <c r="AJ11" s="198">
        <f>ROUND(N(data!L93), 0)</f>
        <v>8884</v>
      </c>
      <c r="AK11" s="315">
        <f>ROUND(N(data!L94), 2)</f>
        <v>7.09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111</v>
      </c>
      <c r="B12" s="200" t="str">
        <f>RIGHT(data!$C$96,4)</f>
        <v>2022</v>
      </c>
      <c r="C12" s="12" t="str">
        <f>data!M$55</f>
        <v>6330</v>
      </c>
      <c r="D12" s="12" t="s">
        <v>1157</v>
      </c>
      <c r="E12" s="198">
        <f>ROUND(N(data!M59), 0)</f>
        <v>0</v>
      </c>
      <c r="F12" s="315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5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111</v>
      </c>
      <c r="B13" s="200" t="str">
        <f>RIGHT(data!$C$96,4)</f>
        <v>2022</v>
      </c>
      <c r="C13" s="12" t="str">
        <f>data!N$55</f>
        <v>6400</v>
      </c>
      <c r="D13" s="12" t="s">
        <v>1157</v>
      </c>
      <c r="E13" s="198">
        <f>ROUND(N(data!N59), 0)</f>
        <v>0</v>
      </c>
      <c r="F13" s="315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5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111</v>
      </c>
      <c r="B14" s="200" t="str">
        <f>RIGHT(data!$C$96,4)</f>
        <v>2022</v>
      </c>
      <c r="C14" s="12" t="str">
        <f>data!O$55</f>
        <v>7010</v>
      </c>
      <c r="D14" s="12" t="s">
        <v>1157</v>
      </c>
      <c r="E14" s="198">
        <f>ROUND(N(data!O59), 0)</f>
        <v>0</v>
      </c>
      <c r="F14" s="315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315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111</v>
      </c>
      <c r="B15" s="200" t="str">
        <f>RIGHT(data!$C$96,4)</f>
        <v>2022</v>
      </c>
      <c r="C15" s="12" t="str">
        <f>data!P$55</f>
        <v>7020</v>
      </c>
      <c r="D15" s="12" t="s">
        <v>1157</v>
      </c>
      <c r="E15" s="198">
        <f>ROUND(N(data!P59), 0)</f>
        <v>0</v>
      </c>
      <c r="F15" s="315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315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111</v>
      </c>
      <c r="B16" s="200" t="str">
        <f>RIGHT(data!$C$96,4)</f>
        <v>2022</v>
      </c>
      <c r="C16" s="12" t="str">
        <f>data!Q$55</f>
        <v>7030</v>
      </c>
      <c r="D16" s="12" t="s">
        <v>1157</v>
      </c>
      <c r="E16" s="198">
        <f>ROUND(N(data!Q59), 0)</f>
        <v>0</v>
      </c>
      <c r="F16" s="315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315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111</v>
      </c>
      <c r="B17" s="200" t="str">
        <f>RIGHT(data!$C$96,4)</f>
        <v>2022</v>
      </c>
      <c r="C17" s="12" t="str">
        <f>data!R$55</f>
        <v>7040</v>
      </c>
      <c r="D17" s="12" t="s">
        <v>1157</v>
      </c>
      <c r="E17" s="198">
        <f>ROUND(N(data!R59), 0)</f>
        <v>0</v>
      </c>
      <c r="F17" s="315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315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111</v>
      </c>
      <c r="B18" s="200" t="str">
        <f>RIGHT(data!$C$96,4)</f>
        <v>2022</v>
      </c>
      <c r="C18" s="12" t="str">
        <f>data!S$55</f>
        <v>7050</v>
      </c>
      <c r="D18" s="12" t="s">
        <v>1157</v>
      </c>
      <c r="E18" s="198">
        <f>ROUND(N(data!S59), 0)</f>
        <v>0</v>
      </c>
      <c r="F18" s="315">
        <f>ROUND(N(data!S60), 2)</f>
        <v>0.96</v>
      </c>
      <c r="G18" s="198">
        <f>ROUND(N(data!S61), 0)</f>
        <v>47645</v>
      </c>
      <c r="H18" s="198">
        <f>ROUND(N(data!S62), 0)</f>
        <v>10877</v>
      </c>
      <c r="I18" s="198">
        <f>ROUND(N(data!S63), 0)</f>
        <v>0</v>
      </c>
      <c r="J18" s="198">
        <f>ROUND(N(data!S64), 0)</f>
        <v>0</v>
      </c>
      <c r="K18" s="198">
        <f>ROUND(N(data!S65), 0)</f>
        <v>1000</v>
      </c>
      <c r="L18" s="198">
        <f>ROUND(N(data!S66), 0)</f>
        <v>0</v>
      </c>
      <c r="M18" s="198">
        <f>ROUND(N(data!S67), 0)</f>
        <v>17159</v>
      </c>
      <c r="N18" s="198">
        <f>ROUND(N(data!S68), 0)</f>
        <v>0</v>
      </c>
      <c r="O18" s="198">
        <f>ROUND(N(data!S69), 0)</f>
        <v>3295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3295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502</v>
      </c>
      <c r="AH18" s="198">
        <f>ROUND(N(data!S91), 0)</f>
        <v>0</v>
      </c>
      <c r="AI18" s="198">
        <f>ROUND(N(data!S92), 0)</f>
        <v>212</v>
      </c>
      <c r="AJ18" s="198">
        <f>ROUND(N(data!S93), 0)</f>
        <v>0</v>
      </c>
      <c r="AK18" s="315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111</v>
      </c>
      <c r="B19" s="200" t="str">
        <f>RIGHT(data!$C$96,4)</f>
        <v>2022</v>
      </c>
      <c r="C19" s="12" t="str">
        <f>data!T$55</f>
        <v>7060</v>
      </c>
      <c r="D19" s="12" t="s">
        <v>1157</v>
      </c>
      <c r="E19" s="198">
        <f>ROUND(N(data!T59), 0)</f>
        <v>0</v>
      </c>
      <c r="F19" s="315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5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111</v>
      </c>
      <c r="B20" s="200" t="str">
        <f>RIGHT(data!$C$96,4)</f>
        <v>2022</v>
      </c>
      <c r="C20" s="12" t="str">
        <f>data!U$55</f>
        <v>7070</v>
      </c>
      <c r="D20" s="12" t="s">
        <v>1157</v>
      </c>
      <c r="E20" s="198">
        <f>ROUND(N(data!U59), 0)</f>
        <v>16788</v>
      </c>
      <c r="F20" s="315">
        <f>ROUND(N(data!U60), 2)</f>
        <v>4.54</v>
      </c>
      <c r="G20" s="198">
        <f>ROUND(N(data!U61), 0)</f>
        <v>346497</v>
      </c>
      <c r="H20" s="198">
        <f>ROUND(N(data!U62), 0)</f>
        <v>79102</v>
      </c>
      <c r="I20" s="198">
        <f>ROUND(N(data!U63), 0)</f>
        <v>0</v>
      </c>
      <c r="J20" s="198">
        <f>ROUND(N(data!U64), 0)</f>
        <v>220780</v>
      </c>
      <c r="K20" s="198">
        <f>ROUND(N(data!U65), 0)</f>
        <v>0</v>
      </c>
      <c r="L20" s="198">
        <f>ROUND(N(data!U66), 0)</f>
        <v>100878</v>
      </c>
      <c r="M20" s="198">
        <f>ROUND(N(data!U67), 0)</f>
        <v>18560</v>
      </c>
      <c r="N20" s="198">
        <f>ROUND(N(data!U68), 0)</f>
        <v>0</v>
      </c>
      <c r="O20" s="198">
        <f>ROUND(N(data!U69), 0)</f>
        <v>1047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1047</v>
      </c>
      <c r="AD20" s="198">
        <f>ROUND(N(data!U84), 0)</f>
        <v>0</v>
      </c>
      <c r="AE20" s="198">
        <f>ROUND(N(data!U89), 0)</f>
        <v>1780917</v>
      </c>
      <c r="AF20" s="198">
        <f>ROUND(N(data!U87), 0)</f>
        <v>50964</v>
      </c>
      <c r="AG20" s="198">
        <f>ROUND(N(data!U90), 0)</f>
        <v>543</v>
      </c>
      <c r="AH20" s="198">
        <f>ROUND(N(data!U91), 0)</f>
        <v>0</v>
      </c>
      <c r="AI20" s="198">
        <f>ROUND(N(data!U92), 0)</f>
        <v>229</v>
      </c>
      <c r="AJ20" s="198">
        <f>ROUND(N(data!U93), 0)</f>
        <v>0</v>
      </c>
      <c r="AK20" s="315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111</v>
      </c>
      <c r="B21" s="200" t="str">
        <f>RIGHT(data!$C$96,4)</f>
        <v>2022</v>
      </c>
      <c r="C21" s="12" t="str">
        <f>data!V$55</f>
        <v>7110</v>
      </c>
      <c r="D21" s="12" t="s">
        <v>1157</v>
      </c>
      <c r="E21" s="198">
        <f>ROUND(N(data!V59), 0)</f>
        <v>0</v>
      </c>
      <c r="F21" s="315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5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111</v>
      </c>
      <c r="B22" s="200" t="str">
        <f>RIGHT(data!$C$96,4)</f>
        <v>2022</v>
      </c>
      <c r="C22" s="12" t="str">
        <f>data!W$55</f>
        <v>7120</v>
      </c>
      <c r="D22" s="12" t="s">
        <v>1157</v>
      </c>
      <c r="E22" s="198">
        <f>ROUND(N(data!W59), 0)</f>
        <v>75</v>
      </c>
      <c r="F22" s="315">
        <f>ROUND(N(data!W60), 2)</f>
        <v>0.08</v>
      </c>
      <c r="G22" s="198">
        <f>ROUND(N(data!W61), 0)</f>
        <v>9807</v>
      </c>
      <c r="H22" s="198">
        <f>ROUND(N(data!W62), 0)</f>
        <v>2239</v>
      </c>
      <c r="I22" s="198">
        <f>ROUND(N(data!W63), 0)</f>
        <v>0</v>
      </c>
      <c r="J22" s="198">
        <f>ROUND(N(data!W64), 0)</f>
        <v>67</v>
      </c>
      <c r="K22" s="198">
        <f>ROUND(N(data!W65), 0)</f>
        <v>0</v>
      </c>
      <c r="L22" s="198">
        <f>ROUND(N(data!W66), 0)</f>
        <v>74021</v>
      </c>
      <c r="M22" s="198">
        <f>ROUND(N(data!W67), 0)</f>
        <v>1094</v>
      </c>
      <c r="N22" s="198">
        <f>ROUND(N(data!W68), 0)</f>
        <v>0</v>
      </c>
      <c r="O22" s="198">
        <f>ROUND(N(data!W69), 0)</f>
        <v>212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201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11</v>
      </c>
      <c r="AD22" s="198">
        <f>ROUND(N(data!W84), 0)</f>
        <v>0</v>
      </c>
      <c r="AE22" s="198">
        <f>ROUND(N(data!W89), 0)</f>
        <v>194085</v>
      </c>
      <c r="AF22" s="198">
        <f>ROUND(N(data!W87), 0)</f>
        <v>0</v>
      </c>
      <c r="AG22" s="198">
        <f>ROUND(N(data!W90), 0)</f>
        <v>32</v>
      </c>
      <c r="AH22" s="198">
        <f>ROUND(N(data!W91), 0)</f>
        <v>0</v>
      </c>
      <c r="AI22" s="198">
        <f>ROUND(N(data!W92), 0)</f>
        <v>14</v>
      </c>
      <c r="AJ22" s="198">
        <f>ROUND(N(data!W93), 0)</f>
        <v>36</v>
      </c>
      <c r="AK22" s="315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111</v>
      </c>
      <c r="B23" s="200" t="str">
        <f>RIGHT(data!$C$96,4)</f>
        <v>2022</v>
      </c>
      <c r="C23" s="12" t="str">
        <f>data!X$55</f>
        <v>7130</v>
      </c>
      <c r="D23" s="12" t="s">
        <v>1157</v>
      </c>
      <c r="E23" s="198">
        <f>ROUND(N(data!X59), 0)</f>
        <v>634</v>
      </c>
      <c r="F23" s="315">
        <f>ROUND(N(data!X60), 2)</f>
        <v>0.66</v>
      </c>
      <c r="G23" s="198">
        <f>ROUND(N(data!X61), 0)</f>
        <v>82902</v>
      </c>
      <c r="H23" s="198">
        <f>ROUND(N(data!X62), 0)</f>
        <v>18926</v>
      </c>
      <c r="I23" s="198">
        <f>ROUND(N(data!X63), 0)</f>
        <v>0</v>
      </c>
      <c r="J23" s="198">
        <f>ROUND(N(data!X64), 0)</f>
        <v>562</v>
      </c>
      <c r="K23" s="198">
        <f>ROUND(N(data!X65), 0)</f>
        <v>0</v>
      </c>
      <c r="L23" s="198">
        <f>ROUND(N(data!X66), 0)</f>
        <v>74501</v>
      </c>
      <c r="M23" s="198">
        <f>ROUND(N(data!X67), 0)</f>
        <v>9297</v>
      </c>
      <c r="N23" s="198">
        <f>ROUND(N(data!X68), 0)</f>
        <v>0</v>
      </c>
      <c r="O23" s="198">
        <f>ROUND(N(data!X69), 0)</f>
        <v>1792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1699</v>
      </c>
      <c r="X23" s="198">
        <f>ROUND(N(data!X78), 0)</f>
        <v>0</v>
      </c>
      <c r="Y23" s="198">
        <f>ROUND(N(data!X79), 0)</f>
        <v>0</v>
      </c>
      <c r="Z23" s="198">
        <f>ROUND(N(data!X80), 0)</f>
        <v>3</v>
      </c>
      <c r="AA23" s="198">
        <f>ROUND(N(data!X81), 0)</f>
        <v>0</v>
      </c>
      <c r="AB23" s="198">
        <f>ROUND(N(data!X82), 0)</f>
        <v>0</v>
      </c>
      <c r="AC23" s="198">
        <f>ROUND(N(data!X83), 0)</f>
        <v>90</v>
      </c>
      <c r="AD23" s="198">
        <f>ROUND(N(data!X84), 0)</f>
        <v>0</v>
      </c>
      <c r="AE23" s="198">
        <f>ROUND(N(data!X89), 0)</f>
        <v>1133033</v>
      </c>
      <c r="AF23" s="198">
        <f>ROUND(N(data!X87), 0)</f>
        <v>19494</v>
      </c>
      <c r="AG23" s="198">
        <f>ROUND(N(data!X90), 0)</f>
        <v>272</v>
      </c>
      <c r="AH23" s="198">
        <f>ROUND(N(data!X91), 0)</f>
        <v>0</v>
      </c>
      <c r="AI23" s="198">
        <f>ROUND(N(data!X92), 0)</f>
        <v>115</v>
      </c>
      <c r="AJ23" s="198">
        <f>ROUND(N(data!X93), 0)</f>
        <v>307</v>
      </c>
      <c r="AK23" s="315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111</v>
      </c>
      <c r="B24" s="200" t="str">
        <f>RIGHT(data!$C$96,4)</f>
        <v>2022</v>
      </c>
      <c r="C24" s="12" t="str">
        <f>data!Y$55</f>
        <v>7140</v>
      </c>
      <c r="D24" s="12" t="s">
        <v>1157</v>
      </c>
      <c r="E24" s="198">
        <f>ROUND(N(data!Y59), 0)</f>
        <v>2180</v>
      </c>
      <c r="F24" s="315">
        <f>ROUND(N(data!Y60), 2)</f>
        <v>2.2599999999999998</v>
      </c>
      <c r="G24" s="198">
        <f>ROUND(N(data!Y61), 0)</f>
        <v>285057</v>
      </c>
      <c r="H24" s="198">
        <f>ROUND(N(data!Y62), 0)</f>
        <v>65075</v>
      </c>
      <c r="I24" s="198">
        <f>ROUND(N(data!Y63), 0)</f>
        <v>548</v>
      </c>
      <c r="J24" s="198">
        <f>ROUND(N(data!Y64), 0)</f>
        <v>1935</v>
      </c>
      <c r="K24" s="198">
        <f>ROUND(N(data!Y65), 0)</f>
        <v>0</v>
      </c>
      <c r="L24" s="198">
        <f>ROUND(N(data!Y66), 0)</f>
        <v>20945</v>
      </c>
      <c r="M24" s="198">
        <f>ROUND(N(data!Y67), 0)</f>
        <v>31925</v>
      </c>
      <c r="N24" s="198">
        <f>ROUND(N(data!Y68), 0)</f>
        <v>0</v>
      </c>
      <c r="O24" s="198">
        <f>ROUND(N(data!Y69), 0)</f>
        <v>6159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5840</v>
      </c>
      <c r="X24" s="198">
        <f>ROUND(N(data!Y78), 0)</f>
        <v>0</v>
      </c>
      <c r="Y24" s="198">
        <f>ROUND(N(data!Y79), 0)</f>
        <v>0</v>
      </c>
      <c r="Z24" s="198">
        <f>ROUND(N(data!Y80), 0)</f>
        <v>9</v>
      </c>
      <c r="AA24" s="198">
        <f>ROUND(N(data!Y81), 0)</f>
        <v>0</v>
      </c>
      <c r="AB24" s="198">
        <f>ROUND(N(data!Y82), 0)</f>
        <v>0</v>
      </c>
      <c r="AC24" s="198">
        <f>ROUND(N(data!Y83), 0)</f>
        <v>310</v>
      </c>
      <c r="AD24" s="198">
        <f>ROUND(N(data!Y84), 0)</f>
        <v>0</v>
      </c>
      <c r="AE24" s="198">
        <f>ROUND(N(data!Y89), 0)</f>
        <v>813136</v>
      </c>
      <c r="AF24" s="198">
        <f>ROUND(N(data!Y87), 0)</f>
        <v>5167</v>
      </c>
      <c r="AG24" s="198">
        <f>ROUND(N(data!Y90), 0)</f>
        <v>934</v>
      </c>
      <c r="AH24" s="198">
        <f>ROUND(N(data!Y91), 0)</f>
        <v>0</v>
      </c>
      <c r="AI24" s="198">
        <f>ROUND(N(data!Y92), 0)</f>
        <v>394</v>
      </c>
      <c r="AJ24" s="198">
        <f>ROUND(N(data!Y93), 0)</f>
        <v>1056</v>
      </c>
      <c r="AK24" s="315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111</v>
      </c>
      <c r="B25" s="200" t="str">
        <f>RIGHT(data!$C$96,4)</f>
        <v>2022</v>
      </c>
      <c r="C25" s="12" t="str">
        <f>data!Z$55</f>
        <v>7150</v>
      </c>
      <c r="D25" s="12" t="s">
        <v>1157</v>
      </c>
      <c r="E25" s="198">
        <f>ROUND(N(data!Z59), 0)</f>
        <v>0</v>
      </c>
      <c r="F25" s="315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15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111</v>
      </c>
      <c r="B26" s="200" t="str">
        <f>RIGHT(data!$C$96,4)</f>
        <v>2022</v>
      </c>
      <c r="C26" s="12" t="str">
        <f>data!AA$55</f>
        <v>7160</v>
      </c>
      <c r="D26" s="12" t="s">
        <v>1157</v>
      </c>
      <c r="E26" s="198">
        <f>ROUND(N(data!AA59), 0)</f>
        <v>0</v>
      </c>
      <c r="F26" s="315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315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111</v>
      </c>
      <c r="B27" s="200" t="str">
        <f>RIGHT(data!$C$96,4)</f>
        <v>2022</v>
      </c>
      <c r="C27" s="12" t="str">
        <f>data!AB$55</f>
        <v>7170</v>
      </c>
      <c r="D27" s="12" t="s">
        <v>1157</v>
      </c>
      <c r="E27" s="198">
        <f>ROUND(N(data!AB59), 0)</f>
        <v>0</v>
      </c>
      <c r="F27" s="315">
        <f>ROUND(N(data!AB60), 2)</f>
        <v>0</v>
      </c>
      <c r="G27" s="198">
        <f>ROUND(N(data!AB61), 0)</f>
        <v>0</v>
      </c>
      <c r="H27" s="198">
        <f>ROUND(N(data!AB62), 0)</f>
        <v>0</v>
      </c>
      <c r="I27" s="198">
        <f>ROUND(N(data!AB63), 0)</f>
        <v>45587</v>
      </c>
      <c r="J27" s="198">
        <f>ROUND(N(data!AB64), 0)</f>
        <v>133048</v>
      </c>
      <c r="K27" s="198">
        <f>ROUND(N(data!AB65), 0)</f>
        <v>0</v>
      </c>
      <c r="L27" s="198">
        <f>ROUND(N(data!AB66), 0)</f>
        <v>86825</v>
      </c>
      <c r="M27" s="198">
        <f>ROUND(N(data!AB67), 0)</f>
        <v>2734</v>
      </c>
      <c r="N27" s="198">
        <f>ROUND(N(data!AB68), 0)</f>
        <v>43201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360063</v>
      </c>
      <c r="AF27" s="198">
        <f>ROUND(N(data!AB87), 0)</f>
        <v>54280</v>
      </c>
      <c r="AG27" s="198">
        <f>ROUND(N(data!AB90), 0)</f>
        <v>80</v>
      </c>
      <c r="AH27" s="198">
        <f>ROUND(N(data!AB91), 0)</f>
        <v>0</v>
      </c>
      <c r="AI27" s="198">
        <f>ROUND(N(data!AB92), 0)</f>
        <v>34</v>
      </c>
      <c r="AJ27" s="198">
        <f>ROUND(N(data!AB93), 0)</f>
        <v>0</v>
      </c>
      <c r="AK27" s="315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111</v>
      </c>
      <c r="B28" s="200" t="str">
        <f>RIGHT(data!$C$96,4)</f>
        <v>2022</v>
      </c>
      <c r="C28" s="12" t="str">
        <f>data!AC$55</f>
        <v>7180</v>
      </c>
      <c r="D28" s="12" t="s">
        <v>1157</v>
      </c>
      <c r="E28" s="198">
        <f>ROUND(N(data!AC59), 0)</f>
        <v>0</v>
      </c>
      <c r="F28" s="315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11322</v>
      </c>
      <c r="K28" s="198">
        <f>ROUND(N(data!AC65), 0)</f>
        <v>0</v>
      </c>
      <c r="L28" s="198">
        <f>ROUND(N(data!AC66), 0)</f>
        <v>2125</v>
      </c>
      <c r="M28" s="198">
        <f>ROUND(N(data!AC67), 0)</f>
        <v>0</v>
      </c>
      <c r="N28" s="198">
        <f>ROUND(N(data!AC68), 0)</f>
        <v>0</v>
      </c>
      <c r="O28" s="198">
        <f>ROUND(N(data!AC69), 0)</f>
        <v>37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37</v>
      </c>
      <c r="AD28" s="198">
        <f>ROUND(N(data!AC84), 0)</f>
        <v>0</v>
      </c>
      <c r="AE28" s="198">
        <f>ROUND(N(data!AC89), 0)</f>
        <v>17250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315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111</v>
      </c>
      <c r="B29" s="200" t="str">
        <f>RIGHT(data!$C$96,4)</f>
        <v>2022</v>
      </c>
      <c r="C29" s="12" t="str">
        <f>data!AD$55</f>
        <v>7190</v>
      </c>
      <c r="D29" s="12" t="s">
        <v>1157</v>
      </c>
      <c r="E29" s="198">
        <f>ROUND(N(data!AD59), 0)</f>
        <v>0</v>
      </c>
      <c r="F29" s="315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5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111</v>
      </c>
      <c r="B30" s="200" t="str">
        <f>RIGHT(data!$C$96,4)</f>
        <v>2022</v>
      </c>
      <c r="C30" s="12" t="str">
        <f>data!AE$55</f>
        <v>7200</v>
      </c>
      <c r="D30" s="12" t="s">
        <v>1157</v>
      </c>
      <c r="E30" s="198">
        <f>ROUND(N(data!AE59), 0)</f>
        <v>6324</v>
      </c>
      <c r="F30" s="315">
        <f>ROUND(N(data!AE60), 2)</f>
        <v>4.6399999999999997</v>
      </c>
      <c r="G30" s="198">
        <f>ROUND(N(data!AE61), 0)</f>
        <v>442067</v>
      </c>
      <c r="H30" s="198">
        <f>ROUND(N(data!AE62), 0)</f>
        <v>100919</v>
      </c>
      <c r="I30" s="198">
        <f>ROUND(N(data!AE63), 0)</f>
        <v>0</v>
      </c>
      <c r="J30" s="198">
        <f>ROUND(N(data!AE64), 0)</f>
        <v>6868</v>
      </c>
      <c r="K30" s="198">
        <f>ROUND(N(data!AE65), 0)</f>
        <v>0</v>
      </c>
      <c r="L30" s="198">
        <f>ROUND(N(data!AE66), 0)</f>
        <v>46600</v>
      </c>
      <c r="M30" s="198">
        <f>ROUND(N(data!AE67), 0)</f>
        <v>22970</v>
      </c>
      <c r="N30" s="198">
        <f>ROUND(N(data!AE68), 0)</f>
        <v>0</v>
      </c>
      <c r="O30" s="198">
        <f>ROUND(N(data!AE69), 0)</f>
        <v>8719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640</v>
      </c>
      <c r="X30" s="198">
        <f>ROUND(N(data!AE78), 0)</f>
        <v>0</v>
      </c>
      <c r="Y30" s="198">
        <f>ROUND(N(data!AE79), 0)</f>
        <v>0</v>
      </c>
      <c r="Z30" s="198">
        <f>ROUND(N(data!AE80), 0)</f>
        <v>5278</v>
      </c>
      <c r="AA30" s="198">
        <f>ROUND(N(data!AE81), 0)</f>
        <v>0</v>
      </c>
      <c r="AB30" s="198">
        <f>ROUND(N(data!AE82), 0)</f>
        <v>0</v>
      </c>
      <c r="AC30" s="198">
        <f>ROUND(N(data!AE83), 0)</f>
        <v>2801</v>
      </c>
      <c r="AD30" s="198">
        <f>ROUND(N(data!AE84), 0)</f>
        <v>0</v>
      </c>
      <c r="AE30" s="198">
        <f>ROUND(N(data!AE89), 0)</f>
        <v>815129</v>
      </c>
      <c r="AF30" s="198">
        <f>ROUND(N(data!AE87), 0)</f>
        <v>28945</v>
      </c>
      <c r="AG30" s="198">
        <f>ROUND(N(data!AE90), 0)</f>
        <v>672</v>
      </c>
      <c r="AH30" s="198">
        <f>ROUND(N(data!AE91), 0)</f>
        <v>0</v>
      </c>
      <c r="AI30" s="198">
        <f>ROUND(N(data!AE92), 0)</f>
        <v>284</v>
      </c>
      <c r="AJ30" s="198">
        <f>ROUND(N(data!AE93), 0)</f>
        <v>821</v>
      </c>
      <c r="AK30" s="315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111</v>
      </c>
      <c r="B31" s="200" t="str">
        <f>RIGHT(data!$C$96,4)</f>
        <v>2022</v>
      </c>
      <c r="C31" s="12" t="str">
        <f>data!AF$55</f>
        <v>7220</v>
      </c>
      <c r="D31" s="12" t="s">
        <v>1157</v>
      </c>
      <c r="E31" s="198">
        <f>ROUND(N(data!AF59), 0)</f>
        <v>0</v>
      </c>
      <c r="F31" s="315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5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111</v>
      </c>
      <c r="B32" s="200" t="str">
        <f>RIGHT(data!$C$96,4)</f>
        <v>2022</v>
      </c>
      <c r="C32" s="12" t="str">
        <f>data!AG$55</f>
        <v>7230</v>
      </c>
      <c r="D32" s="12" t="s">
        <v>1157</v>
      </c>
      <c r="E32" s="198">
        <f>ROUND(N(data!AG59), 0)</f>
        <v>1408</v>
      </c>
      <c r="F32" s="315">
        <f>ROUND(N(data!AG60), 2)</f>
        <v>6.93</v>
      </c>
      <c r="G32" s="198">
        <f>ROUND(N(data!AG61), 0)</f>
        <v>542827</v>
      </c>
      <c r="H32" s="198">
        <f>ROUND(N(data!AG62), 0)</f>
        <v>123922</v>
      </c>
      <c r="I32" s="198">
        <f>ROUND(N(data!AG63), 0)</f>
        <v>174306</v>
      </c>
      <c r="J32" s="198">
        <f>ROUND(N(data!AG64), 0)</f>
        <v>69824</v>
      </c>
      <c r="K32" s="198">
        <f>ROUND(N(data!AG65), 0)</f>
        <v>0</v>
      </c>
      <c r="L32" s="198">
        <f>ROUND(N(data!AG66), 0)</f>
        <v>12561</v>
      </c>
      <c r="M32" s="198">
        <f>ROUND(N(data!AG67), 0)</f>
        <v>29703</v>
      </c>
      <c r="N32" s="198">
        <f>ROUND(N(data!AG68), 0)</f>
        <v>0</v>
      </c>
      <c r="O32" s="198">
        <f>ROUND(N(data!AG69), 0)</f>
        <v>4686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2531</v>
      </c>
      <c r="AA32" s="198">
        <f>ROUND(N(data!AG81), 0)</f>
        <v>0</v>
      </c>
      <c r="AB32" s="198">
        <f>ROUND(N(data!AG82), 0)</f>
        <v>0</v>
      </c>
      <c r="AC32" s="198">
        <f>ROUND(N(data!AG83), 0)</f>
        <v>2155</v>
      </c>
      <c r="AD32" s="198">
        <f>ROUND(N(data!AG84), 0)</f>
        <v>0</v>
      </c>
      <c r="AE32" s="198">
        <f>ROUND(N(data!AG89), 0)</f>
        <v>2080661</v>
      </c>
      <c r="AF32" s="198">
        <f>ROUND(N(data!AG87), 0)</f>
        <v>0</v>
      </c>
      <c r="AG32" s="198">
        <f>ROUND(N(data!AG90), 0)</f>
        <v>869</v>
      </c>
      <c r="AH32" s="198">
        <f>ROUND(N(data!AG91), 0)</f>
        <v>68</v>
      </c>
      <c r="AI32" s="198">
        <f>ROUND(N(data!AG92), 0)</f>
        <v>367</v>
      </c>
      <c r="AJ32" s="198">
        <f>ROUND(N(data!AG93), 0)</f>
        <v>5503</v>
      </c>
      <c r="AK32" s="315">
        <f>ROUND(N(data!AG94), 2)</f>
        <v>4.62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111</v>
      </c>
      <c r="B33" s="200" t="str">
        <f>RIGHT(data!$C$96,4)</f>
        <v>2022</v>
      </c>
      <c r="C33" s="12" t="str">
        <f>data!AH$55</f>
        <v>7240</v>
      </c>
      <c r="D33" s="12" t="s">
        <v>1157</v>
      </c>
      <c r="E33" s="198">
        <f>ROUND(N(data!AH59), 0)</f>
        <v>324</v>
      </c>
      <c r="F33" s="315">
        <f>ROUND(N(data!AH60), 2)</f>
        <v>1.63</v>
      </c>
      <c r="G33" s="198">
        <f>ROUND(N(data!AH61), 0)</f>
        <v>162067</v>
      </c>
      <c r="H33" s="198">
        <f>ROUND(N(data!AH62), 0)</f>
        <v>36998</v>
      </c>
      <c r="I33" s="198">
        <f>ROUND(N(data!AH63), 0)</f>
        <v>0</v>
      </c>
      <c r="J33" s="198">
        <f>ROUND(N(data!AH64), 0)</f>
        <v>22393</v>
      </c>
      <c r="K33" s="198">
        <f>ROUND(N(data!AH65), 0)</f>
        <v>20717</v>
      </c>
      <c r="L33" s="198">
        <f>ROUND(N(data!AH66), 0)</f>
        <v>8021</v>
      </c>
      <c r="M33" s="198">
        <f>ROUND(N(data!AH67), 0)</f>
        <v>0</v>
      </c>
      <c r="N33" s="198">
        <f>ROUND(N(data!AH68), 0)</f>
        <v>0</v>
      </c>
      <c r="O33" s="198">
        <f>ROUND(N(data!AH69), 0)</f>
        <v>15527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9115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6412</v>
      </c>
      <c r="AD33" s="198">
        <f>ROUND(N(data!AH84), 0)</f>
        <v>0</v>
      </c>
      <c r="AE33" s="198">
        <f>ROUND(N(data!AH89), 0)</f>
        <v>341987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336</v>
      </c>
      <c r="AK33" s="315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111</v>
      </c>
      <c r="B34" s="200" t="str">
        <f>RIGHT(data!$C$96,4)</f>
        <v>2022</v>
      </c>
      <c r="C34" s="12" t="str">
        <f>data!AI$55</f>
        <v>7250</v>
      </c>
      <c r="D34" s="12" t="s">
        <v>1157</v>
      </c>
      <c r="E34" s="198">
        <f>ROUND(N(data!AI59), 0)</f>
        <v>0</v>
      </c>
      <c r="F34" s="315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5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111</v>
      </c>
      <c r="B35" s="200" t="str">
        <f>RIGHT(data!$C$96,4)</f>
        <v>2022</v>
      </c>
      <c r="C35" s="12" t="str">
        <f>data!AJ$55</f>
        <v>7260</v>
      </c>
      <c r="D35" s="12" t="s">
        <v>1157</v>
      </c>
      <c r="E35" s="198">
        <f>ROUND(N(data!AJ59), 0)</f>
        <v>4820</v>
      </c>
      <c r="F35" s="315">
        <f>ROUND(N(data!AJ60), 2)</f>
        <v>11.94</v>
      </c>
      <c r="G35" s="198">
        <f>ROUND(N(data!AJ61), 0)</f>
        <v>1298725</v>
      </c>
      <c r="H35" s="198">
        <f>ROUND(N(data!AJ62), 0)</f>
        <v>296485</v>
      </c>
      <c r="I35" s="198">
        <f>ROUND(N(data!AJ63), 0)</f>
        <v>43766</v>
      </c>
      <c r="J35" s="198">
        <f>ROUND(N(data!AJ64), 0)</f>
        <v>11734</v>
      </c>
      <c r="K35" s="198">
        <f>ROUND(N(data!AJ65), 0)</f>
        <v>20</v>
      </c>
      <c r="L35" s="198">
        <f>ROUND(N(data!AJ66), 0)</f>
        <v>139150</v>
      </c>
      <c r="M35" s="198">
        <f>ROUND(N(data!AJ67), 0)</f>
        <v>107739</v>
      </c>
      <c r="N35" s="198">
        <f>ROUND(N(data!AJ68), 0)</f>
        <v>0</v>
      </c>
      <c r="O35" s="198">
        <f>ROUND(N(data!AJ69), 0)</f>
        <v>9230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895</v>
      </c>
      <c r="AA35" s="198">
        <f>ROUND(N(data!AJ81), 0)</f>
        <v>0</v>
      </c>
      <c r="AB35" s="198">
        <f>ROUND(N(data!AJ82), 0)</f>
        <v>0</v>
      </c>
      <c r="AC35" s="198">
        <f>ROUND(N(data!AJ83), 0)</f>
        <v>8335</v>
      </c>
      <c r="AD35" s="198">
        <f>ROUND(N(data!AJ84), 0)</f>
        <v>0</v>
      </c>
      <c r="AE35" s="198">
        <f>ROUND(N(data!AJ89), 0)</f>
        <v>1440672</v>
      </c>
      <c r="AF35" s="198">
        <f>ROUND(N(data!AJ87), 0)</f>
        <v>0</v>
      </c>
      <c r="AG35" s="198">
        <f>ROUND(N(data!AJ90), 0)</f>
        <v>3152</v>
      </c>
      <c r="AH35" s="198">
        <f>ROUND(N(data!AJ91), 0)</f>
        <v>0</v>
      </c>
      <c r="AI35" s="198">
        <f>ROUND(N(data!AJ92), 0)</f>
        <v>1330</v>
      </c>
      <c r="AJ35" s="198">
        <f>ROUND(N(data!AJ93), 0)</f>
        <v>142</v>
      </c>
      <c r="AK35" s="315">
        <f>ROUND(N(data!AJ94), 2)</f>
        <v>4.25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111</v>
      </c>
      <c r="B36" s="200" t="str">
        <f>RIGHT(data!$C$96,4)</f>
        <v>2022</v>
      </c>
      <c r="C36" s="12" t="str">
        <f>data!AK$55</f>
        <v>7310</v>
      </c>
      <c r="D36" s="12" t="s">
        <v>1157</v>
      </c>
      <c r="E36" s="198">
        <f>ROUND(N(data!AK59), 0)</f>
        <v>0</v>
      </c>
      <c r="F36" s="315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15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111</v>
      </c>
      <c r="B37" s="200" t="str">
        <f>RIGHT(data!$C$96,4)</f>
        <v>2022</v>
      </c>
      <c r="C37" s="12" t="str">
        <f>data!AL$55</f>
        <v>7320</v>
      </c>
      <c r="D37" s="12" t="s">
        <v>1157</v>
      </c>
      <c r="E37" s="198">
        <f>ROUND(N(data!AL59), 0)</f>
        <v>0</v>
      </c>
      <c r="F37" s="315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15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111</v>
      </c>
      <c r="B38" s="200" t="str">
        <f>RIGHT(data!$C$96,4)</f>
        <v>2022</v>
      </c>
      <c r="C38" s="12" t="str">
        <f>data!AM$55</f>
        <v>7330</v>
      </c>
      <c r="D38" s="12" t="s">
        <v>1157</v>
      </c>
      <c r="E38" s="198">
        <f>ROUND(N(data!AM59), 0)</f>
        <v>0</v>
      </c>
      <c r="F38" s="315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5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111</v>
      </c>
      <c r="B39" s="200" t="str">
        <f>RIGHT(data!$C$96,4)</f>
        <v>2022</v>
      </c>
      <c r="C39" s="12" t="str">
        <f>data!AN$55</f>
        <v>7340</v>
      </c>
      <c r="D39" s="12" t="s">
        <v>1157</v>
      </c>
      <c r="E39" s="198">
        <f>ROUND(N(data!AN59), 0)</f>
        <v>0</v>
      </c>
      <c r="F39" s="315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5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111</v>
      </c>
      <c r="B40" s="200" t="str">
        <f>RIGHT(data!$C$96,4)</f>
        <v>2022</v>
      </c>
      <c r="C40" s="12" t="str">
        <f>data!AO$55</f>
        <v>7350</v>
      </c>
      <c r="D40" s="12" t="s">
        <v>1157</v>
      </c>
      <c r="E40" s="198">
        <f>ROUND(N(data!AO59), 0)</f>
        <v>1416</v>
      </c>
      <c r="F40" s="315">
        <f>ROUND(N(data!AO60), 2)</f>
        <v>0.39</v>
      </c>
      <c r="G40" s="198">
        <f>ROUND(N(data!AO61), 0)</f>
        <v>31513</v>
      </c>
      <c r="H40" s="198">
        <f>ROUND(N(data!AO62), 0)</f>
        <v>7194</v>
      </c>
      <c r="I40" s="198">
        <f>ROUND(N(data!AO63), 0)</f>
        <v>0</v>
      </c>
      <c r="J40" s="198">
        <f>ROUND(N(data!AO64), 0)</f>
        <v>3132</v>
      </c>
      <c r="K40" s="198">
        <f>ROUND(N(data!AO65), 0)</f>
        <v>0</v>
      </c>
      <c r="L40" s="198">
        <f>ROUND(N(data!AO66), 0)</f>
        <v>34325</v>
      </c>
      <c r="M40" s="198">
        <f>ROUND(N(data!AO67), 0)</f>
        <v>2188</v>
      </c>
      <c r="N40" s="198">
        <f>ROUND(N(data!AO68), 0)</f>
        <v>0</v>
      </c>
      <c r="O40" s="198">
        <f>ROUND(N(data!AO69), 0)</f>
        <v>167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1</v>
      </c>
      <c r="AA40" s="198">
        <f>ROUND(N(data!AO81), 0)</f>
        <v>0</v>
      </c>
      <c r="AB40" s="198">
        <f>ROUND(N(data!AO82), 0)</f>
        <v>0</v>
      </c>
      <c r="AC40" s="198">
        <f>ROUND(N(data!AO83), 0)</f>
        <v>166</v>
      </c>
      <c r="AD40" s="198">
        <f>ROUND(N(data!AO84), 0)</f>
        <v>0</v>
      </c>
      <c r="AE40" s="198">
        <f>ROUND(N(data!AO89), 0)</f>
        <v>188910</v>
      </c>
      <c r="AF40" s="198">
        <f>ROUND(N(data!AO87), 0)</f>
        <v>0</v>
      </c>
      <c r="AG40" s="198">
        <f>ROUND(N(data!AO90), 0)</f>
        <v>64</v>
      </c>
      <c r="AH40" s="198">
        <f>ROUND(N(data!AO91), 0)</f>
        <v>179</v>
      </c>
      <c r="AI40" s="198">
        <f>ROUND(N(data!AO92), 0)</f>
        <v>27</v>
      </c>
      <c r="AJ40" s="198">
        <f>ROUND(N(data!AO93), 0)</f>
        <v>396</v>
      </c>
      <c r="AK40" s="315">
        <f>ROUND(N(data!AO94), 2)</f>
        <v>0.33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111</v>
      </c>
      <c r="B41" s="200" t="str">
        <f>RIGHT(data!$C$96,4)</f>
        <v>2022</v>
      </c>
      <c r="C41" s="12" t="str">
        <f>data!AP$55</f>
        <v>7380</v>
      </c>
      <c r="D41" s="12" t="s">
        <v>1157</v>
      </c>
      <c r="E41" s="198">
        <f>ROUND(N(data!AP59), 0)</f>
        <v>0</v>
      </c>
      <c r="F41" s="315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15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111</v>
      </c>
      <c r="B42" s="200" t="str">
        <f>RIGHT(data!$C$96,4)</f>
        <v>2022</v>
      </c>
      <c r="C42" s="12" t="str">
        <f>data!AQ$55</f>
        <v>7390</v>
      </c>
      <c r="D42" s="12" t="s">
        <v>1157</v>
      </c>
      <c r="E42" s="198">
        <f>ROUND(N(data!AQ59), 0)</f>
        <v>0</v>
      </c>
      <c r="F42" s="315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5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111</v>
      </c>
      <c r="B43" s="200" t="str">
        <f>RIGHT(data!$C$96,4)</f>
        <v>2022</v>
      </c>
      <c r="C43" s="12" t="str">
        <f>data!AR$55</f>
        <v>7400</v>
      </c>
      <c r="D43" s="12" t="s">
        <v>1157</v>
      </c>
      <c r="E43" s="198">
        <f>ROUND(N(data!AR59), 0)</f>
        <v>0</v>
      </c>
      <c r="F43" s="315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5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111</v>
      </c>
      <c r="B44" s="200" t="str">
        <f>RIGHT(data!$C$96,4)</f>
        <v>2022</v>
      </c>
      <c r="C44" s="12" t="str">
        <f>data!AS$55</f>
        <v>7410</v>
      </c>
      <c r="D44" s="12" t="s">
        <v>1157</v>
      </c>
      <c r="E44" s="198">
        <f>ROUND(N(data!AS59), 0)</f>
        <v>0</v>
      </c>
      <c r="F44" s="315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5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111</v>
      </c>
      <c r="B45" s="200" t="str">
        <f>RIGHT(data!$C$96,4)</f>
        <v>2022</v>
      </c>
      <c r="C45" s="12" t="str">
        <f>data!AT$55</f>
        <v>7420</v>
      </c>
      <c r="D45" s="12" t="s">
        <v>1157</v>
      </c>
      <c r="E45" s="198">
        <f>ROUND(N(data!AT59), 0)</f>
        <v>0</v>
      </c>
      <c r="F45" s="315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5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111</v>
      </c>
      <c r="B46" s="200" t="str">
        <f>RIGHT(data!$C$96,4)</f>
        <v>2022</v>
      </c>
      <c r="C46" s="12" t="str">
        <f>data!AU$55</f>
        <v>7430</v>
      </c>
      <c r="D46" s="12" t="s">
        <v>1157</v>
      </c>
      <c r="E46" s="198">
        <f>ROUND(N(data!AU59), 0)</f>
        <v>0</v>
      </c>
      <c r="F46" s="315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5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111</v>
      </c>
      <c r="B47" s="200" t="str">
        <f>RIGHT(data!$C$96,4)</f>
        <v>2022</v>
      </c>
      <c r="C47" s="12" t="str">
        <f>data!AV$55</f>
        <v>7490</v>
      </c>
      <c r="D47" s="12" t="s">
        <v>1157</v>
      </c>
      <c r="E47" s="198">
        <f>ROUND(N(data!AV59), 0)</f>
        <v>0</v>
      </c>
      <c r="F47" s="315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324420</v>
      </c>
      <c r="J47" s="198">
        <f>ROUND(N(data!AV64), 0)</f>
        <v>45205</v>
      </c>
      <c r="K47" s="198">
        <f>ROUND(N(data!AV65), 0)</f>
        <v>0</v>
      </c>
      <c r="L47" s="198">
        <f>ROUND(N(data!AV66), 0)</f>
        <v>154816</v>
      </c>
      <c r="M47" s="198">
        <f>ROUND(N(data!AV67), 0)</f>
        <v>2017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1717021</v>
      </c>
      <c r="AF47" s="198">
        <f>ROUND(N(data!AV87), 0)</f>
        <v>0</v>
      </c>
      <c r="AG47" s="198">
        <f>ROUND(N(data!AV90), 0)</f>
        <v>59</v>
      </c>
      <c r="AH47" s="198">
        <f>ROUND(N(data!AV91), 0)</f>
        <v>0</v>
      </c>
      <c r="AI47" s="198">
        <f>ROUND(N(data!AV92), 0)</f>
        <v>25</v>
      </c>
      <c r="AJ47" s="198">
        <f>ROUND(N(data!AV93), 0)</f>
        <v>0</v>
      </c>
      <c r="AK47" s="315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111</v>
      </c>
      <c r="B48" s="200" t="str">
        <f>RIGHT(data!$C$96,4)</f>
        <v>2022</v>
      </c>
      <c r="C48" s="12" t="str">
        <f>data!AW$55</f>
        <v>8200</v>
      </c>
      <c r="D48" s="12" t="s">
        <v>1157</v>
      </c>
      <c r="E48" s="198">
        <f>ROUND(N(data!AW59), 0)</f>
        <v>0</v>
      </c>
      <c r="F48" s="315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5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111</v>
      </c>
      <c r="B49" s="200" t="str">
        <f>RIGHT(data!$C$96,4)</f>
        <v>2022</v>
      </c>
      <c r="C49" s="12" t="str">
        <f>data!AX$55</f>
        <v>8310</v>
      </c>
      <c r="D49" s="12" t="s">
        <v>1157</v>
      </c>
      <c r="E49" s="198">
        <f>ROUND(N(data!AX59), 0)</f>
        <v>0</v>
      </c>
      <c r="F49" s="315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5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111</v>
      </c>
      <c r="B50" s="200" t="str">
        <f>RIGHT(data!$C$96,4)</f>
        <v>2022</v>
      </c>
      <c r="C50" s="12" t="str">
        <f>data!AY$55</f>
        <v>8320</v>
      </c>
      <c r="D50" s="12" t="s">
        <v>1157</v>
      </c>
      <c r="E50" s="198">
        <f>ROUND(N(data!AY59), 0)</f>
        <v>5045</v>
      </c>
      <c r="F50" s="315">
        <f>ROUND(N(data!AY60), 2)</f>
        <v>3.43</v>
      </c>
      <c r="G50" s="198">
        <f>ROUND(N(data!AY61), 0)</f>
        <v>156315</v>
      </c>
      <c r="H50" s="198">
        <f>ROUND(N(data!AY62), 0)</f>
        <v>35685</v>
      </c>
      <c r="I50" s="198">
        <f>ROUND(N(data!AY63), 0)</f>
        <v>0</v>
      </c>
      <c r="J50" s="198">
        <f>ROUND(N(data!AY64), 0)</f>
        <v>58252</v>
      </c>
      <c r="K50" s="198">
        <f>ROUND(N(data!AY65), 0)</f>
        <v>0</v>
      </c>
      <c r="L50" s="198">
        <f>ROUND(N(data!AY66), 0)</f>
        <v>2375</v>
      </c>
      <c r="M50" s="198">
        <f>ROUND(N(data!AY67), 0)</f>
        <v>19176</v>
      </c>
      <c r="N50" s="198">
        <f>ROUND(N(data!AY68), 0)</f>
        <v>843</v>
      </c>
      <c r="O50" s="198">
        <f>ROUND(N(data!AY69), 0)</f>
        <v>429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170</v>
      </c>
      <c r="AA50" s="198">
        <f>ROUND(N(data!AY81), 0)</f>
        <v>0</v>
      </c>
      <c r="AB50" s="198">
        <f>ROUND(N(data!AY82), 0)</f>
        <v>0</v>
      </c>
      <c r="AC50" s="198">
        <f>ROUND(N(data!AY83), 0)</f>
        <v>259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561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5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111</v>
      </c>
      <c r="B51" s="200" t="str">
        <f>RIGHT(data!$C$96,4)</f>
        <v>2022</v>
      </c>
      <c r="C51" s="12" t="str">
        <f>data!AZ$55</f>
        <v>8330</v>
      </c>
      <c r="D51" s="12" t="s">
        <v>1157</v>
      </c>
      <c r="E51" s="198">
        <f>ROUND(N(data!AZ59), 0)</f>
        <v>0</v>
      </c>
      <c r="F51" s="315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5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111</v>
      </c>
      <c r="B52" s="200" t="str">
        <f>RIGHT(data!$C$96,4)</f>
        <v>2022</v>
      </c>
      <c r="C52" s="12" t="str">
        <f>data!BA$55</f>
        <v>8350</v>
      </c>
      <c r="D52" s="12" t="s">
        <v>1157</v>
      </c>
      <c r="E52" s="198">
        <f>ROUND(N(data!BA59), 0)</f>
        <v>0</v>
      </c>
      <c r="F52" s="315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261</v>
      </c>
      <c r="K52" s="198">
        <f>ROUND(N(data!BA65), 0)</f>
        <v>0</v>
      </c>
      <c r="L52" s="198">
        <f>ROUND(N(data!BA66), 0)</f>
        <v>33908</v>
      </c>
      <c r="M52" s="198">
        <f>ROUND(N(data!BA67), 0)</f>
        <v>1333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39</v>
      </c>
      <c r="AH52" s="198">
        <f>ROUND(N(data!BA91), 0)</f>
        <v>0</v>
      </c>
      <c r="AI52" s="198">
        <f>ROUND(N(data!BA92), 0)</f>
        <v>16</v>
      </c>
      <c r="AJ52" s="198">
        <f>ROUND(N(data!BA93), 0)</f>
        <v>0</v>
      </c>
      <c r="AK52" s="315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111</v>
      </c>
      <c r="B53" s="200" t="str">
        <f>RIGHT(data!$C$96,4)</f>
        <v>2022</v>
      </c>
      <c r="C53" s="12" t="str">
        <f>data!BB$55</f>
        <v>8360</v>
      </c>
      <c r="D53" s="12" t="s">
        <v>1157</v>
      </c>
      <c r="E53" s="198">
        <f>ROUND(N(data!BB59), 0)</f>
        <v>0</v>
      </c>
      <c r="F53" s="315">
        <f>ROUND(N(data!BB60), 2)</f>
        <v>0</v>
      </c>
      <c r="G53" s="198">
        <f>ROUND(N(data!BB61), 0)</f>
        <v>47268</v>
      </c>
      <c r="H53" s="198">
        <f>ROUND(N(data!BB62), 0)</f>
        <v>10791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12920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378</v>
      </c>
      <c r="AH53" s="198">
        <f>ROUND(N(data!BB91), 0)</f>
        <v>0</v>
      </c>
      <c r="AI53" s="198">
        <f>ROUND(N(data!BB92), 0)</f>
        <v>159</v>
      </c>
      <c r="AJ53" s="198">
        <f>ROUND(N(data!BB93), 0)</f>
        <v>0</v>
      </c>
      <c r="AK53" s="315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111</v>
      </c>
      <c r="B54" s="200" t="str">
        <f>RIGHT(data!$C$96,4)</f>
        <v>2022</v>
      </c>
      <c r="C54" s="12" t="str">
        <f>data!BC$55</f>
        <v>8370</v>
      </c>
      <c r="D54" s="12" t="s">
        <v>1157</v>
      </c>
      <c r="E54" s="198">
        <f>ROUND(N(data!BC59), 0)</f>
        <v>0</v>
      </c>
      <c r="F54" s="315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5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111</v>
      </c>
      <c r="B55" s="200" t="str">
        <f>RIGHT(data!$C$96,4)</f>
        <v>2022</v>
      </c>
      <c r="C55" s="12" t="str">
        <f>data!BD$55</f>
        <v>8420</v>
      </c>
      <c r="D55" s="12" t="s">
        <v>1157</v>
      </c>
      <c r="E55" s="198">
        <f>ROUND(N(data!BD59), 0)</f>
        <v>0</v>
      </c>
      <c r="F55" s="315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5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111</v>
      </c>
      <c r="B56" s="200" t="str">
        <f>RIGHT(data!$C$96,4)</f>
        <v>2022</v>
      </c>
      <c r="C56" s="12" t="str">
        <f>data!BE$55</f>
        <v>8430</v>
      </c>
      <c r="D56" s="12" t="s">
        <v>1157</v>
      </c>
      <c r="E56" s="198">
        <f>ROUND(N(data!BE59), 0)</f>
        <v>22273</v>
      </c>
      <c r="F56" s="315">
        <f>ROUND(N(data!BE60), 2)</f>
        <v>2.2200000000000002</v>
      </c>
      <c r="G56" s="198">
        <f>ROUND(N(data!BE61), 0)</f>
        <v>205802</v>
      </c>
      <c r="H56" s="198">
        <f>ROUND(N(data!BE62), 0)</f>
        <v>46982</v>
      </c>
      <c r="I56" s="198">
        <f>ROUND(N(data!BE63), 0)</f>
        <v>0</v>
      </c>
      <c r="J56" s="198">
        <f>ROUND(N(data!BE64), 0)</f>
        <v>21447</v>
      </c>
      <c r="K56" s="198">
        <f>ROUND(N(data!BE65), 0)</f>
        <v>178928</v>
      </c>
      <c r="L56" s="198">
        <f>ROUND(N(data!BE66), 0)</f>
        <v>21878</v>
      </c>
      <c r="M56" s="198">
        <f>ROUND(N(data!BE67), 0)</f>
        <v>200746</v>
      </c>
      <c r="N56" s="198">
        <f>ROUND(N(data!BE68), 0)</f>
        <v>0</v>
      </c>
      <c r="O56" s="198">
        <f>ROUND(N(data!BE69), 0)</f>
        <v>111704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107640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4064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5873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5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111</v>
      </c>
      <c r="B57" s="200" t="str">
        <f>RIGHT(data!$C$96,4)</f>
        <v>2022</v>
      </c>
      <c r="C57" s="12" t="str">
        <f>data!BF$55</f>
        <v>8460</v>
      </c>
      <c r="D57" s="12" t="s">
        <v>1157</v>
      </c>
      <c r="E57" s="198">
        <f>ROUND(N(data!BF59), 0)</f>
        <v>0</v>
      </c>
      <c r="F57" s="315">
        <f>ROUND(N(data!BF60), 2)</f>
        <v>4.5199999999999996</v>
      </c>
      <c r="G57" s="198">
        <f>ROUND(N(data!BF61), 0)</f>
        <v>220565</v>
      </c>
      <c r="H57" s="198">
        <f>ROUND(N(data!BF62), 0)</f>
        <v>50353</v>
      </c>
      <c r="I57" s="198">
        <f>ROUND(N(data!BF63), 0)</f>
        <v>0</v>
      </c>
      <c r="J57" s="198">
        <f>ROUND(N(data!BF64), 0)</f>
        <v>6071</v>
      </c>
      <c r="K57" s="198">
        <f>ROUND(N(data!BF65), 0)</f>
        <v>0</v>
      </c>
      <c r="L57" s="198">
        <f>ROUND(N(data!BF66), 0)</f>
        <v>0</v>
      </c>
      <c r="M57" s="198">
        <f>ROUND(N(data!BF67), 0)</f>
        <v>3931</v>
      </c>
      <c r="N57" s="198">
        <f>ROUND(N(data!BF68), 0)</f>
        <v>0</v>
      </c>
      <c r="O57" s="198">
        <f>ROUND(N(data!BF69), 0)</f>
        <v>346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142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204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115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5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111</v>
      </c>
      <c r="B58" s="200" t="str">
        <f>RIGHT(data!$C$96,4)</f>
        <v>2022</v>
      </c>
      <c r="C58" s="12" t="str">
        <f>data!BG$55</f>
        <v>8470</v>
      </c>
      <c r="D58" s="12" t="s">
        <v>1157</v>
      </c>
      <c r="E58" s="198">
        <f>ROUND(N(data!BG59), 0)</f>
        <v>0</v>
      </c>
      <c r="F58" s="315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5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111</v>
      </c>
      <c r="B59" s="200" t="str">
        <f>RIGHT(data!$C$96,4)</f>
        <v>2022</v>
      </c>
      <c r="C59" s="12" t="str">
        <f>data!BH$55</f>
        <v>8480</v>
      </c>
      <c r="D59" s="12" t="s">
        <v>1157</v>
      </c>
      <c r="E59" s="198">
        <f>ROUND(N(data!BH59), 0)</f>
        <v>0</v>
      </c>
      <c r="F59" s="315">
        <f>ROUND(N(data!BH60), 2)</f>
        <v>1.85</v>
      </c>
      <c r="G59" s="198">
        <f>ROUND(N(data!BH61), 0)</f>
        <v>113868</v>
      </c>
      <c r="H59" s="198">
        <f>ROUND(N(data!BH62), 0)</f>
        <v>25995</v>
      </c>
      <c r="I59" s="198">
        <f>ROUND(N(data!BH63), 0)</f>
        <v>0</v>
      </c>
      <c r="J59" s="198">
        <f>ROUND(N(data!BH64), 0)</f>
        <v>167404</v>
      </c>
      <c r="K59" s="198">
        <f>ROUND(N(data!BH65), 0)</f>
        <v>24485</v>
      </c>
      <c r="L59" s="198">
        <f>ROUND(N(data!BH66), 0)</f>
        <v>405952</v>
      </c>
      <c r="M59" s="198">
        <f>ROUND(N(data!BH67), 0)</f>
        <v>43513</v>
      </c>
      <c r="N59" s="198">
        <f>ROUND(N(data!BH68), 0)</f>
        <v>13498</v>
      </c>
      <c r="O59" s="198">
        <f>ROUND(N(data!BH69), 0)</f>
        <v>712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460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252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1273</v>
      </c>
      <c r="AH59" s="198">
        <f>ROUND(N(data!BH91), 0)</f>
        <v>0</v>
      </c>
      <c r="AI59" s="198">
        <f>ROUND(N(data!BH92), 0)</f>
        <v>537</v>
      </c>
      <c r="AJ59" s="198">
        <f>ROUND(N(data!BH93), 0)</f>
        <v>0</v>
      </c>
      <c r="AK59" s="315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111</v>
      </c>
      <c r="B60" s="200" t="str">
        <f>RIGHT(data!$C$96,4)</f>
        <v>2022</v>
      </c>
      <c r="C60" s="12" t="str">
        <f>data!BI$55</f>
        <v>8490</v>
      </c>
      <c r="D60" s="12" t="s">
        <v>1157</v>
      </c>
      <c r="E60" s="198">
        <f>ROUND(N(data!BI59), 0)</f>
        <v>0</v>
      </c>
      <c r="F60" s="315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315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111</v>
      </c>
      <c r="B61" s="200" t="str">
        <f>RIGHT(data!$C$96,4)</f>
        <v>2022</v>
      </c>
      <c r="C61" s="12" t="str">
        <f>data!BJ$55</f>
        <v>8510</v>
      </c>
      <c r="D61" s="12" t="s">
        <v>1157</v>
      </c>
      <c r="E61" s="198">
        <f>ROUND(N(data!BJ59), 0)</f>
        <v>0</v>
      </c>
      <c r="F61" s="315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48121</v>
      </c>
      <c r="M61" s="198">
        <f>ROUND(N(data!BJ67), 0)</f>
        <v>3589</v>
      </c>
      <c r="N61" s="198">
        <f>ROUND(N(data!BJ68), 0)</f>
        <v>0</v>
      </c>
      <c r="O61" s="198">
        <f>ROUND(N(data!BJ69), 0)</f>
        <v>8880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8880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105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5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111</v>
      </c>
      <c r="B62" s="200" t="str">
        <f>RIGHT(data!$C$96,4)</f>
        <v>2022</v>
      </c>
      <c r="C62" s="12" t="str">
        <f>data!BK$55</f>
        <v>8530</v>
      </c>
      <c r="D62" s="12" t="s">
        <v>1157</v>
      </c>
      <c r="E62" s="198">
        <f>ROUND(N(data!BK59), 0)</f>
        <v>0</v>
      </c>
      <c r="F62" s="315">
        <f>ROUND(N(data!BK60), 2)</f>
        <v>7.78</v>
      </c>
      <c r="G62" s="198">
        <f>ROUND(N(data!BK61), 0)</f>
        <v>476357</v>
      </c>
      <c r="H62" s="198">
        <f>ROUND(N(data!BK62), 0)</f>
        <v>108747</v>
      </c>
      <c r="I62" s="198">
        <f>ROUND(N(data!BK63), 0)</f>
        <v>12000</v>
      </c>
      <c r="J62" s="198">
        <f>ROUND(N(data!BK64), 0)</f>
        <v>1588</v>
      </c>
      <c r="K62" s="198">
        <f>ROUND(N(data!BK65), 0)</f>
        <v>0</v>
      </c>
      <c r="L62" s="198">
        <f>ROUND(N(data!BK66), 0)</f>
        <v>126015</v>
      </c>
      <c r="M62" s="198">
        <f>ROUND(N(data!BK67), 0)</f>
        <v>10357</v>
      </c>
      <c r="N62" s="198">
        <f>ROUND(N(data!BK68), 0)</f>
        <v>0</v>
      </c>
      <c r="O62" s="198">
        <f>ROUND(N(data!BK69), 0)</f>
        <v>4398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4398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303</v>
      </c>
      <c r="AH62" s="198">
        <f>ROUND(N(data!BK91), 0)</f>
        <v>0</v>
      </c>
      <c r="AI62" s="198">
        <f>ROUND(N(data!BK92), 0)</f>
        <v>128</v>
      </c>
      <c r="AJ62" s="198">
        <f>ROUND(N(data!BK93), 0)</f>
        <v>0</v>
      </c>
      <c r="AK62" s="315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111</v>
      </c>
      <c r="B63" s="200" t="str">
        <f>RIGHT(data!$C$96,4)</f>
        <v>2022</v>
      </c>
      <c r="C63" s="12" t="str">
        <f>data!BL$55</f>
        <v>8560</v>
      </c>
      <c r="D63" s="12" t="s">
        <v>1157</v>
      </c>
      <c r="E63" s="198">
        <f>ROUND(N(data!BL59), 0)</f>
        <v>0</v>
      </c>
      <c r="F63" s="315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315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111</v>
      </c>
      <c r="B64" s="200" t="str">
        <f>RIGHT(data!$C$96,4)</f>
        <v>2022</v>
      </c>
      <c r="C64" s="12" t="str">
        <f>data!BM$55</f>
        <v>8590</v>
      </c>
      <c r="D64" s="12" t="s">
        <v>1157</v>
      </c>
      <c r="E64" s="198">
        <f>ROUND(N(data!BM59), 0)</f>
        <v>0</v>
      </c>
      <c r="F64" s="315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5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111</v>
      </c>
      <c r="B65" s="200" t="str">
        <f>RIGHT(data!$C$96,4)</f>
        <v>2022</v>
      </c>
      <c r="C65" s="12" t="str">
        <f>data!BN$55</f>
        <v>8610</v>
      </c>
      <c r="D65" s="12" t="s">
        <v>1157</v>
      </c>
      <c r="E65" s="198">
        <f>ROUND(N(data!BN59), 0)</f>
        <v>0</v>
      </c>
      <c r="F65" s="315">
        <f>ROUND(N(data!BN60), 2)</f>
        <v>3.87</v>
      </c>
      <c r="G65" s="198">
        <f>ROUND(N(data!BN61), 0)</f>
        <v>585053</v>
      </c>
      <c r="H65" s="198">
        <f>ROUND(N(data!BN62), 0)</f>
        <v>133561</v>
      </c>
      <c r="I65" s="198">
        <f>ROUND(N(data!BN63), 0)</f>
        <v>85432</v>
      </c>
      <c r="J65" s="198">
        <f>ROUND(N(data!BN64), 0)</f>
        <v>17590</v>
      </c>
      <c r="K65" s="198">
        <f>ROUND(N(data!BN65), 0)</f>
        <v>23246</v>
      </c>
      <c r="L65" s="198">
        <f>ROUND(N(data!BN66), 0)</f>
        <v>206365</v>
      </c>
      <c r="M65" s="198">
        <f>ROUND(N(data!BN67), 0)</f>
        <v>126676</v>
      </c>
      <c r="N65" s="198">
        <f>ROUND(N(data!BN68), 0)</f>
        <v>0</v>
      </c>
      <c r="O65" s="198">
        <f>ROUND(N(data!BN69), 0)</f>
        <v>207246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15023</v>
      </c>
      <c r="X65" s="198">
        <f>ROUND(N(data!BN78), 0)</f>
        <v>0</v>
      </c>
      <c r="Y65" s="198">
        <f>ROUND(N(data!BN79), 0)</f>
        <v>66217</v>
      </c>
      <c r="Z65" s="198">
        <f>ROUND(N(data!BN80), 0)</f>
        <v>2227</v>
      </c>
      <c r="AA65" s="198">
        <f>ROUND(N(data!BN81), 0)</f>
        <v>0</v>
      </c>
      <c r="AB65" s="198">
        <f>ROUND(N(data!BN82), 0)</f>
        <v>0</v>
      </c>
      <c r="AC65" s="198">
        <f>ROUND(N(data!BN83), 0)</f>
        <v>123779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3706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5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111</v>
      </c>
      <c r="B66" s="200" t="str">
        <f>RIGHT(data!$C$96,4)</f>
        <v>2022</v>
      </c>
      <c r="C66" s="12" t="str">
        <f>data!BO$55</f>
        <v>8620</v>
      </c>
      <c r="D66" s="12" t="s">
        <v>1157</v>
      </c>
      <c r="E66" s="198">
        <f>ROUND(N(data!BO59), 0)</f>
        <v>0</v>
      </c>
      <c r="F66" s="315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13130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5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111</v>
      </c>
      <c r="B67" s="200" t="str">
        <f>RIGHT(data!$C$96,4)</f>
        <v>2022</v>
      </c>
      <c r="C67" s="12" t="str">
        <f>data!BP$55</f>
        <v>8630</v>
      </c>
      <c r="D67" s="12" t="s">
        <v>1157</v>
      </c>
      <c r="E67" s="198">
        <f>ROUND(N(data!BP59), 0)</f>
        <v>0</v>
      </c>
      <c r="F67" s="315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5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111</v>
      </c>
      <c r="B68" s="200" t="str">
        <f>RIGHT(data!$C$96,4)</f>
        <v>2022</v>
      </c>
      <c r="C68" s="12" t="str">
        <f>data!BQ$55</f>
        <v>8640</v>
      </c>
      <c r="D68" s="12" t="s">
        <v>1157</v>
      </c>
      <c r="E68" s="198">
        <f>ROUND(N(data!BQ59), 0)</f>
        <v>0</v>
      </c>
      <c r="F68" s="315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5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111</v>
      </c>
      <c r="B69" s="200" t="str">
        <f>RIGHT(data!$C$96,4)</f>
        <v>2022</v>
      </c>
      <c r="C69" s="12" t="str">
        <f>data!BR$55</f>
        <v>8650</v>
      </c>
      <c r="D69" s="12" t="s">
        <v>1157</v>
      </c>
      <c r="E69" s="198">
        <f>ROUND(N(data!BR59), 0)</f>
        <v>0</v>
      </c>
      <c r="F69" s="315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5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111</v>
      </c>
      <c r="B70" s="200" t="str">
        <f>RIGHT(data!$C$96,4)</f>
        <v>2022</v>
      </c>
      <c r="C70" s="12" t="str">
        <f>data!BS$55</f>
        <v>8660</v>
      </c>
      <c r="D70" s="12" t="s">
        <v>1157</v>
      </c>
      <c r="E70" s="198">
        <f>ROUND(N(data!BS59), 0)</f>
        <v>0</v>
      </c>
      <c r="F70" s="315">
        <f>ROUND(N(data!BS60), 2)</f>
        <v>0.03</v>
      </c>
      <c r="G70" s="198">
        <f>ROUND(N(data!BS61), 0)</f>
        <v>9244</v>
      </c>
      <c r="H70" s="198">
        <f>ROUND(N(data!BS62), 0)</f>
        <v>2110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3640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3640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5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111</v>
      </c>
      <c r="B71" s="200" t="str">
        <f>RIGHT(data!$C$96,4)</f>
        <v>2022</v>
      </c>
      <c r="C71" s="12" t="str">
        <f>data!BT$55</f>
        <v>8670</v>
      </c>
      <c r="D71" s="12" t="s">
        <v>1157</v>
      </c>
      <c r="E71" s="198">
        <f>ROUND(N(data!BT59), 0)</f>
        <v>0</v>
      </c>
      <c r="F71" s="315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5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111</v>
      </c>
      <c r="B72" s="200" t="str">
        <f>RIGHT(data!$C$96,4)</f>
        <v>2022</v>
      </c>
      <c r="C72" s="12" t="str">
        <f>data!BU$55</f>
        <v>8680</v>
      </c>
      <c r="D72" s="12" t="s">
        <v>1157</v>
      </c>
      <c r="E72" s="198">
        <f>ROUND(N(data!BU59), 0)</f>
        <v>0</v>
      </c>
      <c r="F72" s="315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5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111</v>
      </c>
      <c r="B73" s="200" t="str">
        <f>RIGHT(data!$C$96,4)</f>
        <v>2022</v>
      </c>
      <c r="C73" s="12" t="str">
        <f>data!BV$55</f>
        <v>8690</v>
      </c>
      <c r="D73" s="12" t="s">
        <v>1157</v>
      </c>
      <c r="E73" s="198">
        <f>ROUND(N(data!BV59), 0)</f>
        <v>0</v>
      </c>
      <c r="F73" s="315">
        <f>ROUND(N(data!BV60), 2)</f>
        <v>0.99</v>
      </c>
      <c r="G73" s="198">
        <f>ROUND(N(data!BV61), 0)</f>
        <v>55672</v>
      </c>
      <c r="H73" s="198">
        <f>ROUND(N(data!BV62), 0)</f>
        <v>12709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41453</v>
      </c>
      <c r="M73" s="198">
        <f>ROUND(N(data!BV67), 0)</f>
        <v>31857</v>
      </c>
      <c r="N73" s="198">
        <f>ROUND(N(data!BV68), 0)</f>
        <v>0</v>
      </c>
      <c r="O73" s="198">
        <f>ROUND(N(data!BV69), 0)</f>
        <v>2082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2082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932</v>
      </c>
      <c r="AH73" s="198">
        <f>ROUND(N(data!BV91), 0)</f>
        <v>0</v>
      </c>
      <c r="AI73" s="198">
        <f>ROUND(N(data!BV92), 0)</f>
        <v>393</v>
      </c>
      <c r="AJ73" s="198">
        <f>ROUND(N(data!BV93), 0)</f>
        <v>0</v>
      </c>
      <c r="AK73" s="315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111</v>
      </c>
      <c r="B74" s="200" t="str">
        <f>RIGHT(data!$C$96,4)</f>
        <v>2022</v>
      </c>
      <c r="C74" s="12" t="str">
        <f>data!BW$55</f>
        <v>8700</v>
      </c>
      <c r="D74" s="12" t="s">
        <v>1157</v>
      </c>
      <c r="E74" s="198">
        <f>ROUND(N(data!BW59), 0)</f>
        <v>0</v>
      </c>
      <c r="F74" s="315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5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111</v>
      </c>
      <c r="B75" s="200" t="str">
        <f>RIGHT(data!$C$96,4)</f>
        <v>2022</v>
      </c>
      <c r="C75" s="12" t="str">
        <f>data!BX$55</f>
        <v>8710</v>
      </c>
      <c r="D75" s="12" t="s">
        <v>1157</v>
      </c>
      <c r="E75" s="198">
        <f>ROUND(N(data!BX59), 0)</f>
        <v>0</v>
      </c>
      <c r="F75" s="315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5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111</v>
      </c>
      <c r="B76" s="200" t="str">
        <f>RIGHT(data!$C$96,4)</f>
        <v>2022</v>
      </c>
      <c r="C76" s="12" t="str">
        <f>data!BY$55</f>
        <v>8720</v>
      </c>
      <c r="D76" s="12" t="s">
        <v>1157</v>
      </c>
      <c r="E76" s="198">
        <f>ROUND(N(data!BY59), 0)</f>
        <v>0</v>
      </c>
      <c r="F76" s="315">
        <f>ROUND(N(data!BY60), 2)</f>
        <v>0.82</v>
      </c>
      <c r="G76" s="198">
        <f>ROUND(N(data!BY61), 0)</f>
        <v>168257</v>
      </c>
      <c r="H76" s="198">
        <f>ROUND(N(data!BY62), 0)</f>
        <v>38411</v>
      </c>
      <c r="I76" s="198">
        <f>ROUND(N(data!BY63), 0)</f>
        <v>0</v>
      </c>
      <c r="J76" s="198">
        <f>ROUND(N(data!BY64), 0)</f>
        <v>304</v>
      </c>
      <c r="K76" s="198">
        <f>ROUND(N(data!BY65), 0)</f>
        <v>0</v>
      </c>
      <c r="L76" s="198">
        <f>ROUND(N(data!BY66), 0)</f>
        <v>0</v>
      </c>
      <c r="M76" s="198">
        <f>ROUND(N(data!BY67), 0)</f>
        <v>3657</v>
      </c>
      <c r="N76" s="198">
        <f>ROUND(N(data!BY68), 0)</f>
        <v>0</v>
      </c>
      <c r="O76" s="198">
        <f>ROUND(N(data!BY69), 0)</f>
        <v>7245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1670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5575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107</v>
      </c>
      <c r="AH76" s="198">
        <f>ROUND(N(data!BY91), 0)</f>
        <v>0</v>
      </c>
      <c r="AI76" s="198">
        <f>ROUND(N(data!BY92), 0)</f>
        <v>45</v>
      </c>
      <c r="AJ76" s="198">
        <f>ROUND(N(data!BY93), 0)</f>
        <v>0</v>
      </c>
      <c r="AK76" s="315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111</v>
      </c>
      <c r="B77" s="200" t="str">
        <f>RIGHT(data!$C$96,4)</f>
        <v>2022</v>
      </c>
      <c r="C77" s="12" t="str">
        <f>data!BZ$55</f>
        <v>8730</v>
      </c>
      <c r="D77" s="12" t="s">
        <v>1157</v>
      </c>
      <c r="E77" s="198">
        <f>ROUND(N(data!BZ59), 0)</f>
        <v>0</v>
      </c>
      <c r="F77" s="315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5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111</v>
      </c>
      <c r="B78" s="200" t="str">
        <f>RIGHT(data!$C$96,4)</f>
        <v>2022</v>
      </c>
      <c r="C78" s="12" t="str">
        <f>data!CA$55</f>
        <v>8740</v>
      </c>
      <c r="D78" s="12" t="s">
        <v>1157</v>
      </c>
      <c r="E78" s="198">
        <f>ROUND(N(data!CA59), 0)</f>
        <v>0</v>
      </c>
      <c r="F78" s="315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5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111</v>
      </c>
      <c r="B79" s="200" t="str">
        <f>RIGHT(data!$C$96,4)</f>
        <v>2022</v>
      </c>
      <c r="C79" s="12" t="str">
        <f>data!CB$55</f>
        <v>8770</v>
      </c>
      <c r="D79" s="12" t="s">
        <v>1157</v>
      </c>
      <c r="E79" s="198">
        <f>ROUND(N(data!CB59), 0)</f>
        <v>0</v>
      </c>
      <c r="F79" s="315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5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111</v>
      </c>
      <c r="B80" s="200" t="str">
        <f>RIGHT(data!$C$96,4)</f>
        <v>2022</v>
      </c>
      <c r="C80" s="12" t="str">
        <f>data!CC$55</f>
        <v>8790</v>
      </c>
      <c r="D80" s="12" t="s">
        <v>1157</v>
      </c>
      <c r="E80" s="198">
        <f>ROUND(N(data!CC59), 0)</f>
        <v>0</v>
      </c>
      <c r="F80" s="315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5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2025-06-05T23:36:33Z</cp:lastPrinted>
  <dcterms:created xsi:type="dcterms:W3CDTF">1999-06-02T22:01:56Z</dcterms:created>
  <dcterms:modified xsi:type="dcterms:W3CDTF">2025-06-09T18:39:57Z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000000MNW920250606155842.xlsx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