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9B3E9CFC-21BA-431E-8821-9C7EC7E0EE1B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C101" i="8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O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G34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33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F69" i="15" s="1"/>
  <c r="B69" i="15"/>
  <c r="I68" i="15"/>
  <c r="B68" i="15"/>
  <c r="I67" i="15"/>
  <c r="B67" i="15"/>
  <c r="I66" i="15"/>
  <c r="B66" i="15"/>
  <c r="E65" i="15"/>
  <c r="D65" i="15"/>
  <c r="B65" i="15"/>
  <c r="F65" i="15" s="1"/>
  <c r="H64" i="15"/>
  <c r="I64" i="15" s="1"/>
  <c r="E64" i="15"/>
  <c r="D64" i="15"/>
  <c r="B64" i="15"/>
  <c r="F64" i="15" s="1"/>
  <c r="E63" i="15"/>
  <c r="D63" i="15"/>
  <c r="B63" i="15"/>
  <c r="I62" i="15"/>
  <c r="B62" i="15"/>
  <c r="I61" i="15"/>
  <c r="B61" i="15"/>
  <c r="I60" i="15"/>
  <c r="B60" i="15"/>
  <c r="F59" i="15"/>
  <c r="E59" i="15"/>
  <c r="D59" i="15"/>
  <c r="B59" i="15"/>
  <c r="H59" i="15" s="1"/>
  <c r="I59" i="15" s="1"/>
  <c r="H58" i="15"/>
  <c r="I58" i="15" s="1"/>
  <c r="F58" i="15"/>
  <c r="E58" i="15"/>
  <c r="D58" i="15"/>
  <c r="B58" i="15"/>
  <c r="E57" i="15"/>
  <c r="D57" i="15"/>
  <c r="B57" i="15"/>
  <c r="H57" i="15" s="1"/>
  <c r="I57" i="15" s="1"/>
  <c r="H56" i="15"/>
  <c r="I56" i="15" s="1"/>
  <c r="F56" i="15"/>
  <c r="E56" i="15"/>
  <c r="D56" i="15"/>
  <c r="B56" i="15"/>
  <c r="E55" i="15"/>
  <c r="D55" i="15"/>
  <c r="B55" i="15"/>
  <c r="H55" i="15" s="1"/>
  <c r="I55" i="15" s="1"/>
  <c r="E54" i="15"/>
  <c r="D54" i="15"/>
  <c r="B54" i="15"/>
  <c r="F53" i="15"/>
  <c r="E53" i="15"/>
  <c r="D53" i="15"/>
  <c r="B53" i="15"/>
  <c r="H53" i="15" s="1"/>
  <c r="I53" i="15" s="1"/>
  <c r="E52" i="15"/>
  <c r="D52" i="15"/>
  <c r="B52" i="15"/>
  <c r="H52" i="15" s="1"/>
  <c r="I52" i="15" s="1"/>
  <c r="H51" i="15"/>
  <c r="I51" i="15" s="1"/>
  <c r="F51" i="15"/>
  <c r="E51" i="15"/>
  <c r="D51" i="15"/>
  <c r="B51" i="15"/>
  <c r="E50" i="15"/>
  <c r="D50" i="15"/>
  <c r="B50" i="15"/>
  <c r="H50" i="15" s="1"/>
  <c r="I50" i="15" s="1"/>
  <c r="H49" i="15"/>
  <c r="I49" i="15" s="1"/>
  <c r="F49" i="15"/>
  <c r="E49" i="15"/>
  <c r="D49" i="15"/>
  <c r="B49" i="15"/>
  <c r="E48" i="15"/>
  <c r="D48" i="15"/>
  <c r="B48" i="15"/>
  <c r="H48" i="15" s="1"/>
  <c r="I48" i="15" s="1"/>
  <c r="E47" i="15"/>
  <c r="D47" i="15"/>
  <c r="B47" i="15"/>
  <c r="H47" i="15" s="1"/>
  <c r="I47" i="15" s="1"/>
  <c r="E46" i="15"/>
  <c r="D46" i="15"/>
  <c r="B46" i="15"/>
  <c r="F46" i="15" s="1"/>
  <c r="E45" i="15"/>
  <c r="D45" i="15"/>
  <c r="B45" i="15"/>
  <c r="H44" i="15"/>
  <c r="I44" i="15" s="1"/>
  <c r="E44" i="15"/>
  <c r="D44" i="15"/>
  <c r="B44" i="15"/>
  <c r="F44" i="15" s="1"/>
  <c r="F43" i="15"/>
  <c r="E43" i="15"/>
  <c r="D43" i="15"/>
  <c r="B43" i="15"/>
  <c r="H42" i="15"/>
  <c r="I42" i="15" s="1"/>
  <c r="F42" i="15"/>
  <c r="E42" i="15"/>
  <c r="D42" i="15"/>
  <c r="B42" i="15"/>
  <c r="E41" i="15"/>
  <c r="D41" i="15"/>
  <c r="B41" i="15"/>
  <c r="I40" i="15"/>
  <c r="B40" i="15"/>
  <c r="E39" i="15"/>
  <c r="D39" i="15"/>
  <c r="F39" i="15" s="1"/>
  <c r="B39" i="15"/>
  <c r="E38" i="15"/>
  <c r="D38" i="15"/>
  <c r="B38" i="15"/>
  <c r="H38" i="15" s="1"/>
  <c r="I38" i="15" s="1"/>
  <c r="E37" i="15"/>
  <c r="D37" i="15"/>
  <c r="B37" i="15"/>
  <c r="E36" i="15"/>
  <c r="D36" i="15"/>
  <c r="B36" i="15"/>
  <c r="E35" i="15"/>
  <c r="D35" i="15"/>
  <c r="B35" i="15"/>
  <c r="H34" i="15"/>
  <c r="I34" i="15" s="1"/>
  <c r="E34" i="15"/>
  <c r="D34" i="15"/>
  <c r="B34" i="15"/>
  <c r="F34" i="15" s="1"/>
  <c r="E33" i="15"/>
  <c r="D33" i="15"/>
  <c r="F33" i="15" s="1"/>
  <c r="B33" i="15"/>
  <c r="I32" i="15"/>
  <c r="B32" i="15"/>
  <c r="I31" i="15"/>
  <c r="B31" i="15"/>
  <c r="F30" i="15"/>
  <c r="E30" i="15"/>
  <c r="D30" i="15"/>
  <c r="B30" i="15"/>
  <c r="F29" i="15"/>
  <c r="E29" i="15"/>
  <c r="D29" i="15"/>
  <c r="B29" i="15"/>
  <c r="E28" i="15"/>
  <c r="D28" i="15"/>
  <c r="F28" i="15" s="1"/>
  <c r="B28" i="15"/>
  <c r="E27" i="15"/>
  <c r="D27" i="15"/>
  <c r="F27" i="15" s="1"/>
  <c r="B27" i="15"/>
  <c r="E26" i="15"/>
  <c r="D26" i="15"/>
  <c r="B26" i="15"/>
  <c r="E25" i="15"/>
  <c r="D25" i="15"/>
  <c r="B25" i="15"/>
  <c r="H25" i="15" s="1"/>
  <c r="I25" i="15" s="1"/>
  <c r="H24" i="15"/>
  <c r="I24" i="15" s="1"/>
  <c r="F24" i="15"/>
  <c r="E24" i="15"/>
  <c r="D24" i="15"/>
  <c r="B24" i="15"/>
  <c r="H23" i="15"/>
  <c r="I23" i="15" s="1"/>
  <c r="F23" i="15"/>
  <c r="E23" i="15"/>
  <c r="D23" i="15"/>
  <c r="B23" i="15"/>
  <c r="E22" i="15"/>
  <c r="D22" i="15"/>
  <c r="F22" i="15" s="1"/>
  <c r="B22" i="15"/>
  <c r="E21" i="15"/>
  <c r="D21" i="15"/>
  <c r="B21" i="15"/>
  <c r="H21" i="15" s="1"/>
  <c r="I21" i="15" s="1"/>
  <c r="E20" i="15"/>
  <c r="D20" i="15"/>
  <c r="B20" i="15"/>
  <c r="E19" i="15"/>
  <c r="D19" i="15"/>
  <c r="B19" i="15"/>
  <c r="H19" i="15" s="1"/>
  <c r="I19" i="15" s="1"/>
  <c r="E18" i="15"/>
  <c r="D18" i="15"/>
  <c r="B18" i="15"/>
  <c r="E17" i="15"/>
  <c r="D17" i="15"/>
  <c r="B17" i="15"/>
  <c r="F17" i="15" s="1"/>
  <c r="H16" i="15"/>
  <c r="I16" i="15" s="1"/>
  <c r="F16" i="15"/>
  <c r="E16" i="15"/>
  <c r="D16" i="15"/>
  <c r="B16" i="15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C170" i="8" s="1"/>
  <c r="D415" i="24"/>
  <c r="D381" i="24"/>
  <c r="BQ2" i="30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CE94" i="24"/>
  <c r="I384" i="32" s="1"/>
  <c r="CF93" i="24"/>
  <c r="CE93" i="24"/>
  <c r="CE92" i="24"/>
  <c r="CE91" i="24"/>
  <c r="AZ91" i="24"/>
  <c r="CE90" i="24"/>
  <c r="I380" i="32" s="1"/>
  <c r="AV89" i="24"/>
  <c r="AU89" i="24"/>
  <c r="AE46" i="31" s="1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AE25" i="31" s="1"/>
  <c r="Y89" i="24"/>
  <c r="X89" i="24"/>
  <c r="W89" i="24"/>
  <c r="V89" i="24"/>
  <c r="U89" i="24"/>
  <c r="T89" i="24"/>
  <c r="S89" i="24"/>
  <c r="R89" i="24"/>
  <c r="Q89" i="24"/>
  <c r="P89" i="24"/>
  <c r="O89" i="24"/>
  <c r="AE14" i="31" s="1"/>
  <c r="N89" i="24"/>
  <c r="M89" i="24"/>
  <c r="L89" i="24"/>
  <c r="K89" i="24"/>
  <c r="J89" i="24"/>
  <c r="I89" i="24"/>
  <c r="H89" i="24"/>
  <c r="G89" i="24"/>
  <c r="F89" i="24"/>
  <c r="AE5" i="31" s="1"/>
  <c r="E89" i="24"/>
  <c r="D89" i="24"/>
  <c r="AE3" i="31" s="1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D275" i="32" s="1"/>
  <c r="BG69" i="24"/>
  <c r="C275" i="32" s="1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O41" i="31" s="1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O11" i="31" s="1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H612" i="24" s="1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D383" i="24" l="1"/>
  <c r="C137" i="8" s="1"/>
  <c r="D341" i="24"/>
  <c r="C87" i="8" s="1"/>
  <c r="D258" i="24"/>
  <c r="CE89" i="24"/>
  <c r="I378" i="32" s="1"/>
  <c r="CF90" i="24"/>
  <c r="CA52" i="24" s="1"/>
  <c r="CA67" i="24" s="1"/>
  <c r="M78" i="31" s="1"/>
  <c r="CE69" i="24"/>
  <c r="I371" i="32" s="1"/>
  <c r="L612" i="24"/>
  <c r="F612" i="24"/>
  <c r="CE48" i="24"/>
  <c r="C62" i="24"/>
  <c r="C12" i="32" s="1"/>
  <c r="H12" i="31"/>
  <c r="F44" i="32"/>
  <c r="H30" i="31"/>
  <c r="C140" i="32"/>
  <c r="H78" i="31"/>
  <c r="I332" i="32"/>
  <c r="H31" i="31"/>
  <c r="D140" i="32"/>
  <c r="H47" i="31"/>
  <c r="F204" i="32"/>
  <c r="H63" i="31"/>
  <c r="H268" i="32"/>
  <c r="E76" i="32"/>
  <c r="H18" i="31"/>
  <c r="H50" i="31"/>
  <c r="I204" i="32"/>
  <c r="H3" i="31"/>
  <c r="D12" i="32"/>
  <c r="H35" i="31"/>
  <c r="H140" i="32"/>
  <c r="H51" i="31"/>
  <c r="C236" i="32"/>
  <c r="H5" i="31"/>
  <c r="F12" i="32"/>
  <c r="H21" i="31"/>
  <c r="H76" i="32"/>
  <c r="H37" i="31"/>
  <c r="C172" i="32"/>
  <c r="E236" i="32"/>
  <c r="H53" i="31"/>
  <c r="G300" i="32"/>
  <c r="H69" i="31"/>
  <c r="H70" i="31"/>
  <c r="H300" i="32"/>
  <c r="H7" i="31"/>
  <c r="H12" i="32"/>
  <c r="H23" i="31"/>
  <c r="C108" i="32"/>
  <c r="H39" i="31"/>
  <c r="E172" i="32"/>
  <c r="H55" i="31"/>
  <c r="G236" i="32"/>
  <c r="H71" i="31"/>
  <c r="I300" i="32"/>
  <c r="H10" i="31"/>
  <c r="D44" i="32"/>
  <c r="H42" i="31"/>
  <c r="H172" i="32"/>
  <c r="H11" i="31"/>
  <c r="E44" i="32"/>
  <c r="H43" i="31"/>
  <c r="I172" i="32"/>
  <c r="H108" i="32"/>
  <c r="H28" i="31"/>
  <c r="H44" i="31"/>
  <c r="C204" i="32"/>
  <c r="C76" i="32"/>
  <c r="H16" i="31"/>
  <c r="H36" i="31"/>
  <c r="I140" i="32"/>
  <c r="H76" i="31"/>
  <c r="G332" i="32"/>
  <c r="C19" i="32"/>
  <c r="O2" i="31"/>
  <c r="E83" i="32"/>
  <c r="O18" i="31"/>
  <c r="O34" i="31"/>
  <c r="G147" i="32"/>
  <c r="I211" i="32"/>
  <c r="O50" i="31"/>
  <c r="D307" i="32"/>
  <c r="O66" i="31"/>
  <c r="AE15" i="31"/>
  <c r="I58" i="32"/>
  <c r="D154" i="32"/>
  <c r="AE31" i="31"/>
  <c r="F218" i="32"/>
  <c r="AE47" i="31"/>
  <c r="H20" i="15"/>
  <c r="I20" i="15" s="1"/>
  <c r="F20" i="15"/>
  <c r="H56" i="31"/>
  <c r="H236" i="32"/>
  <c r="D19" i="32"/>
  <c r="O3" i="31"/>
  <c r="O19" i="31"/>
  <c r="F83" i="32"/>
  <c r="H147" i="32"/>
  <c r="O35" i="31"/>
  <c r="C243" i="32"/>
  <c r="O51" i="31"/>
  <c r="E307" i="32"/>
  <c r="O67" i="31"/>
  <c r="AE16" i="31"/>
  <c r="C90" i="32"/>
  <c r="AE32" i="31"/>
  <c r="E154" i="32"/>
  <c r="D308" i="24"/>
  <c r="H20" i="31"/>
  <c r="G76" i="32"/>
  <c r="H25" i="31"/>
  <c r="E108" i="32"/>
  <c r="H57" i="31"/>
  <c r="I236" i="32"/>
  <c r="E268" i="32"/>
  <c r="H60" i="31"/>
  <c r="G19" i="32"/>
  <c r="O6" i="31"/>
  <c r="O22" i="31"/>
  <c r="I83" i="32"/>
  <c r="D179" i="32"/>
  <c r="O38" i="31"/>
  <c r="F243" i="32"/>
  <c r="O54" i="31"/>
  <c r="H307" i="32"/>
  <c r="O70" i="31"/>
  <c r="E51" i="32"/>
  <c r="O59" i="31"/>
  <c r="D364" i="32"/>
  <c r="H80" i="31"/>
  <c r="O37" i="31"/>
  <c r="C179" i="32"/>
  <c r="AE18" i="31"/>
  <c r="E90" i="32"/>
  <c r="H40" i="31"/>
  <c r="F172" i="32"/>
  <c r="H22" i="31"/>
  <c r="I76" i="32"/>
  <c r="H62" i="31"/>
  <c r="G268" i="32"/>
  <c r="H19" i="32"/>
  <c r="O7" i="31"/>
  <c r="C115" i="32"/>
  <c r="O23" i="31"/>
  <c r="O39" i="31"/>
  <c r="E179" i="32"/>
  <c r="O55" i="31"/>
  <c r="G243" i="32"/>
  <c r="I307" i="32"/>
  <c r="O71" i="31"/>
  <c r="AE4" i="31"/>
  <c r="E26" i="32"/>
  <c r="AE20" i="31"/>
  <c r="G90" i="32"/>
  <c r="AE36" i="31"/>
  <c r="I154" i="32"/>
  <c r="I381" i="32"/>
  <c r="CF91" i="24"/>
  <c r="G612" i="24"/>
  <c r="H19" i="31"/>
  <c r="F76" i="32"/>
  <c r="H58" i="31"/>
  <c r="C268" i="32"/>
  <c r="H59" i="31"/>
  <c r="D268" i="32"/>
  <c r="O21" i="31"/>
  <c r="H83" i="32"/>
  <c r="AE2" i="31"/>
  <c r="C26" i="32"/>
  <c r="H9" i="31"/>
  <c r="C44" i="32"/>
  <c r="H73" i="31"/>
  <c r="D332" i="32"/>
  <c r="E12" i="32"/>
  <c r="H4" i="31"/>
  <c r="I382" i="32"/>
  <c r="I612" i="24"/>
  <c r="E233" i="24"/>
  <c r="F32" i="6" s="1"/>
  <c r="F37" i="15"/>
  <c r="O5" i="31"/>
  <c r="F19" i="32"/>
  <c r="H41" i="31"/>
  <c r="G172" i="32"/>
  <c r="H24" i="31"/>
  <c r="D108" i="32"/>
  <c r="I268" i="32"/>
  <c r="H64" i="31"/>
  <c r="O9" i="31"/>
  <c r="C51" i="32"/>
  <c r="O25" i="31"/>
  <c r="E115" i="32"/>
  <c r="O57" i="31"/>
  <c r="I243" i="32"/>
  <c r="O73" i="31"/>
  <c r="D339" i="32"/>
  <c r="AE6" i="31"/>
  <c r="G26" i="32"/>
  <c r="AE22" i="31"/>
  <c r="I90" i="32"/>
  <c r="D186" i="32"/>
  <c r="AE38" i="31"/>
  <c r="I383" i="32"/>
  <c r="J612" i="24"/>
  <c r="D12" i="33"/>
  <c r="H29" i="31"/>
  <c r="I108" i="32"/>
  <c r="H26" i="31"/>
  <c r="F108" i="32"/>
  <c r="O10" i="31"/>
  <c r="D51" i="32"/>
  <c r="AE23" i="31"/>
  <c r="C122" i="32"/>
  <c r="BP2" i="30"/>
  <c r="C119" i="8"/>
  <c r="H27" i="31"/>
  <c r="G108" i="32"/>
  <c r="H68" i="31"/>
  <c r="F300" i="32"/>
  <c r="G115" i="32"/>
  <c r="O27" i="31"/>
  <c r="O43" i="31"/>
  <c r="I179" i="32"/>
  <c r="F339" i="32"/>
  <c r="O75" i="31"/>
  <c r="AE8" i="31"/>
  <c r="I26" i="32"/>
  <c r="AE24" i="31"/>
  <c r="D122" i="32"/>
  <c r="AE40" i="31"/>
  <c r="F186" i="32"/>
  <c r="H18" i="15"/>
  <c r="I18" i="15" s="1"/>
  <c r="F18" i="15"/>
  <c r="H26" i="15"/>
  <c r="I26" i="15" s="1"/>
  <c r="F26" i="15"/>
  <c r="O53" i="31"/>
  <c r="E243" i="32"/>
  <c r="G12" i="32"/>
  <c r="H6" i="31"/>
  <c r="AE7" i="31"/>
  <c r="H26" i="32"/>
  <c r="E28" i="4"/>
  <c r="G28" i="4"/>
  <c r="I12" i="32"/>
  <c r="H8" i="31"/>
  <c r="H48" i="31"/>
  <c r="G204" i="32"/>
  <c r="E380" i="24"/>
  <c r="H77" i="31"/>
  <c r="H332" i="32"/>
  <c r="H46" i="31"/>
  <c r="E204" i="32"/>
  <c r="F115" i="32"/>
  <c r="O26" i="31"/>
  <c r="F35" i="15"/>
  <c r="H45" i="31"/>
  <c r="D204" i="32"/>
  <c r="H67" i="31"/>
  <c r="E300" i="32"/>
  <c r="E186" i="32"/>
  <c r="AE39" i="31"/>
  <c r="H17" i="31"/>
  <c r="D76" i="32"/>
  <c r="H33" i="31"/>
  <c r="F140" i="32"/>
  <c r="H49" i="31"/>
  <c r="H204" i="32"/>
  <c r="H65" i="31"/>
  <c r="C300" i="32"/>
  <c r="H51" i="32"/>
  <c r="O14" i="31"/>
  <c r="O30" i="31"/>
  <c r="C147" i="32"/>
  <c r="O46" i="31"/>
  <c r="E211" i="32"/>
  <c r="G275" i="32"/>
  <c r="O62" i="31"/>
  <c r="I339" i="32"/>
  <c r="O78" i="31"/>
  <c r="AE11" i="31"/>
  <c r="E58" i="32"/>
  <c r="AE27" i="31"/>
  <c r="G122" i="32"/>
  <c r="AE43" i="31"/>
  <c r="I186" i="32"/>
  <c r="H79" i="31"/>
  <c r="C364" i="32"/>
  <c r="H61" i="31"/>
  <c r="F268" i="32"/>
  <c r="H66" i="31"/>
  <c r="D300" i="32"/>
  <c r="H32" i="31"/>
  <c r="E140" i="32"/>
  <c r="D236" i="32"/>
  <c r="H52" i="31"/>
  <c r="H72" i="31"/>
  <c r="C332" i="32"/>
  <c r="G179" i="32"/>
  <c r="C68" i="8"/>
  <c r="D350" i="24"/>
  <c r="O69" i="31"/>
  <c r="G307" i="32"/>
  <c r="AE34" i="31"/>
  <c r="G154" i="32"/>
  <c r="E339" i="32"/>
  <c r="O74" i="31"/>
  <c r="H14" i="31"/>
  <c r="H44" i="32"/>
  <c r="H34" i="31"/>
  <c r="G140" i="32"/>
  <c r="H74" i="31"/>
  <c r="E332" i="32"/>
  <c r="O16" i="31"/>
  <c r="C83" i="32"/>
  <c r="O32" i="31"/>
  <c r="E147" i="32"/>
  <c r="O48" i="31"/>
  <c r="G211" i="32"/>
  <c r="I275" i="32"/>
  <c r="O64" i="31"/>
  <c r="D371" i="32"/>
  <c r="O80" i="31"/>
  <c r="AE13" i="31"/>
  <c r="G58" i="32"/>
  <c r="AE29" i="31"/>
  <c r="I122" i="32"/>
  <c r="AE45" i="31"/>
  <c r="D218" i="32"/>
  <c r="D416" i="24"/>
  <c r="CP2" i="30"/>
  <c r="C113" i="8"/>
  <c r="I362" i="32"/>
  <c r="BK2" i="30"/>
  <c r="H38" i="31"/>
  <c r="D172" i="32"/>
  <c r="H13" i="31"/>
  <c r="G44" i="32"/>
  <c r="O42" i="31"/>
  <c r="H179" i="32"/>
  <c r="H15" i="31"/>
  <c r="I44" i="32"/>
  <c r="H54" i="31"/>
  <c r="F236" i="32"/>
  <c r="H75" i="31"/>
  <c r="F332" i="32"/>
  <c r="F7" i="6"/>
  <c r="E220" i="24"/>
  <c r="O17" i="31"/>
  <c r="D83" i="32"/>
  <c r="O33" i="31"/>
  <c r="F147" i="32"/>
  <c r="O49" i="31"/>
  <c r="H211" i="32"/>
  <c r="O65" i="31"/>
  <c r="C307" i="32"/>
  <c r="CD85" i="24"/>
  <c r="C154" i="32"/>
  <c r="AE30" i="31"/>
  <c r="D612" i="24"/>
  <c r="H46" i="15"/>
  <c r="I46" i="15" s="1"/>
  <c r="O4" i="31"/>
  <c r="E19" i="32"/>
  <c r="O20" i="31"/>
  <c r="G83" i="32"/>
  <c r="O36" i="31"/>
  <c r="I147" i="32"/>
  <c r="O52" i="31"/>
  <c r="D243" i="32"/>
  <c r="O68" i="31"/>
  <c r="F307" i="32"/>
  <c r="AE17" i="31"/>
  <c r="D90" i="32"/>
  <c r="AE33" i="31"/>
  <c r="F154" i="32"/>
  <c r="E122" i="32"/>
  <c r="DF2" i="30"/>
  <c r="AE19" i="31"/>
  <c r="F90" i="32"/>
  <c r="H154" i="32"/>
  <c r="AE35" i="31"/>
  <c r="C253" i="32"/>
  <c r="AH51" i="31"/>
  <c r="G19" i="4"/>
  <c r="E19" i="4"/>
  <c r="F47" i="15"/>
  <c r="F63" i="15"/>
  <c r="F25" i="15"/>
  <c r="F54" i="15"/>
  <c r="E218" i="32"/>
  <c r="O8" i="31"/>
  <c r="I19" i="32"/>
  <c r="O24" i="31"/>
  <c r="D115" i="32"/>
  <c r="O40" i="31"/>
  <c r="F179" i="32"/>
  <c r="H243" i="32"/>
  <c r="O56" i="31"/>
  <c r="O72" i="31"/>
  <c r="C339" i="32"/>
  <c r="AE21" i="31"/>
  <c r="H90" i="32"/>
  <c r="AE37" i="31"/>
  <c r="C186" i="32"/>
  <c r="F45" i="15"/>
  <c r="F52" i="15"/>
  <c r="C615" i="24"/>
  <c r="F21" i="15"/>
  <c r="F38" i="15"/>
  <c r="F50" i="15"/>
  <c r="H58" i="32"/>
  <c r="O12" i="31"/>
  <c r="F51" i="32"/>
  <c r="O28" i="31"/>
  <c r="H115" i="32"/>
  <c r="O44" i="31"/>
  <c r="C211" i="32"/>
  <c r="O60" i="31"/>
  <c r="E275" i="32"/>
  <c r="O76" i="31"/>
  <c r="G339" i="32"/>
  <c r="AE9" i="31"/>
  <c r="C58" i="32"/>
  <c r="AE41" i="31"/>
  <c r="G186" i="32"/>
  <c r="CF2" i="28"/>
  <c r="D5" i="7"/>
  <c r="F41" i="15"/>
  <c r="F57" i="15"/>
  <c r="O13" i="31"/>
  <c r="G51" i="32"/>
  <c r="O29" i="31"/>
  <c r="I115" i="32"/>
  <c r="O45" i="31"/>
  <c r="D211" i="32"/>
  <c r="O61" i="31"/>
  <c r="F275" i="32"/>
  <c r="O77" i="31"/>
  <c r="H339" i="32"/>
  <c r="D58" i="32"/>
  <c r="AE10" i="31"/>
  <c r="AE26" i="31"/>
  <c r="F122" i="32"/>
  <c r="H186" i="32"/>
  <c r="AE42" i="31"/>
  <c r="F19" i="15"/>
  <c r="F36" i="15"/>
  <c r="F48" i="15"/>
  <c r="D26" i="32"/>
  <c r="F420" i="24"/>
  <c r="F55" i="15"/>
  <c r="F26" i="32"/>
  <c r="I51" i="32"/>
  <c r="O15" i="31"/>
  <c r="O31" i="31"/>
  <c r="D147" i="32"/>
  <c r="F211" i="32"/>
  <c r="O47" i="31"/>
  <c r="H275" i="32"/>
  <c r="O63" i="31"/>
  <c r="C371" i="32"/>
  <c r="O79" i="31"/>
  <c r="AE12" i="31"/>
  <c r="F58" i="32"/>
  <c r="AE28" i="31"/>
  <c r="H122" i="32"/>
  <c r="AE44" i="31"/>
  <c r="C218" i="32"/>
  <c r="D615" i="34"/>
  <c r="C715" i="34"/>
  <c r="C648" i="34"/>
  <c r="M716" i="34" s="1"/>
  <c r="K612" i="24" l="1"/>
  <c r="N52" i="24"/>
  <c r="N67" i="24" s="1"/>
  <c r="N85" i="24" s="1"/>
  <c r="C26" i="15" s="1"/>
  <c r="G26" i="15" s="1"/>
  <c r="AB52" i="24"/>
  <c r="AB67" i="24" s="1"/>
  <c r="M27" i="31" s="1"/>
  <c r="AA52" i="24"/>
  <c r="AA67" i="24" s="1"/>
  <c r="M26" i="31" s="1"/>
  <c r="X52" i="24"/>
  <c r="X67" i="24" s="1"/>
  <c r="X85" i="24" s="1"/>
  <c r="C117" i="32" s="1"/>
  <c r="H52" i="24"/>
  <c r="H67" i="24" s="1"/>
  <c r="H85" i="24" s="1"/>
  <c r="C673" i="24" s="1"/>
  <c r="CA85" i="24"/>
  <c r="C647" i="24" s="1"/>
  <c r="BW52" i="24"/>
  <c r="BW67" i="24" s="1"/>
  <c r="BW85" i="24" s="1"/>
  <c r="C87" i="15" s="1"/>
  <c r="G87" i="15" s="1"/>
  <c r="BS52" i="24"/>
  <c r="BS67" i="24" s="1"/>
  <c r="BS85" i="24" s="1"/>
  <c r="H309" i="32" s="1"/>
  <c r="BB52" i="24"/>
  <c r="BB67" i="24" s="1"/>
  <c r="BB85" i="24" s="1"/>
  <c r="C632" i="24" s="1"/>
  <c r="BQ52" i="24"/>
  <c r="BQ67" i="24" s="1"/>
  <c r="F305" i="32" s="1"/>
  <c r="AK52" i="24"/>
  <c r="AK67" i="24" s="1"/>
  <c r="M36" i="31" s="1"/>
  <c r="AE52" i="24"/>
  <c r="AE67" i="24" s="1"/>
  <c r="AE85" i="24" s="1"/>
  <c r="C149" i="32" s="1"/>
  <c r="E52" i="24"/>
  <c r="E67" i="24" s="1"/>
  <c r="M4" i="31" s="1"/>
  <c r="BI52" i="24"/>
  <c r="BI67" i="24" s="1"/>
  <c r="M60" i="31" s="1"/>
  <c r="AZ52" i="24"/>
  <c r="AZ67" i="24" s="1"/>
  <c r="AZ85" i="24" s="1"/>
  <c r="C64" i="15" s="1"/>
  <c r="G64" i="15" s="1"/>
  <c r="AS52" i="24"/>
  <c r="AS67" i="24" s="1"/>
  <c r="M44" i="31" s="1"/>
  <c r="BO52" i="24"/>
  <c r="BO67" i="24" s="1"/>
  <c r="D305" i="32" s="1"/>
  <c r="BJ52" i="24"/>
  <c r="BJ67" i="24" s="1"/>
  <c r="M61" i="31" s="1"/>
  <c r="BX52" i="24"/>
  <c r="BX67" i="24" s="1"/>
  <c r="BX85" i="24" s="1"/>
  <c r="F341" i="32" s="1"/>
  <c r="S52" i="24"/>
  <c r="S67" i="24" s="1"/>
  <c r="M18" i="31" s="1"/>
  <c r="BM52" i="24"/>
  <c r="BM67" i="24" s="1"/>
  <c r="BM85" i="24" s="1"/>
  <c r="I277" i="32" s="1"/>
  <c r="AF52" i="24"/>
  <c r="AF67" i="24" s="1"/>
  <c r="M31" i="31" s="1"/>
  <c r="AQ52" i="24"/>
  <c r="AQ67" i="24" s="1"/>
  <c r="H177" i="32" s="1"/>
  <c r="AP52" i="24"/>
  <c r="AP67" i="24" s="1"/>
  <c r="AP85" i="24" s="1"/>
  <c r="G181" i="32" s="1"/>
  <c r="K52" i="24"/>
  <c r="K67" i="24" s="1"/>
  <c r="K85" i="24" s="1"/>
  <c r="D53" i="32" s="1"/>
  <c r="BE52" i="24"/>
  <c r="BE67" i="24" s="1"/>
  <c r="M56" i="31" s="1"/>
  <c r="I52" i="24"/>
  <c r="I67" i="24" s="1"/>
  <c r="I85" i="24" s="1"/>
  <c r="C674" i="24" s="1"/>
  <c r="Q52" i="24"/>
  <c r="Q67" i="24" s="1"/>
  <c r="BD52" i="24"/>
  <c r="BD67" i="24" s="1"/>
  <c r="M55" i="31" s="1"/>
  <c r="O52" i="24"/>
  <c r="O67" i="24" s="1"/>
  <c r="M14" i="31" s="1"/>
  <c r="BG52" i="24"/>
  <c r="BG67" i="24" s="1"/>
  <c r="M58" i="31" s="1"/>
  <c r="AN52" i="24"/>
  <c r="AN67" i="24" s="1"/>
  <c r="E177" i="32" s="1"/>
  <c r="T52" i="24"/>
  <c r="T67" i="24" s="1"/>
  <c r="M19" i="31" s="1"/>
  <c r="C52" i="24"/>
  <c r="C67" i="24" s="1"/>
  <c r="M2" i="31" s="1"/>
  <c r="M52" i="24"/>
  <c r="M67" i="24" s="1"/>
  <c r="M12" i="31" s="1"/>
  <c r="BV52" i="24"/>
  <c r="BV67" i="24" s="1"/>
  <c r="M73" i="31" s="1"/>
  <c r="BC52" i="24"/>
  <c r="BC67" i="24" s="1"/>
  <c r="M54" i="31" s="1"/>
  <c r="AH52" i="24"/>
  <c r="AH67" i="24" s="1"/>
  <c r="M33" i="31" s="1"/>
  <c r="BZ52" i="24"/>
  <c r="BZ67" i="24" s="1"/>
  <c r="M77" i="31" s="1"/>
  <c r="BF52" i="24"/>
  <c r="BF67" i="24" s="1"/>
  <c r="BF85" i="24" s="1"/>
  <c r="C70" i="15" s="1"/>
  <c r="G70" i="15" s="1"/>
  <c r="G52" i="24"/>
  <c r="G67" i="24" s="1"/>
  <c r="M6" i="31" s="1"/>
  <c r="CC52" i="24"/>
  <c r="CC67" i="24" s="1"/>
  <c r="I337" i="32"/>
  <c r="AT52" i="24"/>
  <c r="AT67" i="24" s="1"/>
  <c r="AT85" i="24" s="1"/>
  <c r="D213" i="32" s="1"/>
  <c r="Z52" i="24"/>
  <c r="Z67" i="24" s="1"/>
  <c r="V52" i="24"/>
  <c r="V67" i="24" s="1"/>
  <c r="M21" i="31" s="1"/>
  <c r="AW52" i="24"/>
  <c r="AW67" i="24" s="1"/>
  <c r="AW85" i="24" s="1"/>
  <c r="G213" i="32" s="1"/>
  <c r="AD52" i="24"/>
  <c r="AD67" i="24" s="1"/>
  <c r="AD85" i="24" s="1"/>
  <c r="I117" i="32" s="1"/>
  <c r="R52" i="24"/>
  <c r="R67" i="24" s="1"/>
  <c r="R85" i="24" s="1"/>
  <c r="C30" i="15" s="1"/>
  <c r="F52" i="24"/>
  <c r="F67" i="24" s="1"/>
  <c r="M5" i="31" s="1"/>
  <c r="AG52" i="24"/>
  <c r="AG67" i="24" s="1"/>
  <c r="AC52" i="24"/>
  <c r="AC67" i="24" s="1"/>
  <c r="AO52" i="24"/>
  <c r="AO67" i="24" s="1"/>
  <c r="M40" i="31" s="1"/>
  <c r="BA52" i="24"/>
  <c r="BA67" i="24" s="1"/>
  <c r="D241" i="32" s="1"/>
  <c r="CB52" i="24"/>
  <c r="CB67" i="24" s="1"/>
  <c r="AR52" i="24"/>
  <c r="AR67" i="24" s="1"/>
  <c r="I177" i="32" s="1"/>
  <c r="BN52" i="24"/>
  <c r="BN67" i="24" s="1"/>
  <c r="M65" i="31" s="1"/>
  <c r="U52" i="24"/>
  <c r="U67" i="24" s="1"/>
  <c r="U85" i="24" s="1"/>
  <c r="G85" i="32" s="1"/>
  <c r="AU52" i="24"/>
  <c r="AU67" i="24" s="1"/>
  <c r="AU85" i="24" s="1"/>
  <c r="C59" i="15" s="1"/>
  <c r="G59" i="15" s="1"/>
  <c r="L52" i="24"/>
  <c r="L67" i="24" s="1"/>
  <c r="L85" i="24" s="1"/>
  <c r="E53" i="32" s="1"/>
  <c r="BT52" i="24"/>
  <c r="BT67" i="24" s="1"/>
  <c r="BT85" i="24" s="1"/>
  <c r="C84" i="15" s="1"/>
  <c r="G84" i="15" s="1"/>
  <c r="BP52" i="24"/>
  <c r="BP67" i="24" s="1"/>
  <c r="E305" i="32" s="1"/>
  <c r="P52" i="24"/>
  <c r="P67" i="24" s="1"/>
  <c r="AJ52" i="24"/>
  <c r="AJ67" i="24" s="1"/>
  <c r="H305" i="32"/>
  <c r="M70" i="31"/>
  <c r="M7" i="31"/>
  <c r="H2" i="31"/>
  <c r="BY52" i="24"/>
  <c r="BY67" i="24" s="1"/>
  <c r="BY85" i="24" s="1"/>
  <c r="C89" i="15" s="1"/>
  <c r="G89" i="15" s="1"/>
  <c r="J52" i="24"/>
  <c r="J67" i="24" s="1"/>
  <c r="AM52" i="24"/>
  <c r="AM67" i="24" s="1"/>
  <c r="D52" i="24"/>
  <c r="D67" i="24" s="1"/>
  <c r="BL52" i="24"/>
  <c r="BL67" i="24" s="1"/>
  <c r="CD52" i="24"/>
  <c r="W52" i="24"/>
  <c r="W67" i="24" s="1"/>
  <c r="AX52" i="24"/>
  <c r="AX67" i="24" s="1"/>
  <c r="AV52" i="24"/>
  <c r="AV67" i="24" s="1"/>
  <c r="F209" i="32" s="1"/>
  <c r="BK52" i="24"/>
  <c r="BK67" i="24" s="1"/>
  <c r="BH52" i="24"/>
  <c r="BH67" i="24" s="1"/>
  <c r="D273" i="32" s="1"/>
  <c r="BU52" i="24"/>
  <c r="BU67" i="24" s="1"/>
  <c r="C337" i="32" s="1"/>
  <c r="BR52" i="24"/>
  <c r="BR67" i="24" s="1"/>
  <c r="AY52" i="24"/>
  <c r="AY67" i="24" s="1"/>
  <c r="Y52" i="24"/>
  <c r="Y67" i="24" s="1"/>
  <c r="D113" i="32" s="1"/>
  <c r="AL52" i="24"/>
  <c r="AL67" i="24" s="1"/>
  <c r="AI52" i="24"/>
  <c r="AI67" i="24" s="1"/>
  <c r="M34" i="31" s="1"/>
  <c r="AF85" i="24"/>
  <c r="D149" i="32" s="1"/>
  <c r="D145" i="32"/>
  <c r="AQ85" i="24"/>
  <c r="C55" i="15" s="1"/>
  <c r="G55" i="15" s="1"/>
  <c r="CE62" i="24"/>
  <c r="I364" i="32" s="1"/>
  <c r="F234" i="24"/>
  <c r="F16" i="6"/>
  <c r="D707" i="34"/>
  <c r="D691" i="34"/>
  <c r="D675" i="34"/>
  <c r="D644" i="34"/>
  <c r="D642" i="34"/>
  <c r="D640" i="34"/>
  <c r="D638" i="34"/>
  <c r="D636" i="34"/>
  <c r="D634" i="34"/>
  <c r="D632" i="34"/>
  <c r="D630" i="34"/>
  <c r="D624" i="34"/>
  <c r="D704" i="34"/>
  <c r="D688" i="34"/>
  <c r="D672" i="34"/>
  <c r="D616" i="34"/>
  <c r="D701" i="34"/>
  <c r="D685" i="34"/>
  <c r="D669" i="34"/>
  <c r="D627" i="34"/>
  <c r="D698" i="34"/>
  <c r="D682" i="34"/>
  <c r="D623" i="34"/>
  <c r="D711" i="34"/>
  <c r="D695" i="34"/>
  <c r="D679" i="34"/>
  <c r="D705" i="34"/>
  <c r="D689" i="34"/>
  <c r="D673" i="34"/>
  <c r="D716" i="34"/>
  <c r="D699" i="34"/>
  <c r="D683" i="34"/>
  <c r="D643" i="34"/>
  <c r="D641" i="34"/>
  <c r="D639" i="34"/>
  <c r="D637" i="34"/>
  <c r="D635" i="34"/>
  <c r="D633" i="34"/>
  <c r="D631" i="34"/>
  <c r="D712" i="34"/>
  <c r="D696" i="34"/>
  <c r="D680" i="34"/>
  <c r="D620" i="34"/>
  <c r="D706" i="34"/>
  <c r="D690" i="34"/>
  <c r="D674" i="34"/>
  <c r="D619" i="34"/>
  <c r="D703" i="34"/>
  <c r="D687" i="34"/>
  <c r="D671" i="34"/>
  <c r="D625" i="34"/>
  <c r="D710" i="34"/>
  <c r="D694" i="34"/>
  <c r="D678" i="34"/>
  <c r="D646" i="34"/>
  <c r="D617" i="34"/>
  <c r="D629" i="34"/>
  <c r="D621" i="34"/>
  <c r="D702" i="34"/>
  <c r="D647" i="34"/>
  <c r="D686" i="34"/>
  <c r="D628" i="34"/>
  <c r="D709" i="34"/>
  <c r="D618" i="34"/>
  <c r="D713" i="34"/>
  <c r="D670" i="34"/>
  <c r="D693" i="34"/>
  <c r="D697" i="34"/>
  <c r="D626" i="34"/>
  <c r="D708" i="34"/>
  <c r="D677" i="34"/>
  <c r="D645" i="34"/>
  <c r="D681" i="34"/>
  <c r="D700" i="34"/>
  <c r="D692" i="34"/>
  <c r="D684" i="34"/>
  <c r="D676" i="34"/>
  <c r="D668" i="34"/>
  <c r="D622" i="34"/>
  <c r="C117" i="8"/>
  <c r="BN2" i="30"/>
  <c r="D366" i="24"/>
  <c r="C167" i="8"/>
  <c r="D34" i="33"/>
  <c r="E414" i="24"/>
  <c r="E373" i="32"/>
  <c r="C94" i="15"/>
  <c r="G94" i="15" s="1"/>
  <c r="C50" i="8"/>
  <c r="D352" i="24"/>
  <c r="C103" i="8" s="1"/>
  <c r="F309" i="24"/>
  <c r="H17" i="32" l="1"/>
  <c r="M68" i="31"/>
  <c r="M10" i="31"/>
  <c r="E241" i="32"/>
  <c r="D49" i="32"/>
  <c r="C66" i="15"/>
  <c r="G66" i="15" s="1"/>
  <c r="M53" i="31"/>
  <c r="C676" i="24"/>
  <c r="E245" i="32"/>
  <c r="G113" i="32"/>
  <c r="AA85" i="24"/>
  <c r="C692" i="24" s="1"/>
  <c r="F113" i="32"/>
  <c r="AB85" i="24"/>
  <c r="C40" i="15" s="1"/>
  <c r="G40" i="15" s="1"/>
  <c r="C23" i="15"/>
  <c r="G23" i="15" s="1"/>
  <c r="M13" i="31"/>
  <c r="G49" i="32"/>
  <c r="C91" i="15"/>
  <c r="G91" i="15" s="1"/>
  <c r="C36" i="15"/>
  <c r="G36" i="15" s="1"/>
  <c r="H36" i="15" s="1"/>
  <c r="I36" i="15" s="1"/>
  <c r="C689" i="24"/>
  <c r="C113" i="32"/>
  <c r="I145" i="32"/>
  <c r="G85" i="24"/>
  <c r="C672" i="24" s="1"/>
  <c r="E337" i="32"/>
  <c r="E341" i="32"/>
  <c r="E17" i="32"/>
  <c r="BQ85" i="24"/>
  <c r="C81" i="15" s="1"/>
  <c r="G81" i="15" s="1"/>
  <c r="M74" i="31"/>
  <c r="M8" i="31"/>
  <c r="I341" i="32"/>
  <c r="BI85" i="24"/>
  <c r="E277" i="32" s="1"/>
  <c r="E273" i="32"/>
  <c r="I21" i="32"/>
  <c r="H21" i="32"/>
  <c r="C20" i="15"/>
  <c r="G20" i="15" s="1"/>
  <c r="AK85" i="24"/>
  <c r="I149" i="32" s="1"/>
  <c r="H241" i="32"/>
  <c r="I17" i="32"/>
  <c r="BE85" i="24"/>
  <c r="H245" i="32" s="1"/>
  <c r="I241" i="32"/>
  <c r="M23" i="31"/>
  <c r="M42" i="31"/>
  <c r="E85" i="24"/>
  <c r="C670" i="24" s="1"/>
  <c r="G241" i="32"/>
  <c r="G53" i="32"/>
  <c r="C679" i="24"/>
  <c r="C21" i="15"/>
  <c r="G21" i="15" s="1"/>
  <c r="C209" i="32"/>
  <c r="AS85" i="24"/>
  <c r="C710" i="24" s="1"/>
  <c r="C54" i="15"/>
  <c r="G54" i="15" s="1"/>
  <c r="H54" i="15" s="1"/>
  <c r="I54" i="15" s="1"/>
  <c r="G177" i="32"/>
  <c r="C643" i="24"/>
  <c r="M30" i="31"/>
  <c r="M57" i="31"/>
  <c r="C696" i="24"/>
  <c r="C43" i="15"/>
  <c r="G43" i="15" s="1"/>
  <c r="H43" i="15" s="1"/>
  <c r="I43" i="15" s="1"/>
  <c r="C145" i="32"/>
  <c r="H49" i="32"/>
  <c r="C638" i="24"/>
  <c r="C77" i="15"/>
  <c r="G77" i="15" s="1"/>
  <c r="I273" i="32"/>
  <c r="M64" i="31"/>
  <c r="M66" i="31"/>
  <c r="BO85" i="24"/>
  <c r="D309" i="32" s="1"/>
  <c r="C707" i="24"/>
  <c r="C83" i="15"/>
  <c r="G83" i="15" s="1"/>
  <c r="C639" i="24"/>
  <c r="C645" i="24"/>
  <c r="C245" i="32"/>
  <c r="E81" i="32"/>
  <c r="C644" i="24"/>
  <c r="C640" i="24"/>
  <c r="I309" i="32"/>
  <c r="S85" i="24"/>
  <c r="E85" i="32" s="1"/>
  <c r="M75" i="31"/>
  <c r="M39" i="31"/>
  <c r="C88" i="15"/>
  <c r="G88" i="15" s="1"/>
  <c r="M51" i="31"/>
  <c r="C241" i="32"/>
  <c r="O85" i="24"/>
  <c r="H53" i="32" s="1"/>
  <c r="V85" i="24"/>
  <c r="C34" i="15" s="1"/>
  <c r="G34" i="15" s="1"/>
  <c r="F273" i="32"/>
  <c r="BJ85" i="24"/>
  <c r="M71" i="31"/>
  <c r="F337" i="32"/>
  <c r="M41" i="31"/>
  <c r="BD85" i="24"/>
  <c r="C624" i="24" s="1"/>
  <c r="AN85" i="24"/>
  <c r="C52" i="15" s="1"/>
  <c r="G52" i="15" s="1"/>
  <c r="G209" i="32"/>
  <c r="BG85" i="24"/>
  <c r="C277" i="32" s="1"/>
  <c r="C273" i="32"/>
  <c r="F49" i="32"/>
  <c r="M48" i="31"/>
  <c r="M43" i="31"/>
  <c r="H81" i="32"/>
  <c r="T85" i="24"/>
  <c r="F85" i="32" s="1"/>
  <c r="F81" i="32"/>
  <c r="F17" i="32"/>
  <c r="F85" i="24"/>
  <c r="C18" i="15" s="1"/>
  <c r="G18" i="15" s="1"/>
  <c r="F145" i="32"/>
  <c r="M85" i="24"/>
  <c r="G341" i="32"/>
  <c r="C61" i="15"/>
  <c r="C631" i="24"/>
  <c r="D85" i="32"/>
  <c r="CE67" i="24"/>
  <c r="I369" i="32" s="1"/>
  <c r="AH85" i="24"/>
  <c r="F149" i="32" s="1"/>
  <c r="C85" i="24"/>
  <c r="C15" i="15" s="1"/>
  <c r="G15" i="15" s="1"/>
  <c r="H15" i="15" s="1"/>
  <c r="I15" i="15" s="1"/>
  <c r="BH85" i="24"/>
  <c r="C636" i="24" s="1"/>
  <c r="D337" i="32"/>
  <c r="M59" i="31"/>
  <c r="BV85" i="24"/>
  <c r="C642" i="24" s="1"/>
  <c r="M52" i="31"/>
  <c r="D81" i="32"/>
  <c r="M17" i="31"/>
  <c r="BA85" i="24"/>
  <c r="D245" i="32" s="1"/>
  <c r="C81" i="32"/>
  <c r="M16" i="31"/>
  <c r="Q85" i="24"/>
  <c r="C629" i="24"/>
  <c r="I245" i="32"/>
  <c r="C683" i="24"/>
  <c r="C712" i="24"/>
  <c r="CE52" i="24"/>
  <c r="M76" i="31"/>
  <c r="G337" i="32"/>
  <c r="G81" i="32"/>
  <c r="C369" i="32"/>
  <c r="M79" i="31"/>
  <c r="CB85" i="24"/>
  <c r="M45" i="31"/>
  <c r="M20" i="31"/>
  <c r="C686" i="24"/>
  <c r="E213" i="32"/>
  <c r="BC85" i="24"/>
  <c r="BZ85" i="24"/>
  <c r="H337" i="32"/>
  <c r="M80" i="31"/>
  <c r="CC85" i="24"/>
  <c r="C33" i="15"/>
  <c r="G33" i="15" s="1"/>
  <c r="AO85" i="24"/>
  <c r="F177" i="32"/>
  <c r="AC85" i="24"/>
  <c r="H113" i="32"/>
  <c r="M28" i="31"/>
  <c r="C58" i="15"/>
  <c r="G58" i="15" s="1"/>
  <c r="AR85" i="24"/>
  <c r="D209" i="32"/>
  <c r="M32" i="31"/>
  <c r="E145" i="32"/>
  <c r="AG85" i="24"/>
  <c r="C711" i="24"/>
  <c r="D369" i="32"/>
  <c r="C42" i="15"/>
  <c r="G42" i="15" s="1"/>
  <c r="F241" i="32"/>
  <c r="M46" i="31"/>
  <c r="M29" i="31"/>
  <c r="I113" i="32"/>
  <c r="C695" i="24"/>
  <c r="G17" i="32"/>
  <c r="C17" i="32"/>
  <c r="C628" i="24"/>
  <c r="I305" i="32"/>
  <c r="BN85" i="24"/>
  <c r="C309" i="32" s="1"/>
  <c r="E209" i="32"/>
  <c r="BP85" i="24"/>
  <c r="M67" i="31"/>
  <c r="M11" i="31"/>
  <c r="E49" i="32"/>
  <c r="C305" i="32"/>
  <c r="E113" i="32"/>
  <c r="Z85" i="24"/>
  <c r="M25" i="31"/>
  <c r="C697" i="24"/>
  <c r="C44" i="15"/>
  <c r="G44" i="15" s="1"/>
  <c r="M15" i="31"/>
  <c r="I49" i="32"/>
  <c r="P85" i="24"/>
  <c r="AJ85" i="24"/>
  <c r="H145" i="32"/>
  <c r="M35" i="31"/>
  <c r="BL85" i="24"/>
  <c r="H273" i="32"/>
  <c r="M63" i="31"/>
  <c r="D85" i="24"/>
  <c r="M3" i="31"/>
  <c r="D17" i="32"/>
  <c r="W85" i="24"/>
  <c r="M22" i="31"/>
  <c r="I81" i="32"/>
  <c r="AM85" i="24"/>
  <c r="M38" i="31"/>
  <c r="D177" i="32"/>
  <c r="J85" i="24"/>
  <c r="C49" i="32"/>
  <c r="M9" i="31"/>
  <c r="M50" i="31"/>
  <c r="I209" i="32"/>
  <c r="AY85" i="24"/>
  <c r="BR85" i="24"/>
  <c r="G305" i="32"/>
  <c r="M69" i="31"/>
  <c r="M49" i="31"/>
  <c r="H209" i="32"/>
  <c r="AX85" i="24"/>
  <c r="BU85" i="24"/>
  <c r="M72" i="31"/>
  <c r="M62" i="31"/>
  <c r="BK85" i="24"/>
  <c r="G273" i="32"/>
  <c r="M47" i="31"/>
  <c r="AV85" i="24"/>
  <c r="C677" i="24"/>
  <c r="C24" i="15"/>
  <c r="G24" i="15" s="1"/>
  <c r="M37" i="31"/>
  <c r="AL85" i="24"/>
  <c r="Y85" i="24"/>
  <c r="M24" i="31"/>
  <c r="C177" i="32"/>
  <c r="G145" i="32"/>
  <c r="AI85" i="24"/>
  <c r="G149" i="32" s="1"/>
  <c r="C708" i="24"/>
  <c r="H181" i="32"/>
  <c r="C120" i="8"/>
  <c r="D367" i="24"/>
  <c r="H30" i="15"/>
  <c r="I30" i="15" s="1"/>
  <c r="G30" i="15"/>
  <c r="D715" i="34"/>
  <c r="E623" i="34"/>
  <c r="E612" i="34"/>
  <c r="F309" i="32" l="1"/>
  <c r="G117" i="32"/>
  <c r="C693" i="24"/>
  <c r="C19" i="15"/>
  <c r="G19" i="15" s="1"/>
  <c r="C39" i="15"/>
  <c r="G39" i="15" s="1"/>
  <c r="H39" i="15" s="1"/>
  <c r="F117" i="32"/>
  <c r="C623" i="24"/>
  <c r="G21" i="32"/>
  <c r="C73" i="15"/>
  <c r="G73" i="15" s="1"/>
  <c r="C634" i="24"/>
  <c r="C702" i="24"/>
  <c r="C213" i="32"/>
  <c r="C614" i="24"/>
  <c r="D615" i="24" s="1"/>
  <c r="D640" i="24" s="1"/>
  <c r="C49" i="15"/>
  <c r="G49" i="15" s="1"/>
  <c r="C68" i="15"/>
  <c r="G68" i="15" s="1"/>
  <c r="C17" i="15"/>
  <c r="G17" i="15" s="1"/>
  <c r="H17" i="15" s="1"/>
  <c r="I17" i="15" s="1"/>
  <c r="C57" i="15"/>
  <c r="G57" i="15" s="1"/>
  <c r="C69" i="15"/>
  <c r="G69" i="15" s="1"/>
  <c r="E21" i="32"/>
  <c r="G245" i="32"/>
  <c r="E181" i="32"/>
  <c r="C627" i="24"/>
  <c r="C79" i="15"/>
  <c r="G79" i="15" s="1"/>
  <c r="C705" i="24"/>
  <c r="C71" i="15"/>
  <c r="G71" i="15" s="1"/>
  <c r="C32" i="15"/>
  <c r="G32" i="15" s="1"/>
  <c r="C27" i="15"/>
  <c r="G27" i="15" s="1"/>
  <c r="H27" i="15" s="1"/>
  <c r="C680" i="24"/>
  <c r="C685" i="24"/>
  <c r="C21" i="32"/>
  <c r="C618" i="24"/>
  <c r="C31" i="15"/>
  <c r="G31" i="15" s="1"/>
  <c r="C684" i="24"/>
  <c r="C687" i="24"/>
  <c r="H85" i="32"/>
  <c r="F277" i="32"/>
  <c r="C617" i="24"/>
  <c r="C74" i="15"/>
  <c r="G74" i="15" s="1"/>
  <c r="D341" i="32"/>
  <c r="F21" i="32"/>
  <c r="H33" i="15"/>
  <c r="I33" i="15" s="1"/>
  <c r="C671" i="24"/>
  <c r="D277" i="32"/>
  <c r="C72" i="15"/>
  <c r="G72" i="15" s="1"/>
  <c r="C678" i="24"/>
  <c r="F53" i="32"/>
  <c r="C25" i="15"/>
  <c r="G25" i="15" s="1"/>
  <c r="C668" i="24"/>
  <c r="CE85" i="24"/>
  <c r="I373" i="32" s="1"/>
  <c r="C699" i="24"/>
  <c r="C46" i="15"/>
  <c r="G46" i="15" s="1"/>
  <c r="C86" i="15"/>
  <c r="G86" i="15" s="1"/>
  <c r="C65" i="15"/>
  <c r="H65" i="15" s="1"/>
  <c r="I65" i="15" s="1"/>
  <c r="C630" i="24"/>
  <c r="C78" i="15"/>
  <c r="G78" i="15" s="1"/>
  <c r="C682" i="24"/>
  <c r="C85" i="32"/>
  <c r="C29" i="15"/>
  <c r="C619" i="24"/>
  <c r="C92" i="15"/>
  <c r="G92" i="15" s="1"/>
  <c r="C622" i="24"/>
  <c r="C373" i="32"/>
  <c r="C41" i="15"/>
  <c r="H117" i="32"/>
  <c r="C694" i="24"/>
  <c r="C698" i="24"/>
  <c r="C45" i="15"/>
  <c r="E149" i="32"/>
  <c r="E117" i="32"/>
  <c r="C691" i="24"/>
  <c r="C38" i="15"/>
  <c r="G38" i="15" s="1"/>
  <c r="C709" i="24"/>
  <c r="I181" i="32"/>
  <c r="C56" i="15"/>
  <c r="G56" i="15" s="1"/>
  <c r="C706" i="24"/>
  <c r="F181" i="32"/>
  <c r="C53" i="15"/>
  <c r="G53" i="15" s="1"/>
  <c r="C67" i="15"/>
  <c r="G67" i="15" s="1"/>
  <c r="C633" i="24"/>
  <c r="F245" i="32"/>
  <c r="C93" i="15"/>
  <c r="G93" i="15" s="1"/>
  <c r="D373" i="32"/>
  <c r="C620" i="24"/>
  <c r="E309" i="32"/>
  <c r="C80" i="15"/>
  <c r="G80" i="15" s="1"/>
  <c r="C621" i="24"/>
  <c r="C90" i="15"/>
  <c r="G90" i="15" s="1"/>
  <c r="C646" i="24"/>
  <c r="H341" i="32"/>
  <c r="I53" i="32"/>
  <c r="C28" i="15"/>
  <c r="C681" i="24"/>
  <c r="H149" i="32"/>
  <c r="C701" i="24"/>
  <c r="C48" i="15"/>
  <c r="G48" i="15" s="1"/>
  <c r="C635" i="24"/>
  <c r="C75" i="15"/>
  <c r="G75" i="15" s="1"/>
  <c r="G277" i="32"/>
  <c r="C53" i="32"/>
  <c r="C22" i="15"/>
  <c r="C675" i="24"/>
  <c r="C341" i="32"/>
  <c r="C85" i="15"/>
  <c r="G85" i="15" s="1"/>
  <c r="C641" i="24"/>
  <c r="D181" i="32"/>
  <c r="C704" i="24"/>
  <c r="C51" i="15"/>
  <c r="G51" i="15" s="1"/>
  <c r="H213" i="32"/>
  <c r="C616" i="24"/>
  <c r="C62" i="15"/>
  <c r="I85" i="32"/>
  <c r="C688" i="24"/>
  <c r="C35" i="15"/>
  <c r="G309" i="32"/>
  <c r="C626" i="24"/>
  <c r="C82" i="15"/>
  <c r="G82" i="15" s="1"/>
  <c r="D21" i="32"/>
  <c r="C16" i="15"/>
  <c r="G16" i="15" s="1"/>
  <c r="C669" i="24"/>
  <c r="I213" i="32"/>
  <c r="C63" i="15"/>
  <c r="C625" i="24"/>
  <c r="F213" i="32"/>
  <c r="C60" i="15"/>
  <c r="C713" i="24"/>
  <c r="H277" i="32"/>
  <c r="C76" i="15"/>
  <c r="G76" i="15" s="1"/>
  <c r="C637" i="24"/>
  <c r="D117" i="32"/>
  <c r="C37" i="15"/>
  <c r="C690" i="24"/>
  <c r="C181" i="32"/>
  <c r="C50" i="15"/>
  <c r="G50" i="15" s="1"/>
  <c r="C703" i="24"/>
  <c r="C47" i="15"/>
  <c r="G47" i="15" s="1"/>
  <c r="C700" i="24"/>
  <c r="E704" i="34"/>
  <c r="E688" i="34"/>
  <c r="E672" i="34"/>
  <c r="E701" i="34"/>
  <c r="E685" i="34"/>
  <c r="E669" i="34"/>
  <c r="E627" i="34"/>
  <c r="E698" i="34"/>
  <c r="E682" i="34"/>
  <c r="E711" i="34"/>
  <c r="E695" i="34"/>
  <c r="E679" i="34"/>
  <c r="E708" i="34"/>
  <c r="E692" i="34"/>
  <c r="E676" i="34"/>
  <c r="E702" i="34"/>
  <c r="E686" i="34"/>
  <c r="E670" i="34"/>
  <c r="E647" i="34"/>
  <c r="E645" i="34"/>
  <c r="E629" i="34"/>
  <c r="E626" i="34"/>
  <c r="E712" i="34"/>
  <c r="E696" i="34"/>
  <c r="E680" i="34"/>
  <c r="E709" i="34"/>
  <c r="E693" i="34"/>
  <c r="E677" i="34"/>
  <c r="E703" i="34"/>
  <c r="E687" i="34"/>
  <c r="E671" i="34"/>
  <c r="E625" i="34"/>
  <c r="E700" i="34"/>
  <c r="E684" i="34"/>
  <c r="E668" i="34"/>
  <c r="E628" i="34"/>
  <c r="E707" i="34"/>
  <c r="E691" i="34"/>
  <c r="E675" i="34"/>
  <c r="E644" i="34"/>
  <c r="E642" i="34"/>
  <c r="E640" i="34"/>
  <c r="E638" i="34"/>
  <c r="E636" i="34"/>
  <c r="E634" i="34"/>
  <c r="E632" i="34"/>
  <c r="E630" i="34"/>
  <c r="E624" i="34"/>
  <c r="E710" i="34"/>
  <c r="E706" i="34"/>
  <c r="E694" i="34"/>
  <c r="E633" i="34"/>
  <c r="E690" i="34"/>
  <c r="E713" i="34"/>
  <c r="E678" i="34"/>
  <c r="E637" i="34"/>
  <c r="E705" i="34"/>
  <c r="E674" i="34"/>
  <c r="E646" i="34"/>
  <c r="E697" i="34"/>
  <c r="E641" i="34"/>
  <c r="E689" i="34"/>
  <c r="E681" i="34"/>
  <c r="E673" i="34"/>
  <c r="E631" i="34"/>
  <c r="E716" i="34"/>
  <c r="E683" i="34"/>
  <c r="E643" i="34"/>
  <c r="E639" i="34"/>
  <c r="E635" i="34"/>
  <c r="E699" i="34"/>
  <c r="C121" i="8"/>
  <c r="D384" i="24"/>
  <c r="D620" i="24"/>
  <c r="D697" i="24"/>
  <c r="D628" i="24"/>
  <c r="D617" i="24" l="1"/>
  <c r="D703" i="24"/>
  <c r="D713" i="24"/>
  <c r="D645" i="24"/>
  <c r="D699" i="24"/>
  <c r="D716" i="24"/>
  <c r="D710" i="24"/>
  <c r="D711" i="24"/>
  <c r="D700" i="24"/>
  <c r="D621" i="24"/>
  <c r="D626" i="24"/>
  <c r="D629" i="24"/>
  <c r="D670" i="24"/>
  <c r="D685" i="24"/>
  <c r="D706" i="24"/>
  <c r="D707" i="24"/>
  <c r="D646" i="24"/>
  <c r="D694" i="24"/>
  <c r="D704" i="24"/>
  <c r="D676" i="24"/>
  <c r="D681" i="24"/>
  <c r="D709" i="24"/>
  <c r="D701" i="24"/>
  <c r="D674" i="24"/>
  <c r="D616" i="24"/>
  <c r="D669" i="24"/>
  <c r="D690" i="24"/>
  <c r="D672" i="24"/>
  <c r="D639" i="24"/>
  <c r="D688" i="24"/>
  <c r="D708" i="24"/>
  <c r="D643" i="24"/>
  <c r="D632" i="24"/>
  <c r="D634" i="24"/>
  <c r="D712" i="24"/>
  <c r="D677" i="24"/>
  <c r="D647" i="24"/>
  <c r="D624" i="24"/>
  <c r="D638" i="24"/>
  <c r="D698" i="24"/>
  <c r="D705" i="24"/>
  <c r="D692" i="24"/>
  <c r="D642" i="24"/>
  <c r="D680" i="24"/>
  <c r="D695" i="24"/>
  <c r="D684" i="24"/>
  <c r="D687" i="24"/>
  <c r="D631" i="24"/>
  <c r="D702" i="24"/>
  <c r="D644" i="24"/>
  <c r="D622" i="24"/>
  <c r="D693" i="24"/>
  <c r="D633" i="24"/>
  <c r="D623" i="24"/>
  <c r="D675" i="24"/>
  <c r="D686" i="24"/>
  <c r="D673" i="24"/>
  <c r="D678" i="24"/>
  <c r="D637" i="24"/>
  <c r="D627" i="24"/>
  <c r="D691" i="24"/>
  <c r="H69" i="15"/>
  <c r="D668" i="24"/>
  <c r="D625" i="24"/>
  <c r="D635" i="24"/>
  <c r="D689" i="24"/>
  <c r="D630" i="24"/>
  <c r="D696" i="24"/>
  <c r="D671" i="24"/>
  <c r="D641" i="24"/>
  <c r="D679" i="24"/>
  <c r="D636" i="24"/>
  <c r="D618" i="24"/>
  <c r="D619" i="24"/>
  <c r="D683" i="24"/>
  <c r="D682" i="24"/>
  <c r="C715" i="24"/>
  <c r="G65" i="15"/>
  <c r="C716" i="24"/>
  <c r="C648" i="24"/>
  <c r="M716" i="24" s="1"/>
  <c r="G29" i="15"/>
  <c r="H29" i="15" s="1"/>
  <c r="I29" i="15" s="1"/>
  <c r="G45" i="15"/>
  <c r="H45" i="15" s="1"/>
  <c r="I45" i="15" s="1"/>
  <c r="G41" i="15"/>
  <c r="H41" i="15" s="1"/>
  <c r="I41" i="15" s="1"/>
  <c r="H28" i="15"/>
  <c r="I28" i="15" s="1"/>
  <c r="G28" i="15"/>
  <c r="G63" i="15"/>
  <c r="H63" i="15" s="1"/>
  <c r="I63" i="15" s="1"/>
  <c r="G22" i="15"/>
  <c r="H22" i="15" s="1"/>
  <c r="G35" i="15"/>
  <c r="H35" i="15" s="1"/>
  <c r="I35" i="15" s="1"/>
  <c r="G37" i="15"/>
  <c r="H37" i="15"/>
  <c r="I37" i="15" s="1"/>
  <c r="E715" i="34"/>
  <c r="F624" i="34"/>
  <c r="C138" i="8"/>
  <c r="D417" i="24"/>
  <c r="E612" i="24" l="1"/>
  <c r="D715" i="24"/>
  <c r="E623" i="24"/>
  <c r="C168" i="8"/>
  <c r="D421" i="24"/>
  <c r="F701" i="34"/>
  <c r="F685" i="34"/>
  <c r="F669" i="34"/>
  <c r="F627" i="34"/>
  <c r="F698" i="34"/>
  <c r="F682" i="34"/>
  <c r="F711" i="34"/>
  <c r="F695" i="34"/>
  <c r="F679" i="34"/>
  <c r="F708" i="34"/>
  <c r="F692" i="34"/>
  <c r="F676" i="34"/>
  <c r="F705" i="34"/>
  <c r="F689" i="34"/>
  <c r="F673" i="34"/>
  <c r="F716" i="34"/>
  <c r="F699" i="34"/>
  <c r="F683" i="34"/>
  <c r="F643" i="34"/>
  <c r="F641" i="34"/>
  <c r="F639" i="34"/>
  <c r="F637" i="34"/>
  <c r="F635" i="34"/>
  <c r="F633" i="34"/>
  <c r="F631" i="34"/>
  <c r="F709" i="34"/>
  <c r="F693" i="34"/>
  <c r="F677" i="34"/>
  <c r="F706" i="34"/>
  <c r="F690" i="34"/>
  <c r="F674" i="34"/>
  <c r="F700" i="34"/>
  <c r="F684" i="34"/>
  <c r="F668" i="34"/>
  <c r="F628" i="34"/>
  <c r="F713" i="34"/>
  <c r="F697" i="34"/>
  <c r="F681" i="34"/>
  <c r="F704" i="34"/>
  <c r="F688" i="34"/>
  <c r="F672" i="34"/>
  <c r="F702" i="34"/>
  <c r="F647" i="34"/>
  <c r="F694" i="34"/>
  <c r="F675" i="34"/>
  <c r="F671" i="34"/>
  <c r="F638" i="34"/>
  <c r="F686" i="34"/>
  <c r="F678" i="34"/>
  <c r="F642" i="34"/>
  <c r="F670" i="34"/>
  <c r="F646" i="34"/>
  <c r="F632" i="34"/>
  <c r="F626" i="34"/>
  <c r="F645" i="34"/>
  <c r="F712" i="34"/>
  <c r="F636" i="34"/>
  <c r="F625" i="34"/>
  <c r="F696" i="34"/>
  <c r="F640" i="34"/>
  <c r="F680" i="34"/>
  <c r="F644" i="34"/>
  <c r="F710" i="34"/>
  <c r="F691" i="34"/>
  <c r="F687" i="34"/>
  <c r="F634" i="34"/>
  <c r="F629" i="34"/>
  <c r="F707" i="34"/>
  <c r="F703" i="34"/>
  <c r="F630" i="34"/>
  <c r="E647" i="24" l="1"/>
  <c r="E634" i="24"/>
  <c r="E690" i="24"/>
  <c r="E706" i="24"/>
  <c r="E625" i="24"/>
  <c r="E687" i="24"/>
  <c r="E641" i="24"/>
  <c r="E677" i="24"/>
  <c r="E710" i="24"/>
  <c r="E643" i="24"/>
  <c r="E705" i="24"/>
  <c r="E697" i="24"/>
  <c r="E637" i="24"/>
  <c r="E679" i="24"/>
  <c r="E682" i="24"/>
  <c r="E699" i="24"/>
  <c r="E638" i="24"/>
  <c r="E668" i="24"/>
  <c r="E673" i="24"/>
  <c r="E630" i="24"/>
  <c r="E675" i="24"/>
  <c r="E632" i="24"/>
  <c r="E670" i="24"/>
  <c r="E681" i="24"/>
  <c r="E645" i="24"/>
  <c r="E627" i="24"/>
  <c r="E701" i="24"/>
  <c r="E711" i="24"/>
  <c r="E669" i="24"/>
  <c r="E685" i="24"/>
  <c r="E702" i="24"/>
  <c r="E693" i="24"/>
  <c r="E684" i="24"/>
  <c r="E698" i="24"/>
  <c r="E644" i="24"/>
  <c r="E708" i="24"/>
  <c r="E691" i="24"/>
  <c r="E703" i="24"/>
  <c r="E692" i="24"/>
  <c r="E674" i="24"/>
  <c r="E694" i="24"/>
  <c r="E704" i="24"/>
  <c r="E689" i="24"/>
  <c r="E624" i="24"/>
  <c r="F624" i="24" s="1"/>
  <c r="F676" i="24" s="1"/>
  <c r="E695" i="24"/>
  <c r="E709" i="24"/>
  <c r="E716" i="24"/>
  <c r="E628" i="24"/>
  <c r="E640" i="24"/>
  <c r="E629" i="24"/>
  <c r="E678" i="24"/>
  <c r="E631" i="24"/>
  <c r="E633" i="24"/>
  <c r="E707" i="24"/>
  <c r="E635" i="24"/>
  <c r="E672" i="24"/>
  <c r="E671" i="24"/>
  <c r="E639" i="24"/>
  <c r="E683" i="24"/>
  <c r="E688" i="24"/>
  <c r="E696" i="24"/>
  <c r="E686" i="24"/>
  <c r="E712" i="24"/>
  <c r="E642" i="24"/>
  <c r="E626" i="24"/>
  <c r="E713" i="24"/>
  <c r="E676" i="24"/>
  <c r="E700" i="24"/>
  <c r="E636" i="24"/>
  <c r="E646" i="24"/>
  <c r="E680" i="24"/>
  <c r="C172" i="8"/>
  <c r="D424" i="24"/>
  <c r="C177" i="8" s="1"/>
  <c r="F715" i="34"/>
  <c r="G625" i="34"/>
  <c r="F640" i="24" l="1"/>
  <c r="F704" i="24"/>
  <c r="F707" i="24"/>
  <c r="F694" i="24"/>
  <c r="F644" i="24"/>
  <c r="F678" i="24"/>
  <c r="F689" i="24"/>
  <c r="F712" i="24"/>
  <c r="F700" i="24"/>
  <c r="F673" i="24"/>
  <c r="F710" i="24"/>
  <c r="F668" i="24"/>
  <c r="F708" i="24"/>
  <c r="F636" i="24"/>
  <c r="F688" i="24"/>
  <c r="F696" i="24"/>
  <c r="F630" i="24"/>
  <c r="F701" i="24"/>
  <c r="F634" i="24"/>
  <c r="F638" i="24"/>
  <c r="F693" i="24"/>
  <c r="F641" i="24"/>
  <c r="F703" i="24"/>
  <c r="F691" i="24"/>
  <c r="F647" i="24"/>
  <c r="F669" i="24"/>
  <c r="F645" i="24"/>
  <c r="F680" i="24"/>
  <c r="F646" i="24"/>
  <c r="F716" i="24"/>
  <c r="F685" i="24"/>
  <c r="F671" i="24"/>
  <c r="F625" i="24"/>
  <c r="G625" i="24" s="1"/>
  <c r="G709" i="24" s="1"/>
  <c r="F643" i="24"/>
  <c r="F692" i="24"/>
  <c r="F670" i="24"/>
  <c r="F681" i="24"/>
  <c r="F711" i="24"/>
  <c r="F699" i="24"/>
  <c r="F633" i="24"/>
  <c r="F706" i="24"/>
  <c r="F637" i="24"/>
  <c r="F697" i="24"/>
  <c r="F695" i="24"/>
  <c r="F687" i="24"/>
  <c r="F709" i="24"/>
  <c r="F674" i="24"/>
  <c r="F683" i="24"/>
  <c r="F702" i="24"/>
  <c r="F639" i="24"/>
  <c r="F698" i="24"/>
  <c r="F627" i="24"/>
  <c r="F713" i="24"/>
  <c r="F677" i="24"/>
  <c r="F690" i="24"/>
  <c r="F679" i="24"/>
  <c r="F705" i="24"/>
  <c r="F675" i="24"/>
  <c r="F684" i="24"/>
  <c r="F628" i="24"/>
  <c r="F631" i="24"/>
  <c r="F642" i="24"/>
  <c r="F635" i="24"/>
  <c r="F686" i="24"/>
  <c r="F632" i="24"/>
  <c r="F629" i="24"/>
  <c r="F682" i="24"/>
  <c r="F626" i="24"/>
  <c r="F672" i="24"/>
  <c r="E715" i="24"/>
  <c r="G698" i="34"/>
  <c r="G682" i="34"/>
  <c r="G711" i="34"/>
  <c r="G695" i="34"/>
  <c r="G679" i="34"/>
  <c r="G708" i="34"/>
  <c r="G692" i="34"/>
  <c r="G676" i="34"/>
  <c r="G705" i="34"/>
  <c r="G689" i="34"/>
  <c r="G673" i="34"/>
  <c r="G702" i="34"/>
  <c r="G686" i="34"/>
  <c r="G670" i="34"/>
  <c r="G647" i="34"/>
  <c r="G645" i="34"/>
  <c r="G629" i="34"/>
  <c r="G626" i="34"/>
  <c r="G712" i="34"/>
  <c r="G696" i="34"/>
  <c r="G680" i="34"/>
  <c r="G706" i="34"/>
  <c r="G690" i="34"/>
  <c r="G674" i="34"/>
  <c r="G703" i="34"/>
  <c r="G687" i="34"/>
  <c r="G671" i="34"/>
  <c r="G713" i="34"/>
  <c r="G697" i="34"/>
  <c r="G681" i="34"/>
  <c r="G710" i="34"/>
  <c r="G694" i="34"/>
  <c r="G678" i="34"/>
  <c r="G646" i="34"/>
  <c r="G701" i="34"/>
  <c r="G685" i="34"/>
  <c r="G669" i="34"/>
  <c r="G627" i="34"/>
  <c r="G675" i="34"/>
  <c r="G638" i="34"/>
  <c r="G633" i="34"/>
  <c r="G642" i="34"/>
  <c r="G628" i="34"/>
  <c r="H628" i="34" s="1"/>
  <c r="G709" i="34"/>
  <c r="G637" i="34"/>
  <c r="G693" i="34"/>
  <c r="G641" i="34"/>
  <c r="G632" i="34"/>
  <c r="G677" i="34"/>
  <c r="G636" i="34"/>
  <c r="G631" i="34"/>
  <c r="G704" i="34"/>
  <c r="G700" i="34"/>
  <c r="G640" i="34"/>
  <c r="G635" i="34"/>
  <c r="G707" i="34"/>
  <c r="G699" i="34"/>
  <c r="G639" i="34"/>
  <c r="G630" i="34"/>
  <c r="G691" i="34"/>
  <c r="G683" i="34"/>
  <c r="G643" i="34"/>
  <c r="G634" i="34"/>
  <c r="G684" i="34"/>
  <c r="G672" i="34"/>
  <c r="G716" i="34"/>
  <c r="G668" i="34"/>
  <c r="G688" i="34"/>
  <c r="G644" i="34"/>
  <c r="G695" i="24" l="1"/>
  <c r="G638" i="24"/>
  <c r="G675" i="24"/>
  <c r="G689" i="24"/>
  <c r="G626" i="24"/>
  <c r="G694" i="24"/>
  <c r="G635" i="24"/>
  <c r="G680" i="24"/>
  <c r="G646" i="24"/>
  <c r="G641" i="24"/>
  <c r="G704" i="24"/>
  <c r="G687" i="24"/>
  <c r="G679" i="24"/>
  <c r="G672" i="24"/>
  <c r="G674" i="24"/>
  <c r="G627" i="24"/>
  <c r="H628" i="24" s="1"/>
  <c r="G629" i="24"/>
  <c r="G684" i="24"/>
  <c r="G639" i="24"/>
  <c r="G673" i="24"/>
  <c r="G628" i="24"/>
  <c r="G631" i="24"/>
  <c r="G669" i="24"/>
  <c r="G647" i="24"/>
  <c r="G645" i="24"/>
  <c r="G698" i="24"/>
  <c r="G686" i="24"/>
  <c r="F715" i="24"/>
  <c r="G690" i="24"/>
  <c r="G708" i="24"/>
  <c r="G637" i="24"/>
  <c r="G701" i="24"/>
  <c r="G693" i="24"/>
  <c r="G682" i="24"/>
  <c r="G691" i="24"/>
  <c r="G633" i="24"/>
  <c r="G716" i="24"/>
  <c r="G699" i="24"/>
  <c r="G640" i="24"/>
  <c r="G702" i="24"/>
  <c r="G711" i="24"/>
  <c r="G678" i="24"/>
  <c r="G644" i="24"/>
  <c r="G677" i="24"/>
  <c r="G705" i="24"/>
  <c r="G712" i="24"/>
  <c r="G670" i="24"/>
  <c r="G642" i="24"/>
  <c r="G683" i="24"/>
  <c r="G706" i="24"/>
  <c r="G713" i="24"/>
  <c r="G671" i="24"/>
  <c r="G700" i="24"/>
  <c r="G634" i="24"/>
  <c r="G632" i="24"/>
  <c r="G643" i="24"/>
  <c r="G692" i="24"/>
  <c r="G688" i="24"/>
  <c r="G707" i="24"/>
  <c r="G636" i="24"/>
  <c r="G676" i="24"/>
  <c r="G681" i="24"/>
  <c r="G697" i="24"/>
  <c r="G630" i="24"/>
  <c r="G703" i="24"/>
  <c r="G710" i="24"/>
  <c r="G696" i="24"/>
  <c r="G685" i="24"/>
  <c r="G668" i="24"/>
  <c r="H711" i="34"/>
  <c r="H695" i="34"/>
  <c r="H679" i="34"/>
  <c r="H708" i="34"/>
  <c r="H692" i="34"/>
  <c r="H676" i="34"/>
  <c r="H705" i="34"/>
  <c r="H689" i="34"/>
  <c r="H673" i="34"/>
  <c r="H702" i="34"/>
  <c r="H686" i="34"/>
  <c r="H670" i="34"/>
  <c r="H647" i="34"/>
  <c r="H645" i="34"/>
  <c r="H629" i="34"/>
  <c r="H716" i="34"/>
  <c r="H699" i="34"/>
  <c r="H683" i="34"/>
  <c r="H643" i="34"/>
  <c r="H641" i="34"/>
  <c r="H639" i="34"/>
  <c r="H637" i="34"/>
  <c r="H635" i="34"/>
  <c r="H633" i="34"/>
  <c r="H631" i="34"/>
  <c r="H709" i="34"/>
  <c r="H693" i="34"/>
  <c r="H677" i="34"/>
  <c r="H703" i="34"/>
  <c r="H687" i="34"/>
  <c r="H671" i="34"/>
  <c r="H700" i="34"/>
  <c r="H684" i="34"/>
  <c r="H668" i="34"/>
  <c r="H710" i="34"/>
  <c r="H694" i="34"/>
  <c r="H678" i="34"/>
  <c r="H646" i="34"/>
  <c r="H707" i="34"/>
  <c r="H691" i="34"/>
  <c r="H675" i="34"/>
  <c r="H644" i="34"/>
  <c r="H642" i="34"/>
  <c r="H640" i="34"/>
  <c r="H638" i="34"/>
  <c r="H636" i="34"/>
  <c r="H634" i="34"/>
  <c r="H632" i="34"/>
  <c r="H630" i="34"/>
  <c r="H698" i="34"/>
  <c r="H682" i="34"/>
  <c r="H706" i="34"/>
  <c r="H690" i="34"/>
  <c r="H713" i="34"/>
  <c r="H674" i="34"/>
  <c r="H701" i="34"/>
  <c r="H697" i="34"/>
  <c r="H712" i="34"/>
  <c r="H685" i="34"/>
  <c r="H681" i="34"/>
  <c r="H704" i="34"/>
  <c r="H696" i="34"/>
  <c r="H669" i="34"/>
  <c r="H688" i="34"/>
  <c r="H672" i="34"/>
  <c r="H680" i="34"/>
  <c r="G715" i="34"/>
  <c r="H670" i="24" l="1"/>
  <c r="H678" i="24"/>
  <c r="H637" i="24"/>
  <c r="H677" i="24"/>
  <c r="H643" i="24"/>
  <c r="H694" i="24"/>
  <c r="H702" i="24"/>
  <c r="H690" i="24"/>
  <c r="H642" i="24"/>
  <c r="H681" i="24"/>
  <c r="H647" i="24"/>
  <c r="H634" i="24"/>
  <c r="H674" i="24"/>
  <c r="H703" i="24"/>
  <c r="H669" i="24"/>
  <c r="H685" i="24"/>
  <c r="H672" i="24"/>
  <c r="G715" i="24"/>
  <c r="H688" i="24"/>
  <c r="H710" i="24"/>
  <c r="H644" i="24"/>
  <c r="H640" i="24"/>
  <c r="H668" i="24"/>
  <c r="H709" i="24"/>
  <c r="H632" i="24"/>
  <c r="H683" i="24"/>
  <c r="H708" i="24"/>
  <c r="H687" i="24"/>
  <c r="H629" i="24"/>
  <c r="I629" i="24" s="1"/>
  <c r="I697" i="24" s="1"/>
  <c r="H679" i="24"/>
  <c r="H704" i="24"/>
  <c r="H630" i="24"/>
  <c r="H716" i="24"/>
  <c r="H700" i="24"/>
  <c r="H701" i="24"/>
  <c r="H682" i="24"/>
  <c r="H676" i="24"/>
  <c r="H671" i="24"/>
  <c r="H641" i="24"/>
  <c r="H636" i="24"/>
  <c r="H638" i="24"/>
  <c r="H675" i="24"/>
  <c r="H692" i="24"/>
  <c r="H691" i="24"/>
  <c r="H697" i="24"/>
  <c r="H705" i="24"/>
  <c r="H673" i="24"/>
  <c r="H684" i="24"/>
  <c r="H686" i="24"/>
  <c r="H712" i="24"/>
  <c r="H646" i="24"/>
  <c r="H639" i="24"/>
  <c r="H680" i="24"/>
  <c r="H635" i="24"/>
  <c r="H713" i="24"/>
  <c r="H707" i="24"/>
  <c r="H633" i="24"/>
  <c r="H689" i="24"/>
  <c r="H706" i="24"/>
  <c r="H695" i="24"/>
  <c r="H696" i="24"/>
  <c r="H698" i="24"/>
  <c r="H693" i="24"/>
  <c r="H711" i="24"/>
  <c r="H631" i="24"/>
  <c r="H645" i="24"/>
  <c r="H699" i="24"/>
  <c r="H715" i="34"/>
  <c r="I629" i="34"/>
  <c r="H715" i="24" l="1"/>
  <c r="I644" i="24"/>
  <c r="I688" i="24"/>
  <c r="I687" i="24"/>
  <c r="I704" i="24"/>
  <c r="I668" i="24"/>
  <c r="I686" i="24"/>
  <c r="I699" i="24"/>
  <c r="I701" i="24"/>
  <c r="I705" i="24"/>
  <c r="I689" i="24"/>
  <c r="I691" i="24"/>
  <c r="I709" i="24"/>
  <c r="I711" i="24"/>
  <c r="I710" i="24"/>
  <c r="I684" i="24"/>
  <c r="I633" i="24"/>
  <c r="I638" i="24"/>
  <c r="I703" i="24"/>
  <c r="I637" i="24"/>
  <c r="I676" i="24"/>
  <c r="I640" i="24"/>
  <c r="I639" i="24"/>
  <c r="I700" i="24"/>
  <c r="I693" i="24"/>
  <c r="I692" i="24"/>
  <c r="I642" i="24"/>
  <c r="I632" i="24"/>
  <c r="I641" i="24"/>
  <c r="I630" i="24"/>
  <c r="J630" i="24" s="1"/>
  <c r="I634" i="24"/>
  <c r="I677" i="24"/>
  <c r="I713" i="24"/>
  <c r="I707" i="24"/>
  <c r="I698" i="24"/>
  <c r="I643" i="24"/>
  <c r="I672" i="24"/>
  <c r="I675" i="24"/>
  <c r="I708" i="24"/>
  <c r="I631" i="24"/>
  <c r="I685" i="24"/>
  <c r="I696" i="24"/>
  <c r="I674" i="24"/>
  <c r="I647" i="24"/>
  <c r="I635" i="24"/>
  <c r="I670" i="24"/>
  <c r="I636" i="24"/>
  <c r="I645" i="24"/>
  <c r="I669" i="24"/>
  <c r="I682" i="24"/>
  <c r="I646" i="24"/>
  <c r="I680" i="24"/>
  <c r="I681" i="24"/>
  <c r="I716" i="24"/>
  <c r="I671" i="24"/>
  <c r="I683" i="24"/>
  <c r="I712" i="24"/>
  <c r="I679" i="24"/>
  <c r="I706" i="24"/>
  <c r="I694" i="24"/>
  <c r="I678" i="24"/>
  <c r="I695" i="24"/>
  <c r="I673" i="24"/>
  <c r="I702" i="24"/>
  <c r="I690" i="24"/>
  <c r="I708" i="34"/>
  <c r="I692" i="34"/>
  <c r="I676" i="34"/>
  <c r="I705" i="34"/>
  <c r="I689" i="34"/>
  <c r="I673" i="34"/>
  <c r="I702" i="34"/>
  <c r="I686" i="34"/>
  <c r="I670" i="34"/>
  <c r="I647" i="34"/>
  <c r="I645" i="34"/>
  <c r="I716" i="34"/>
  <c r="I699" i="34"/>
  <c r="I683" i="34"/>
  <c r="I643" i="34"/>
  <c r="I641" i="34"/>
  <c r="I639" i="34"/>
  <c r="I637" i="34"/>
  <c r="I635" i="34"/>
  <c r="I633" i="34"/>
  <c r="I631" i="34"/>
  <c r="I712" i="34"/>
  <c r="I696" i="34"/>
  <c r="I680" i="34"/>
  <c r="I706" i="34"/>
  <c r="I690" i="34"/>
  <c r="I674" i="34"/>
  <c r="I700" i="34"/>
  <c r="I684" i="34"/>
  <c r="I668" i="34"/>
  <c r="I713" i="34"/>
  <c r="I697" i="34"/>
  <c r="I681" i="34"/>
  <c r="I707" i="34"/>
  <c r="I691" i="34"/>
  <c r="I675" i="34"/>
  <c r="I644" i="34"/>
  <c r="I642" i="34"/>
  <c r="I640" i="34"/>
  <c r="I638" i="34"/>
  <c r="I636" i="34"/>
  <c r="I634" i="34"/>
  <c r="I632" i="34"/>
  <c r="I630" i="34"/>
  <c r="I704" i="34"/>
  <c r="I688" i="34"/>
  <c r="I672" i="34"/>
  <c r="I711" i="34"/>
  <c r="I695" i="34"/>
  <c r="I679" i="34"/>
  <c r="I694" i="34"/>
  <c r="I671" i="34"/>
  <c r="I698" i="34"/>
  <c r="I709" i="34"/>
  <c r="I678" i="34"/>
  <c r="I682" i="34"/>
  <c r="I646" i="34"/>
  <c r="I701" i="34"/>
  <c r="I693" i="34"/>
  <c r="I685" i="34"/>
  <c r="I677" i="34"/>
  <c r="I669" i="34"/>
  <c r="I703" i="34"/>
  <c r="I710" i="34"/>
  <c r="I687" i="34"/>
  <c r="I715" i="24" l="1"/>
  <c r="J641" i="24"/>
  <c r="J703" i="24"/>
  <c r="J636" i="24"/>
  <c r="J671" i="24"/>
  <c r="J711" i="24"/>
  <c r="J692" i="24"/>
  <c r="J686" i="24"/>
  <c r="J700" i="24"/>
  <c r="J701" i="24"/>
  <c r="J639" i="24"/>
  <c r="J693" i="24"/>
  <c r="J634" i="24"/>
  <c r="J707" i="24"/>
  <c r="J678" i="24"/>
  <c r="J682" i="24"/>
  <c r="J687" i="24"/>
  <c r="J713" i="24"/>
  <c r="J637" i="24"/>
  <c r="J684" i="24"/>
  <c r="J632" i="24"/>
  <c r="J668" i="24"/>
  <c r="J679" i="24"/>
  <c r="J694" i="24"/>
  <c r="J675" i="24"/>
  <c r="J642" i="24"/>
  <c r="J638" i="24"/>
  <c r="J697" i="24"/>
  <c r="J635" i="24"/>
  <c r="J688" i="24"/>
  <c r="J702" i="24"/>
  <c r="J710" i="24"/>
  <c r="J685" i="24"/>
  <c r="J712" i="24"/>
  <c r="J633" i="24"/>
  <c r="J681" i="24"/>
  <c r="J672" i="24"/>
  <c r="J631" i="24"/>
  <c r="J696" i="24"/>
  <c r="J691" i="24"/>
  <c r="J704" i="24"/>
  <c r="J716" i="24"/>
  <c r="J646" i="24"/>
  <c r="J699" i="24"/>
  <c r="J689" i="24"/>
  <c r="J705" i="24"/>
  <c r="J706" i="24"/>
  <c r="J676" i="24"/>
  <c r="J673" i="24"/>
  <c r="J695" i="24"/>
  <c r="J670" i="24"/>
  <c r="J680" i="24"/>
  <c r="J669" i="24"/>
  <c r="J708" i="24"/>
  <c r="J647" i="24"/>
  <c r="J677" i="24"/>
  <c r="J644" i="24"/>
  <c r="J674" i="24"/>
  <c r="J645" i="24"/>
  <c r="J709" i="24"/>
  <c r="J683" i="24"/>
  <c r="J698" i="24"/>
  <c r="J640" i="24"/>
  <c r="J690" i="24"/>
  <c r="J643" i="24"/>
  <c r="I715" i="34"/>
  <c r="J630" i="34"/>
  <c r="L647" i="24" l="1"/>
  <c r="K644" i="24"/>
  <c r="J715" i="24"/>
  <c r="J705" i="34"/>
  <c r="J689" i="34"/>
  <c r="J673" i="34"/>
  <c r="J702" i="34"/>
  <c r="J686" i="34"/>
  <c r="J670" i="34"/>
  <c r="J647" i="34"/>
  <c r="L647" i="34" s="1"/>
  <c r="J645" i="34"/>
  <c r="J716" i="34"/>
  <c r="J699" i="34"/>
  <c r="J683" i="34"/>
  <c r="J643" i="34"/>
  <c r="J641" i="34"/>
  <c r="J639" i="34"/>
  <c r="J637" i="34"/>
  <c r="J635" i="34"/>
  <c r="J633" i="34"/>
  <c r="J631" i="34"/>
  <c r="J712" i="34"/>
  <c r="J696" i="34"/>
  <c r="J680" i="34"/>
  <c r="J709" i="34"/>
  <c r="J693" i="34"/>
  <c r="J677" i="34"/>
  <c r="J703" i="34"/>
  <c r="J687" i="34"/>
  <c r="J671" i="34"/>
  <c r="J713" i="34"/>
  <c r="J697" i="34"/>
  <c r="J681" i="34"/>
  <c r="J710" i="34"/>
  <c r="J694" i="34"/>
  <c r="J678" i="34"/>
  <c r="J646" i="34"/>
  <c r="J704" i="34"/>
  <c r="J688" i="34"/>
  <c r="J672" i="34"/>
  <c r="J701" i="34"/>
  <c r="J685" i="34"/>
  <c r="J669" i="34"/>
  <c r="J708" i="34"/>
  <c r="J692" i="34"/>
  <c r="J676" i="34"/>
  <c r="J698" i="34"/>
  <c r="J690" i="34"/>
  <c r="J642" i="34"/>
  <c r="J682" i="34"/>
  <c r="J674" i="34"/>
  <c r="J632" i="34"/>
  <c r="J636" i="34"/>
  <c r="J700" i="34"/>
  <c r="J640" i="34"/>
  <c r="J684" i="34"/>
  <c r="J644" i="34"/>
  <c r="K644" i="34" s="1"/>
  <c r="J668" i="34"/>
  <c r="J706" i="34"/>
  <c r="J679" i="34"/>
  <c r="J675" i="34"/>
  <c r="J638" i="34"/>
  <c r="J707" i="34"/>
  <c r="J695" i="34"/>
  <c r="J691" i="34"/>
  <c r="J634" i="34"/>
  <c r="J711" i="34"/>
  <c r="K698" i="24" l="1"/>
  <c r="K703" i="24"/>
  <c r="K676" i="24"/>
  <c r="K678" i="24"/>
  <c r="K704" i="24"/>
  <c r="K710" i="24"/>
  <c r="K693" i="24"/>
  <c r="K707" i="24"/>
  <c r="K668" i="24"/>
  <c r="K694" i="24"/>
  <c r="K684" i="24"/>
  <c r="K687" i="24"/>
  <c r="K701" i="24"/>
  <c r="K690" i="24"/>
  <c r="K697" i="24"/>
  <c r="K681" i="24"/>
  <c r="K712" i="24"/>
  <c r="K692" i="24"/>
  <c r="K689" i="24"/>
  <c r="K686" i="24"/>
  <c r="K711" i="24"/>
  <c r="K699" i="24"/>
  <c r="K670" i="24"/>
  <c r="K702" i="24"/>
  <c r="K685" i="24"/>
  <c r="K713" i="24"/>
  <c r="K700" i="24"/>
  <c r="K683" i="24"/>
  <c r="K706" i="24"/>
  <c r="K716" i="24"/>
  <c r="K671" i="24"/>
  <c r="K709" i="24"/>
  <c r="K705" i="24"/>
  <c r="K696" i="24"/>
  <c r="K679" i="24"/>
  <c r="K695" i="24"/>
  <c r="K691" i="24"/>
  <c r="K673" i="24"/>
  <c r="K680" i="24"/>
  <c r="K675" i="24"/>
  <c r="K688" i="24"/>
  <c r="K677" i="24"/>
  <c r="K672" i="24"/>
  <c r="K708" i="24"/>
  <c r="K674" i="24"/>
  <c r="K669" i="24"/>
  <c r="K682" i="24"/>
  <c r="L716" i="24"/>
  <c r="L675" i="24"/>
  <c r="L670" i="24"/>
  <c r="L677" i="24"/>
  <c r="L705" i="24"/>
  <c r="L688" i="24"/>
  <c r="L713" i="24"/>
  <c r="L709" i="24"/>
  <c r="L693" i="24"/>
  <c r="L680" i="24"/>
  <c r="M680" i="24" s="1"/>
  <c r="H55" i="32" s="1"/>
  <c r="L672" i="24"/>
  <c r="L686" i="24"/>
  <c r="M686" i="24" s="1"/>
  <c r="G87" i="32" s="1"/>
  <c r="L699" i="24"/>
  <c r="M699" i="24" s="1"/>
  <c r="F151" i="32" s="1"/>
  <c r="L673" i="24"/>
  <c r="M673" i="24" s="1"/>
  <c r="H23" i="32" s="1"/>
  <c r="L710" i="24"/>
  <c r="M710" i="24" s="1"/>
  <c r="C215" i="32" s="1"/>
  <c r="L685" i="24"/>
  <c r="M685" i="24" s="1"/>
  <c r="F87" i="32" s="1"/>
  <c r="L679" i="24"/>
  <c r="M679" i="24" s="1"/>
  <c r="L668" i="24"/>
  <c r="L700" i="24"/>
  <c r="L669" i="24"/>
  <c r="L698" i="24"/>
  <c r="L696" i="24"/>
  <c r="M696" i="24" s="1"/>
  <c r="C151" i="32" s="1"/>
  <c r="L690" i="24"/>
  <c r="L704" i="24"/>
  <c r="M704" i="24" s="1"/>
  <c r="D183" i="32" s="1"/>
  <c r="L697" i="24"/>
  <c r="L674" i="24"/>
  <c r="L703" i="24"/>
  <c r="M703" i="24" s="1"/>
  <c r="C183" i="32" s="1"/>
  <c r="L707" i="24"/>
  <c r="L708" i="24"/>
  <c r="L682" i="24"/>
  <c r="L684" i="24"/>
  <c r="L687" i="24"/>
  <c r="L712" i="24"/>
  <c r="L694" i="24"/>
  <c r="L671" i="24"/>
  <c r="L702" i="24"/>
  <c r="L711" i="24"/>
  <c r="L681" i="24"/>
  <c r="L692" i="24"/>
  <c r="M692" i="24" s="1"/>
  <c r="L695" i="24"/>
  <c r="M695" i="24" s="1"/>
  <c r="I119" i="32" s="1"/>
  <c r="L678" i="24"/>
  <c r="M678" i="24" s="1"/>
  <c r="L689" i="24"/>
  <c r="M689" i="24" s="1"/>
  <c r="C119" i="32" s="1"/>
  <c r="L706" i="24"/>
  <c r="L683" i="24"/>
  <c r="L691" i="24"/>
  <c r="M691" i="24" s="1"/>
  <c r="L701" i="24"/>
  <c r="L676" i="24"/>
  <c r="M676" i="24" s="1"/>
  <c r="D55" i="32" s="1"/>
  <c r="L716" i="34"/>
  <c r="L699" i="34"/>
  <c r="M699" i="34" s="1"/>
  <c r="L683" i="34"/>
  <c r="M683" i="34" s="1"/>
  <c r="L712" i="34"/>
  <c r="M712" i="34" s="1"/>
  <c r="L696" i="34"/>
  <c r="M696" i="34" s="1"/>
  <c r="L680" i="34"/>
  <c r="M680" i="34" s="1"/>
  <c r="L709" i="34"/>
  <c r="M709" i="34" s="1"/>
  <c r="L693" i="34"/>
  <c r="M693" i="34" s="1"/>
  <c r="L677" i="34"/>
  <c r="M677" i="34" s="1"/>
  <c r="L706" i="34"/>
  <c r="M706" i="34" s="1"/>
  <c r="L690" i="34"/>
  <c r="M690" i="34" s="1"/>
  <c r="L674" i="34"/>
  <c r="M674" i="34" s="1"/>
  <c r="L703" i="34"/>
  <c r="M703" i="34" s="1"/>
  <c r="L687" i="34"/>
  <c r="M687" i="34" s="1"/>
  <c r="L671" i="34"/>
  <c r="M671" i="34" s="1"/>
  <c r="L713" i="34"/>
  <c r="M713" i="34" s="1"/>
  <c r="L697" i="34"/>
  <c r="M697" i="34" s="1"/>
  <c r="L681" i="34"/>
  <c r="M681" i="34" s="1"/>
  <c r="L707" i="34"/>
  <c r="M707" i="34" s="1"/>
  <c r="L691" i="34"/>
  <c r="M691" i="34" s="1"/>
  <c r="L675" i="34"/>
  <c r="M675" i="34" s="1"/>
  <c r="L704" i="34"/>
  <c r="M704" i="34" s="1"/>
  <c r="L688" i="34"/>
  <c r="M688" i="34" s="1"/>
  <c r="L672" i="34"/>
  <c r="M672" i="34" s="1"/>
  <c r="L698" i="34"/>
  <c r="M698" i="34" s="1"/>
  <c r="L682" i="34"/>
  <c r="M682" i="34" s="1"/>
  <c r="L711" i="34"/>
  <c r="M711" i="34" s="1"/>
  <c r="L695" i="34"/>
  <c r="M695" i="34" s="1"/>
  <c r="L679" i="34"/>
  <c r="M679" i="34" s="1"/>
  <c r="L702" i="34"/>
  <c r="M702" i="34" s="1"/>
  <c r="L686" i="34"/>
  <c r="M686" i="34" s="1"/>
  <c r="L670" i="34"/>
  <c r="M670" i="34" s="1"/>
  <c r="L678" i="34"/>
  <c r="M678" i="34" s="1"/>
  <c r="L701" i="34"/>
  <c r="M701" i="34" s="1"/>
  <c r="L705" i="34"/>
  <c r="M705" i="34" s="1"/>
  <c r="L685" i="34"/>
  <c r="M685" i="34" s="1"/>
  <c r="L708" i="34"/>
  <c r="M708" i="34" s="1"/>
  <c r="L689" i="34"/>
  <c r="M689" i="34" s="1"/>
  <c r="L700" i="34"/>
  <c r="M700" i="34" s="1"/>
  <c r="L669" i="34"/>
  <c r="M669" i="34" s="1"/>
  <c r="L692" i="34"/>
  <c r="M692" i="34" s="1"/>
  <c r="L673" i="34"/>
  <c r="M673" i="34" s="1"/>
  <c r="L684" i="34"/>
  <c r="M684" i="34" s="1"/>
  <c r="L676" i="34"/>
  <c r="M676" i="34" s="1"/>
  <c r="L694" i="34"/>
  <c r="M694" i="34" s="1"/>
  <c r="L668" i="34"/>
  <c r="L710" i="34"/>
  <c r="M710" i="34" s="1"/>
  <c r="K702" i="34"/>
  <c r="K686" i="34"/>
  <c r="K670" i="34"/>
  <c r="K716" i="34"/>
  <c r="K699" i="34"/>
  <c r="K683" i="34"/>
  <c r="K712" i="34"/>
  <c r="K696" i="34"/>
  <c r="K680" i="34"/>
  <c r="K709" i="34"/>
  <c r="K693" i="34"/>
  <c r="K677" i="34"/>
  <c r="K706" i="34"/>
  <c r="K690" i="34"/>
  <c r="K674" i="34"/>
  <c r="K700" i="34"/>
  <c r="K684" i="34"/>
  <c r="K668" i="34"/>
  <c r="K715" i="34" s="1"/>
  <c r="K710" i="34"/>
  <c r="K694" i="34"/>
  <c r="K678" i="34"/>
  <c r="K707" i="34"/>
  <c r="K691" i="34"/>
  <c r="K675" i="34"/>
  <c r="K701" i="34"/>
  <c r="K685" i="34"/>
  <c r="K669" i="34"/>
  <c r="K698" i="34"/>
  <c r="K682" i="34"/>
  <c r="K705" i="34"/>
  <c r="K689" i="34"/>
  <c r="K673" i="34"/>
  <c r="K713" i="34"/>
  <c r="K697" i="34"/>
  <c r="K681" i="34"/>
  <c r="K708" i="34"/>
  <c r="K704" i="34"/>
  <c r="K692" i="34"/>
  <c r="K688" i="34"/>
  <c r="K711" i="34"/>
  <c r="K695" i="34"/>
  <c r="K679" i="34"/>
  <c r="K671" i="34"/>
  <c r="K703" i="34"/>
  <c r="K676" i="34"/>
  <c r="K687" i="34"/>
  <c r="K672" i="34"/>
  <c r="J715" i="34"/>
  <c r="M693" i="24" l="1"/>
  <c r="M707" i="24"/>
  <c r="G183" i="32" s="1"/>
  <c r="M712" i="24"/>
  <c r="E215" i="32" s="1"/>
  <c r="M705" i="24"/>
  <c r="E183" i="32" s="1"/>
  <c r="M698" i="24"/>
  <c r="E151" i="32" s="1"/>
  <c r="M684" i="24"/>
  <c r="E87" i="32" s="1"/>
  <c r="M687" i="24"/>
  <c r="H87" i="32" s="1"/>
  <c r="M711" i="24"/>
  <c r="D215" i="32" s="1"/>
  <c r="M701" i="24"/>
  <c r="H151" i="32" s="1"/>
  <c r="M708" i="24"/>
  <c r="H183" i="32" s="1"/>
  <c r="M682" i="24"/>
  <c r="C87" i="32" s="1"/>
  <c r="M683" i="24"/>
  <c r="D87" i="32" s="1"/>
  <c r="M672" i="24"/>
  <c r="G23" i="32" s="1"/>
  <c r="K715" i="24"/>
  <c r="E119" i="32"/>
  <c r="E55" i="32"/>
  <c r="M706" i="24"/>
  <c r="F183" i="32" s="1"/>
  <c r="M697" i="24"/>
  <c r="D151" i="32" s="1"/>
  <c r="G55" i="32"/>
  <c r="G119" i="32"/>
  <c r="M709" i="24"/>
  <c r="I183" i="32" s="1"/>
  <c r="M688" i="24"/>
  <c r="I87" i="32" s="1"/>
  <c r="F119" i="32"/>
  <c r="F55" i="32"/>
  <c r="M674" i="24"/>
  <c r="I23" i="32" s="1"/>
  <c r="M690" i="24"/>
  <c r="D119" i="32" s="1"/>
  <c r="M713" i="24"/>
  <c r="F215" i="32" s="1"/>
  <c r="M681" i="24"/>
  <c r="I55" i="32" s="1"/>
  <c r="M702" i="24"/>
  <c r="I151" i="32" s="1"/>
  <c r="M669" i="24"/>
  <c r="D23" i="32" s="1"/>
  <c r="M677" i="24"/>
  <c r="M671" i="24"/>
  <c r="F23" i="32" s="1"/>
  <c r="M700" i="24"/>
  <c r="G151" i="32" s="1"/>
  <c r="M670" i="24"/>
  <c r="E23" i="32" s="1"/>
  <c r="M694" i="24"/>
  <c r="H119" i="32" s="1"/>
  <c r="L715" i="24"/>
  <c r="M668" i="24"/>
  <c r="M675" i="24"/>
  <c r="C55" i="32" s="1"/>
  <c r="L715" i="34"/>
  <c r="M668" i="34"/>
  <c r="M715" i="34" s="1"/>
  <c r="C23" i="32" l="1"/>
  <c r="M715" i="24"/>
</calcChain>
</file>

<file path=xl/sharedStrings.xml><?xml version="1.0" encoding="utf-8"?>
<sst xmlns="http://schemas.openxmlformats.org/spreadsheetml/2006/main" count="4854" uniqueCount="1395">
  <si>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</si>
  <si>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</si>
  <si>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</si>
  <si>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</si>
  <si>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</si>
  <si>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</si>
  <si>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</si>
  <si>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</si>
  <si>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</si>
  <si>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</si>
  <si>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</si>
  <si>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</si>
  <si>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</si>
  <si>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</si>
  <si>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</si>
  <si>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</si>
  <si>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</si>
  <si>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</si>
  <si>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</si>
  <si>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</si>
  <si>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</si>
  <si>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</si>
  <si>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</si>
  <si>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</si>
  <si>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</si>
  <si>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</si>
  <si>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</si>
  <si>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</si>
  <si>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</si>
  <si>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</si>
  <si>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</si>
  <si>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</si>
  <si>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</si>
  <si>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</si>
  <si>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</si>
  <si>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</si>
  <si>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</si>
  <si>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</si>
  <si>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</si>
  <si>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</si>
  <si>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</si>
  <si>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</si>
  <si>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</si>
  <si>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</si>
  <si>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</si>
  <si>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</si>
  <si>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</si>
  <si>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</si>
  <si>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</si>
  <si>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</si>
  <si>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</si>
  <si>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</si>
  <si>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</si>
  <si>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</si>
  <si>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</si>
  <si>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</si>
  <si>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</si>
  <si>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</si>
  <si>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</si>
  <si>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</si>
  <si>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</si>
  <si>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</si>
  <si>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</si>
  <si>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</si>
  <si>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</si>
  <si>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</si>
  <si>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</si>
  <si>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</si>
  <si>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</si>
  <si>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</si>
  <si>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</si>
  <si>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</si>
  <si>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</si>
  <si>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</si>
  <si>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</si>
  <si>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</si>
  <si>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</si>
  <si>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</si>
  <si>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</si>
  <si>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</si>
  <si>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</si>
  <si>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</si>
  <si>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</si>
  <si>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</si>
  <si>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</si>
  <si>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</si>
  <si>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</si>
  <si>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</si>
  <si>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</si>
  <si>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</si>
  <si>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</si>
  <si>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</si>
  <si>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</si>
  <si>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</si>
  <si>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</si>
  <si>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</si>
  <si>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</si>
  <si>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</si>
  <si>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</si>
  <si>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</si>
  <si>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</si>
  <si>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</si>
  <si>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</si>
  <si>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</si>
  <si>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</si>
  <si>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</si>
  <si>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</si>
  <si>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</si>
  <si>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</si>
  <si>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</si>
  <si>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</si>
  <si>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</si>
  <si>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</si>
  <si>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</si>
  <si>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</si>
  <si>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</si>
  <si>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</si>
  <si>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</si>
  <si>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</si>
  <si>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</si>
  <si>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</si>
  <si>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</si>
  <si>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</si>
  <si>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</si>
  <si>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</si>
  <si>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</si>
  <si>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</si>
  <si>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</si>
  <si>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</si>
  <si>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</si>
  <si>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</si>
  <si>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</si>
  <si>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</si>
  <si>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</si>
  <si>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</si>
  <si>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</si>
  <si>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</si>
  <si>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</si>
  <si>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</si>
  <si>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</si>
  <si>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</si>
  <si>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</si>
  <si>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</si>
  <si>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</si>
  <si>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</si>
  <si>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</si>
  <si>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</si>
  <si>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</si>
  <si>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</si>
  <si>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</si>
  <si>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</si>
  <si>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</si>
  <si>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</si>
  <si>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</si>
  <si>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</si>
  <si>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</si>
  <si>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</si>
  <si>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</si>
  <si>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</si>
  <si>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</si>
  <si>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</si>
  <si>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</si>
  <si>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</si>
  <si>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</si>
  <si>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</si>
  <si>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</si>
  <si>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</si>
  <si>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</si>
  <si>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</si>
  <si>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</si>
  <si>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</si>
  <si>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</si>
  <si>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</si>
  <si>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</si>
  <si>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</si>
  <si>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</si>
  <si>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</si>
  <si>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</si>
  <si>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</si>
  <si>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</si>
  <si>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</si>
  <si>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</si>
  <si>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</si>
  <si>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</si>
  <si>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</si>
  <si>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</si>
  <si>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</si>
  <si>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</si>
  <si>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</si>
  <si>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</si>
  <si>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</si>
  <si>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</si>
  <si>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</si>
  <si>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</si>
  <si>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</si>
  <si>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</si>
  <si>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</si>
  <si>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</si>
  <si>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</si>
  <si>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</si>
  <si>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</si>
  <si>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</si>
  <si>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</si>
  <si>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</si>
  <si>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</si>
  <si>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</si>
  <si>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</si>
  <si>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</si>
  <si>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</si>
  <si>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</si>
  <si>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</si>
  <si>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</si>
  <si>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</si>
  <si>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</si>
  <si>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</si>
  <si>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</si>
  <si>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</si>
  <si>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</si>
  <si>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</si>
  <si>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</si>
  <si>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</si>
  <si>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</si>
  <si>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</si>
  <si>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</si>
  <si>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</si>
  <si>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</si>
  <si>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</si>
  <si>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</si>
  <si>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</si>
  <si>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</si>
  <si>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</si>
  <si>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</si>
  <si>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</si>
  <si>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</si>
  <si>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</si>
  <si>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</si>
  <si>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</si>
  <si>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</si>
  <si>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</si>
  <si>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</si>
  <si>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</si>
  <si>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</si>
  <si>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</si>
  <si>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</si>
  <si>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</si>
  <si>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</si>
  <si>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</si>
  <si>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</si>
  <si>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</si>
  <si>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</si>
  <si>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</si>
  <si>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</si>
  <si>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</si>
  <si>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</si>
  <si>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</si>
  <si>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</si>
  <si>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</si>
  <si>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</si>
  <si>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</si>
  <si>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</si>
  <si>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</si>
  <si>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</si>
  <si>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</si>
  <si>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</si>
  <si>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</si>
  <si>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</si>
  <si>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</si>
  <si>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</si>
  <si>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</si>
  <si>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</si>
  <si>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</si>
  <si>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</si>
  <si>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</si>
  <si>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</si>
  <si>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</si>
  <si>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</si>
  <si>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</si>
  <si>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</si>
  <si>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</si>
  <si>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</si>
  <si>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</si>
  <si>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</si>
  <si>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</si>
  <si>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</si>
  <si>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</si>
  <si>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</si>
  <si>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</si>
  <si>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</si>
  <si>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</si>
  <si>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</si>
  <si>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</si>
  <si>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</si>
  <si>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</si>
  <si>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</si>
  <si>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</si>
  <si>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</si>
  <si>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</si>
  <si>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</si>
  <si>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</si>
  <si>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</si>
  <si>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152</t>
  </si>
  <si>
    <t>Hospital Name</t>
  </si>
  <si>
    <t>Public Hospital District No 1 of Mason County, WA, DBA Mason Health</t>
  </si>
  <si>
    <t>Mailing Address</t>
  </si>
  <si>
    <t>901 Mountain View Drive</t>
  </si>
  <si>
    <t>City</t>
  </si>
  <si>
    <t>Shelton</t>
  </si>
  <si>
    <t>State</t>
  </si>
  <si>
    <t>WA</t>
  </si>
  <si>
    <t>Zip</t>
  </si>
  <si>
    <t>County</t>
  </si>
  <si>
    <t>Mason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</si>
  <si>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</si>
  <si>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</si>
  <si>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</si>
  <si>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</si>
  <si>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</si>
  <si>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</si>
  <si>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</si>
  <si>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</si>
  <si>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</si>
  <si>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</si>
  <si>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</si>
  <si>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</si>
  <si>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</si>
  <si>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</si>
  <si>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</si>
  <si>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</si>
  <si>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</si>
  <si>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</si>
  <si>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</si>
  <si>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</si>
  <si>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</si>
  <si>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</si>
  <si>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</si>
  <si>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</si>
  <si>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</si>
  <si>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</si>
  <si>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</si>
  <si>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</si>
  <si>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</si>
  <si>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</si>
  <si>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</si>
  <si>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</si>
  <si>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</si>
  <si>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</si>
  <si>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</si>
  <si>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</si>
  <si>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</si>
  <si>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</si>
  <si>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</si>
  <si>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</si>
  <si>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</si>
  <si>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</si>
  <si>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</si>
  <si>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</si>
  <si>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</si>
  <si>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</si>
  <si>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</si>
  <si>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</si>
  <si>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</si>
  <si>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</si>
  <si>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</si>
  <si>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</si>
  <si>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</si>
  <si>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</si>
  <si>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</si>
  <si>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</si>
  <si>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</si>
  <si>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</si>
  <si>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</si>
  <si>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</si>
  <si>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</si>
  <si>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</si>
  <si>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</si>
  <si>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</si>
  <si>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</si>
  <si>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</si>
  <si>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</si>
  <si>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</si>
  <si>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</si>
  <si>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</si>
  <si>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</si>
  <si>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</si>
  <si>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</si>
  <si>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</si>
  <si>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</si>
  <si>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</si>
  <si>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</si>
  <si>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</si>
  <si>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</si>
  <si>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</si>
  <si>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</si>
  <si>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</si>
  <si>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</si>
  <si>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</si>
  <si>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</si>
  <si>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</si>
  <si>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</si>
  <si>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</si>
  <si>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</si>
  <si>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</si>
  <si>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</si>
  <si>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</si>
  <si>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</si>
  <si>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</si>
  <si>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</si>
  <si>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</si>
  <si>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</si>
  <si>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</si>
  <si>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</si>
  <si>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</si>
  <si>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</si>
  <si>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</si>
  <si>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</si>
  <si>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</si>
  <si>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</si>
  <si>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</si>
  <si>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</si>
  <si>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</si>
  <si>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</si>
  <si>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</si>
  <si>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</si>
  <si>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</si>
  <si>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</si>
  <si>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</si>
  <si>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</si>
  <si>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</si>
  <si>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</si>
  <si>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</si>
  <si>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</si>
  <si>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</si>
  <si>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</si>
  <si>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</si>
  <si>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</si>
  <si>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</si>
  <si>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</si>
  <si>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</si>
  <si>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</si>
  <si>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</si>
  <si>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</si>
  <si>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</si>
  <si>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</si>
  <si>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</si>
  <si>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</si>
  <si>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</si>
  <si>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</si>
  <si>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</si>
  <si>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</si>
  <si>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</si>
  <si>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</si>
  <si>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</si>
  <si>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</si>
  <si>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</si>
  <si>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</si>
  <si>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</si>
  <si>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</si>
  <si>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</si>
  <si>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</si>
  <si>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</si>
  <si>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</si>
  <si>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</si>
  <si>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</si>
  <si>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</si>
  <si>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</si>
  <si>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</si>
  <si>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</si>
  <si>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</si>
  <si>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</si>
  <si>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</si>
  <si>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</si>
  <si>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</si>
  <si>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</si>
  <si>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</si>
  <si>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</si>
  <si>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</si>
  <si>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</si>
  <si>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</si>
  <si>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</si>
  <si>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</si>
  <si>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</si>
  <si>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</si>
  <si>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</si>
  <si>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</si>
  <si>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</si>
  <si>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</si>
  <si>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</si>
  <si>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</si>
  <si>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</si>
  <si>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</si>
  <si>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</si>
  <si>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</si>
  <si>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</si>
  <si>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</si>
  <si>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</si>
  <si>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</si>
  <si>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</si>
  <si>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</si>
  <si>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</si>
  <si>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</si>
  <si>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</si>
  <si>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</si>
  <si>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</si>
  <si>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</si>
  <si>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</si>
  <si>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</si>
  <si>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</si>
  <si>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</si>
  <si>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</si>
  <si>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</si>
  <si>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</si>
  <si>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</si>
  <si>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</si>
  <si>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</si>
  <si>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</si>
  <si>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</si>
  <si>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</si>
  <si>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</si>
  <si>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</si>
  <si>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</si>
  <si>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</si>
  <si>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</si>
  <si>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</si>
  <si>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</si>
  <si>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</si>
  <si>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</si>
  <si>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</si>
  <si>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</si>
  <si>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</si>
  <si>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</si>
  <si>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</si>
  <si>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</si>
  <si>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</si>
  <si>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</si>
  <si>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</si>
  <si>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</si>
  <si>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</si>
  <si>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</si>
  <si>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</si>
  <si>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</si>
  <si>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</si>
  <si>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</si>
  <si>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</si>
  <si>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</si>
  <si>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</si>
  <si>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</si>
  <si>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</si>
  <si>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</si>
  <si>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</si>
  <si>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</si>
  <si>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</si>
  <si>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</si>
  <si>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</si>
  <si>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</si>
  <si>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</si>
  <si>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</si>
  <si>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</si>
  <si>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</si>
  <si>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</si>
  <si>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</si>
  <si>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</si>
  <si>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</si>
  <si>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</si>
  <si>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</si>
  <si>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</si>
  <si>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</si>
  <si>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</si>
  <si>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</si>
  <si>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</si>
  <si>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</si>
  <si>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</si>
  <si>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</si>
  <si>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</si>
  <si>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</si>
  <si>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</si>
  <si>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</si>
  <si>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</si>
  <si>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</si>
  <si>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</si>
  <si>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</si>
  <si>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</si>
  <si>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</si>
  <si>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</si>
  <si>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</si>
  <si>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</si>
  <si>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</si>
  <si>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</si>
  <si>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</si>
  <si>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</si>
  <si>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</si>
  <si>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</si>
  <si>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</si>
  <si>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</si>
  <si>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</si>
  <si>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</si>
  <si>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</si>
  <si>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</si>
  <si>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</si>
  <si>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</si>
  <si>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</si>
  <si>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</si>
  <si>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</si>
  <si>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</si>
  <si>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</si>
  <si>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</si>
  <si>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</si>
  <si>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</si>
  <si>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</si>
  <si>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</si>
  <si>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</si>
  <si>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</si>
  <si>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</si>
  <si>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</si>
  <si>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</si>
  <si>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</si>
  <si>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</si>
  <si>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</si>
  <si>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</si>
  <si>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</si>
  <si>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</si>
  <si>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</si>
  <si>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</si>
  <si>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</si>
  <si>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</si>
  <si>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</si>
  <si>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</si>
  <si>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</si>
  <si>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</si>
  <si>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</si>
  <si>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</si>
  <si>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</si>
  <si>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</si>
  <si>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</si>
  <si>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</si>
  <si>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</si>
  <si>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</si>
  <si>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</si>
  <si>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</si>
  <si>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</si>
  <si>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</si>
  <si>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</si>
  <si>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</si>
  <si>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</si>
  <si>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</si>
  <si>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</si>
  <si>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</si>
  <si>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</si>
  <si>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</si>
  <si>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</si>
  <si>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</si>
  <si>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</si>
  <si>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</si>
  <si>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</si>
  <si>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</si>
  <si>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</si>
  <si>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</si>
  <si>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</si>
  <si>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</si>
  <si>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</si>
  <si>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</si>
  <si>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</si>
  <si>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</si>
  <si>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</si>
  <si>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</si>
  <si>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</si>
  <si>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</si>
  <si>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</si>
  <si>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</si>
  <si>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</si>
  <si>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</si>
  <si>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</si>
  <si>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</si>
  <si>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</si>
  <si>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</si>
  <si>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</si>
  <si>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</si>
  <si>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</si>
  <si>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</si>
  <si>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</si>
  <si>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</si>
  <si>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</si>
  <si>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</si>
  <si>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</si>
  <si>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</si>
  <si>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</si>
  <si>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</si>
  <si>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</si>
  <si>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</si>
  <si>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</si>
  <si>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</si>
  <si>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</si>
  <si>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</si>
  <si>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</si>
  <si>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</si>
  <si>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</si>
  <si>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</si>
  <si>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</si>
  <si>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</si>
  <si>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</si>
  <si>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</si>
  <si>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</si>
  <si>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</si>
  <si>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</si>
  <si>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</si>
  <si>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</si>
  <si>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</si>
  <si>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</si>
  <si>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</si>
  <si>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</si>
  <si>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</si>
  <si>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</si>
  <si>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</si>
  <si>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</si>
  <si>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</si>
  <si>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</si>
  <si>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</si>
  <si>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</si>
  <si>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</si>
  <si>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</si>
  <si>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</si>
  <si>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</si>
  <si>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</si>
  <si>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</si>
  <si>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</si>
  <si>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</si>
  <si>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</si>
  <si>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</si>
  <si>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</si>
  <si>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</si>
  <si>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</si>
  <si>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</si>
  <si>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</si>
  <si>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</si>
  <si>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</si>
  <si>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</si>
  <si>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</si>
  <si>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</si>
  <si>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</si>
  <si>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</si>
  <si>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</si>
  <si>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</si>
  <si>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</si>
  <si>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</si>
  <si>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</si>
  <si>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</si>
  <si>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</si>
  <si>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</si>
  <si>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</si>
  <si>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</si>
  <si>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</si>
  <si>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</si>
  <si>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</si>
  <si>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</si>
  <si>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</si>
  <si>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</si>
  <si>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</si>
  <si>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</si>
  <si>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</si>
  <si>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</si>
  <si>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</si>
  <si>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</si>
  <si>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</si>
  <si>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</si>
  <si>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</si>
  <si>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</si>
  <si>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</si>
  <si>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</si>
  <si>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</si>
  <si>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</si>
  <si>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</si>
  <si>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</si>
  <si>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</si>
  <si>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</si>
  <si>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</si>
  <si>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</si>
  <si>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</si>
  <si>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</si>
  <si>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</si>
  <si>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</si>
  <si>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</si>
  <si>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</si>
  <si>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</si>
  <si>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</si>
  <si>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</si>
  <si>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</si>
  <si>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</si>
  <si>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</si>
  <si>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</si>
  <si>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</si>
  <si>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</si>
  <si>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</si>
  <si>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</si>
  <si>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</si>
  <si>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</si>
  <si>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</si>
  <si>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</si>
  <si>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</si>
  <si>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</si>
  <si>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</si>
  <si>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</si>
  <si>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</si>
  <si>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</si>
  <si>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</si>
  <si>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</si>
  <si>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</si>
  <si>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</si>
  <si>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</si>
  <si>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</si>
  <si>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</si>
  <si>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</si>
  <si>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</si>
  <si>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</si>
  <si>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</si>
  <si>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</si>
  <si>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</si>
  <si>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</si>
  <si>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</si>
  <si>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</si>
  <si>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</si>
  <si>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</si>
  <si>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</si>
  <si>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</si>
  <si>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</si>
  <si>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</si>
  <si>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</si>
  <si>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</si>
  <si>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</si>
  <si>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</si>
  <si>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</si>
  <si>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</si>
  <si>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</si>
  <si>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</si>
  <si>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</si>
  <si>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</si>
  <si>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</si>
  <si>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</si>
  <si>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</si>
  <si>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</si>
  <si>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</si>
  <si>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</si>
  <si>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</si>
  <si>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</si>
  <si>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</si>
  <si>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</si>
  <si>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</si>
  <si>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</si>
  <si>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</si>
  <si>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</si>
  <si>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</si>
  <si>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</si>
  <si>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</si>
  <si>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</si>
  <si>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</si>
  <si>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</si>
  <si>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</si>
  <si>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</si>
  <si>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</si>
  <si>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</si>
  <si>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</si>
  <si>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</si>
  <si>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</si>
  <si>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</si>
  <si>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</si>
  <si>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</si>
  <si>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</si>
  <si>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</si>
  <si>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</si>
  <si>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</si>
  <si>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</si>
  <si>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</si>
  <si>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</si>
  <si>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</si>
  <si>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</si>
  <si>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</si>
  <si>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</si>
  <si>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</si>
  <si>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</si>
  <si>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</si>
  <si>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</si>
  <si>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</si>
  <si>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</si>
  <si>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</si>
  <si>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</si>
  <si>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</si>
  <si>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</si>
  <si>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</si>
  <si>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</si>
  <si>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</si>
  <si>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</si>
  <si>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</si>
  <si>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</si>
  <si>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</si>
  <si>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</si>
  <si>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</si>
  <si>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</si>
  <si>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</si>
  <si>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</si>
  <si>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</si>
  <si>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</si>
  <si>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</si>
  <si>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</si>
  <si>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</si>
  <si>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</si>
  <si>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</si>
  <si>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</si>
  <si>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</si>
  <si>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</si>
  <si>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</si>
  <si>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</si>
  <si>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</si>
  <si>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</si>
  <si>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</si>
  <si>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</si>
  <si>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</si>
  <si>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</si>
  <si>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</si>
  <si>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</si>
  <si>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</si>
  <si>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</si>
  <si>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</si>
  <si>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</si>
  <si>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</si>
  <si>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</si>
  <si>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</si>
  <si>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</si>
  <si>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</si>
  <si>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</si>
  <si>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</si>
  <si>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</si>
  <si>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</si>
  <si>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</si>
  <si>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</si>
  <si>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</si>
  <si>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</si>
  <si>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</si>
  <si>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</si>
  <si>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</si>
  <si>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</si>
  <si>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</si>
  <si>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</si>
  <si>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</si>
  <si>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</si>
  <si>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</si>
  <si>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</si>
  <si>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</si>
  <si>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</si>
  <si>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</si>
  <si>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</si>
  <si>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</si>
  <si>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</si>
  <si>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</si>
  <si>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</si>
  <si>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</si>
  <si>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</si>
  <si>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</si>
  <si>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</si>
  <si>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</si>
  <si>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</si>
  <si>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</si>
  <si>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</si>
  <si>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</si>
  <si>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</si>
  <si>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</si>
  <si>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</si>
  <si>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</si>
  <si>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</si>
  <si>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</si>
  <si>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</si>
  <si>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</si>
  <si>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</si>
  <si>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</si>
  <si>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</si>
  <si>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</si>
  <si>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</si>
  <si>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</si>
  <si>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</si>
  <si>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</si>
  <si>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</si>
  <si>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</si>
  <si>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</si>
  <si>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</si>
  <si>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</si>
  <si>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</si>
  <si>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</si>
  <si>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</si>
  <si>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</si>
  <si>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</si>
  <si>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</si>
  <si>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</si>
  <si>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</si>
  <si>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</si>
  <si>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</si>
  <si>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</si>
  <si>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</si>
  <si>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</si>
  <si>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</si>
  <si>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</si>
  <si>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</si>
  <si>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</si>
  <si>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</si>
  <si>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</si>
  <si>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</si>
  <si>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</si>
  <si>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</si>
  <si>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</si>
  <si>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</si>
  <si>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</si>
  <si>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</si>
  <si>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</si>
  <si>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</si>
  <si>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</si>
  <si>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</si>
  <si>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</si>
  <si>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</si>
  <si>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</si>
  <si>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</si>
  <si>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</si>
  <si>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</si>
  <si>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</si>
  <si>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</si>
  <si>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</si>
  <si>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</si>
  <si>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</si>
  <si>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</si>
  <si>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</si>
  <si>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</si>
  <si>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</si>
  <si>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</si>
  <si>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</si>
  <si>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</si>
  <si>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</si>
  <si>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</si>
  <si>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</si>
  <si>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</si>
  <si>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</si>
  <si>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</si>
  <si>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</si>
  <si>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</si>
  <si>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</si>
  <si>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</si>
  <si>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</si>
  <si>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</si>
  <si>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</si>
  <si>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</si>
  <si>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</si>
  <si>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</si>
  <si>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</si>
  <si>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</si>
  <si>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</si>
  <si>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</si>
  <si>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</si>
  <si>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</si>
  <si>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</si>
  <si>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</si>
  <si>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</si>
  <si>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</si>
  <si>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Jon Hornburg</t>
  </si>
  <si>
    <t>jhornburg@masongeneral.com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</si>
  <si>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</si>
  <si>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</si>
  <si>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</si>
  <si>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</si>
  <si>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</si>
  <si>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</si>
  <si>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</si>
  <si>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</si>
  <si>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</si>
  <si>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</si>
  <si>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</si>
  <si>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</si>
  <si>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</si>
  <si>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</si>
  <si>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</si>
  <si>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</si>
  <si>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</si>
  <si>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</si>
  <si>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</si>
  <si>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</si>
  <si>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</si>
  <si>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</si>
  <si>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</si>
  <si>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</si>
  <si>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</si>
  <si>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</si>
  <si>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</si>
  <si>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</si>
  <si>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</si>
  <si>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</si>
  <si>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</si>
  <si>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</si>
  <si>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</si>
  <si>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</si>
  <si>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</si>
  <si>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</si>
  <si>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</si>
  <si>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</si>
  <si>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</si>
  <si>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</si>
  <si>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</si>
  <si>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</si>
  <si>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</si>
  <si>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</si>
  <si>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</si>
  <si>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</si>
  <si>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</si>
  <si>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</si>
  <si>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</si>
  <si>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</si>
  <si>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</si>
  <si>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</si>
  <si>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</si>
  <si>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</si>
  <si>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</si>
  <si>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</si>
  <si>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</si>
  <si>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</si>
  <si>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</si>
  <si>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</si>
  <si>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</si>
  <si>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</si>
  <si>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</si>
  <si>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</si>
  <si>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</si>
  <si>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</si>
  <si>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</si>
  <si>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</si>
  <si>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</si>
  <si>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</si>
  <si>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</si>
  <si>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</si>
  <si>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</si>
  <si>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</si>
  <si>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</si>
  <si>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</si>
  <si>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</si>
  <si>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</si>
  <si>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</si>
  <si>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</si>
  <si>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</si>
  <si>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</si>
  <si>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</si>
  <si>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</si>
  <si>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</si>
  <si>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</si>
  <si>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</si>
  <si>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</si>
  <si>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</si>
  <si>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</si>
  <si>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</si>
  <si>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</si>
  <si>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</si>
  <si>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</si>
  <si>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</si>
  <si>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</si>
  <si>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</si>
  <si>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</si>
  <si>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</si>
  <si>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</si>
  <si>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</si>
  <si>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</si>
  <si>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</si>
  <si>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</si>
  <si>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</si>
  <si>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</si>
  <si>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</si>
  <si>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</si>
  <si>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</si>
  <si>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</si>
  <si>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</si>
  <si>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</si>
  <si>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</si>
  <si>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</si>
  <si>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</si>
  <si>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</si>
  <si>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</si>
  <si>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</si>
  <si>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</si>
  <si>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</si>
  <si>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</si>
  <si>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</si>
  <si>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</si>
  <si>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</si>
  <si>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</si>
  <si>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</si>
  <si>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</si>
  <si>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</si>
  <si>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</si>
  <si>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</si>
  <si>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</si>
  <si>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</si>
  <si>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</si>
  <si>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</si>
  <si>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</si>
  <si>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</si>
  <si>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</si>
  <si>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</si>
  <si>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</si>
  <si>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</si>
  <si>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</si>
  <si>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</si>
  <si>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</si>
  <si>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</si>
  <si>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</si>
  <si>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</si>
  <si>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</si>
  <si>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</si>
  <si>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</si>
  <si>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</si>
  <si>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</si>
  <si>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</si>
  <si>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</si>
  <si>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</si>
  <si>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</si>
  <si>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</si>
  <si>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</si>
  <si>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</si>
  <si>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</si>
  <si>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</si>
  <si>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</si>
  <si>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</si>
  <si>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</si>
  <si>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</si>
  <si>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</si>
  <si>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</si>
  <si>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</si>
  <si>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</si>
  <si>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</si>
  <si>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</si>
  <si>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</si>
  <si>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</si>
  <si>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</si>
  <si>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</si>
  <si>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</si>
  <si>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</si>
  <si>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</si>
  <si>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</si>
  <si>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</si>
  <si>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</si>
  <si>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</si>
  <si>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</si>
  <si>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</si>
  <si>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</si>
  <si>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</si>
  <si>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</si>
  <si>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</si>
  <si>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</si>
  <si>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</si>
  <si>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</si>
  <si>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</si>
  <si>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</si>
  <si>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</si>
  <si>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</si>
  <si>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</si>
  <si>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</si>
  <si>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</si>
  <si>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</si>
  <si>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</si>
  <si>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</si>
  <si>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</si>
  <si>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</si>
  <si>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</si>
  <si>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</si>
  <si>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</si>
  <si>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</si>
  <si>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</si>
  <si>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</si>
  <si>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</si>
  <si>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</si>
  <si>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</si>
  <si>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</si>
  <si>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</si>
  <si>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</si>
  <si>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</si>
  <si>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</si>
  <si>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</si>
  <si>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</si>
  <si>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</si>
  <si>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</si>
  <si>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</si>
  <si>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</si>
  <si>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</si>
  <si>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</si>
  <si>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</si>
  <si>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</si>
  <si>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</si>
  <si>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</si>
  <si>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</si>
  <si>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</si>
  <si>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</si>
  <si>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</si>
  <si>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</si>
  <si>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</si>
  <si>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</si>
  <si>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</si>
  <si>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</si>
  <si>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</si>
  <si>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</si>
  <si>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</si>
  <si>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</si>
  <si>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</si>
  <si>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</si>
  <si>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</si>
  <si>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</si>
  <si>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</si>
  <si>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</si>
  <si>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</si>
  <si>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</si>
  <si>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</si>
  <si>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</si>
  <si>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</si>
  <si>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</si>
  <si>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</si>
  <si>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</si>
  <si>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</si>
  <si>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</si>
  <si>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</si>
  <si>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</si>
  <si>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</si>
  <si>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</si>
  <si>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</si>
  <si>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</si>
  <si>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</si>
  <si>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</si>
  <si>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</si>
  <si>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</si>
  <si>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</si>
  <si>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</si>
  <si>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</si>
  <si>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</si>
  <si>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</si>
  <si>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</si>
  <si>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</si>
  <si>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</si>
  <si>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</si>
  <si>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</si>
  <si>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</si>
  <si>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</si>
  <si>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</si>
  <si>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</si>
  <si>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</si>
  <si>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</si>
  <si>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</si>
  <si>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</si>
  <si>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</si>
  <si>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</si>
  <si>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</si>
  <si>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</si>
  <si>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</si>
  <si>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</si>
  <si>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</si>
  <si>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</si>
  <si>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</si>
  <si>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</si>
  <si>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</si>
  <si>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</si>
  <si>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</si>
  <si>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</si>
  <si>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</si>
  <si>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</si>
  <si>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</si>
  <si>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</si>
  <si>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</si>
  <si>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</si>
  <si>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</si>
  <si>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Cafeteria Sales</t>
  </si>
  <si>
    <t>Cafeteria Sales Discounts</t>
  </si>
  <si>
    <t>Culinary &amp; Nutrition Charges</t>
  </si>
  <si>
    <t>Outside Sales of Inventory</t>
  </si>
  <si>
    <t>Pharmacy Health Plan Revenue</t>
  </si>
  <si>
    <t>Pharmacy 340B Revenue</t>
  </si>
  <si>
    <t>Purchase Discounts</t>
  </si>
  <si>
    <t>Med Rec Abstracts</t>
  </si>
  <si>
    <t>Building Rent/Lease</t>
  </si>
  <si>
    <t>Patient Account Interest</t>
  </si>
  <si>
    <t>Miscellaneous Revenue</t>
  </si>
  <si>
    <t>Non Taxable Copy Fees</t>
  </si>
  <si>
    <t>Non-Tax Miscellaneous Revenue</t>
  </si>
  <si>
    <t>Freight Expense</t>
  </si>
  <si>
    <t>Inventory Adjustments</t>
  </si>
  <si>
    <t>Damaged/Obsolete Inventory</t>
  </si>
  <si>
    <t>Postage</t>
  </si>
  <si>
    <t>Freight Expense Share Back</t>
  </si>
  <si>
    <t>Dues and Subscriptions</t>
  </si>
  <si>
    <t>Books and Programs</t>
  </si>
  <si>
    <t>Travel and Meetings</t>
  </si>
  <si>
    <t>Other Expenses</t>
  </si>
  <si>
    <t>Recruiting - Physicians</t>
  </si>
  <si>
    <t>Recruiting - Other</t>
  </si>
  <si>
    <t>Cash Over &amp; Short</t>
  </si>
  <si>
    <t>Contract labor related to nurses directly responsible to labor and delivery, previously recorded in acute care.</t>
  </si>
  <si>
    <t>Supply shortages and inflation lead to large increase in supply cost, additional depreciation allocation.</t>
  </si>
  <si>
    <t>2023 plagued with shortages of material able to complete tests, 2024 less shortages and additional uptime.</t>
  </si>
  <si>
    <t>Depreciation allocation, new GASB account standards increased amount of depreciation due to IT subscriptions. These now show up via the allocation. Removing allocation brings expense increase to 6% due to additional services needed throughout the year but in line with prior years.</t>
  </si>
  <si>
    <t>Eric Moll/Chief Executive Officer</t>
  </si>
  <si>
    <t>Don Welander/President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</si>
</sst>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_(* #,##0_);_(* \(#,##0\);_(* &quot;-&quot;??_);_(@_)"/>
  </numFmts>
  <fonts count="5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9"/>
      <color theme="0"/>
      <name val="Courier"/>
      <family val="3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Segoe UI"/>
      <family val="2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77">
    <xf numFmtId="37" fontId="0" fillId="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38" fillId="28" borderId="0"/>
    <xf numFmtId="0" fontId="5" fillId="28" borderId="0"/>
    <xf numFmtId="0" fontId="5" fillId="28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9" borderId="0"/>
    <xf numFmtId="0" fontId="41" fillId="29" borderId="0"/>
    <xf numFmtId="0" fontId="37" fillId="29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51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7" borderId="0" xfId="0" applyFont="1" applyFill="1"/>
    <xf numFmtId="37" fontId="16" fillId="7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7" borderId="0" xfId="0" quotePrefix="1" applyFont="1" applyFill="1" applyAlignment="1">
      <alignment horizontal="left"/>
    </xf>
    <xf numFmtId="37" fontId="16" fillId="7" borderId="0" xfId="0" applyFont="1" applyFill="1" applyAlignment="1">
      <alignment horizontal="right"/>
    </xf>
    <xf numFmtId="37" fontId="16" fillId="7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7" borderId="0" xfId="0" applyFont="1" applyFill="1" applyAlignment="1">
      <alignment horizontal="centerContinuous"/>
    </xf>
    <xf numFmtId="37" fontId="16" fillId="7" borderId="0" xfId="0" applyFont="1" applyFill="1" applyAlignment="1">
      <alignment horizontal="left" indent="1"/>
    </xf>
    <xf numFmtId="10" fontId="16" fillId="0" borderId="0" xfId="939" applyNumberFormat="1" applyFont="1"/>
    <xf numFmtId="37" fontId="16" fillId="7" borderId="0" xfId="0" applyFont="1" applyFill="1" applyAlignment="1">
      <alignment horizontal="left" indent="2"/>
    </xf>
    <xf numFmtId="37" fontId="16" fillId="7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7" borderId="0" xfId="547" applyFont="1" applyFill="1"/>
    <xf numFmtId="37" fontId="21" fillId="7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8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9" borderId="0" xfId="0" applyFont="1" applyFill="1"/>
    <xf numFmtId="37" fontId="27" fillId="9" borderId="0" xfId="0" applyFont="1" applyFill="1" applyAlignment="1">
      <alignment horizontal="center"/>
    </xf>
    <xf numFmtId="37" fontId="27" fillId="10" borderId="0" xfId="0" applyFont="1" applyFill="1"/>
    <xf numFmtId="37" fontId="27" fillId="10" borderId="0" xfId="0" applyFont="1" applyFill="1" applyAlignment="1">
      <alignment horizontal="left"/>
    </xf>
    <xf numFmtId="37" fontId="27" fillId="10" borderId="0" xfId="0" applyFont="1" applyFill="1" applyAlignment="1">
      <alignment horizontal="center"/>
    </xf>
    <xf numFmtId="39" fontId="27" fillId="10" borderId="0" xfId="0" applyNumberFormat="1" applyFont="1" applyFill="1"/>
    <xf numFmtId="39" fontId="27" fillId="9" borderId="0" xfId="0" applyNumberFormat="1" applyFont="1" applyFill="1"/>
    <xf numFmtId="37" fontId="16" fillId="7" borderId="0" xfId="0" quotePrefix="1" applyFont="1" applyFill="1" applyAlignment="1">
      <alignment horizontal="fill"/>
    </xf>
    <xf numFmtId="38" fontId="16" fillId="7" borderId="0" xfId="0" applyNumberFormat="1" applyFont="1" applyFill="1"/>
    <xf numFmtId="39" fontId="16" fillId="7" borderId="0" xfId="0" applyNumberFormat="1" applyFont="1" applyFill="1"/>
    <xf numFmtId="2" fontId="16" fillId="7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5" borderId="2" xfId="0" applyFont="1" applyFill="1" applyBorder="1"/>
    <xf numFmtId="37" fontId="28" fillId="6" borderId="2" xfId="0" applyFont="1" applyFill="1" applyBorder="1"/>
    <xf numFmtId="37" fontId="31" fillId="0" borderId="0" xfId="0" applyFont="1"/>
    <xf numFmtId="37" fontId="28" fillId="6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6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6" borderId="2" xfId="0" quotePrefix="1" applyFont="1" applyFill="1" applyBorder="1"/>
    <xf numFmtId="39" fontId="28" fillId="6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6" borderId="2" xfId="0" applyNumberFormat="1" applyFont="1" applyFill="1" applyBorder="1"/>
    <xf numFmtId="2" fontId="28" fillId="0" borderId="2" xfId="0" applyNumberFormat="1" applyFont="1" applyBorder="1"/>
    <xf numFmtId="3" fontId="28" fillId="6" borderId="2" xfId="0" applyNumberFormat="1" applyFont="1" applyFill="1" applyBorder="1"/>
    <xf numFmtId="37" fontId="16" fillId="7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1" borderId="1" xfId="0" applyFont="1" applyFill="1" applyBorder="1" applyProtection="1">
      <protection locked="0"/>
    </xf>
    <xf numFmtId="37" fontId="18" fillId="31" borderId="1" xfId="0" quotePrefix="1" applyFont="1" applyFill="1" applyBorder="1" applyProtection="1">
      <protection locked="0"/>
    </xf>
    <xf numFmtId="2" fontId="18" fillId="31" borderId="1" xfId="547" quotePrefix="1" applyNumberFormat="1" applyFont="1" applyFill="1" applyBorder="1" applyProtection="1">
      <protection locked="0"/>
    </xf>
    <xf numFmtId="37" fontId="18" fillId="31" borderId="1" xfId="547" quotePrefix="1" applyNumberFormat="1" applyFont="1" applyFill="1" applyBorder="1" applyProtection="1">
      <protection locked="0"/>
    </xf>
    <xf numFmtId="37" fontId="18" fillId="31" borderId="1" xfId="547" applyNumberFormat="1" applyFont="1" applyFill="1" applyBorder="1" applyProtection="1">
      <protection locked="0"/>
    </xf>
    <xf numFmtId="2" fontId="18" fillId="31" borderId="1" xfId="0" quotePrefix="1" applyNumberFormat="1" applyFont="1" applyFill="1" applyBorder="1" applyProtection="1">
      <protection locked="0"/>
    </xf>
    <xf numFmtId="2" fontId="18" fillId="31" borderId="1" xfId="939" quotePrefix="1" applyNumberFormat="1" applyFont="1" applyFill="1" applyBorder="1" applyProtection="1">
      <protection locked="0"/>
    </xf>
    <xf numFmtId="2" fontId="18" fillId="31" borderId="1" xfId="547" applyNumberFormat="1" applyFont="1" applyFill="1" applyBorder="1" applyProtection="1">
      <protection locked="0"/>
    </xf>
    <xf numFmtId="37" fontId="18" fillId="31" borderId="1" xfId="939" quotePrefix="1" applyNumberFormat="1" applyFont="1" applyFill="1" applyBorder="1" applyProtection="1">
      <protection locked="0"/>
    </xf>
    <xf numFmtId="1" fontId="18" fillId="31" borderId="1" xfId="0" quotePrefix="1" applyNumberFormat="1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167" fontId="18" fillId="30" borderId="1" xfId="0" quotePrefix="1" applyNumberFormat="1" applyFont="1" applyFill="1" applyBorder="1" applyProtection="1">
      <protection locked="0"/>
    </xf>
    <xf numFmtId="38" fontId="18" fillId="30" borderId="8" xfId="0" applyNumberFormat="1" applyFont="1" applyFill="1" applyBorder="1" applyProtection="1">
      <protection locked="0"/>
    </xf>
    <xf numFmtId="38" fontId="18" fillId="30" borderId="2" xfId="0" applyNumberFormat="1" applyFont="1" applyFill="1" applyBorder="1" applyProtection="1">
      <protection locked="0"/>
    </xf>
    <xf numFmtId="3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4" xfId="0" applyNumberFormat="1" applyFont="1" applyFill="1" applyBorder="1" applyProtection="1">
      <protection locked="0"/>
    </xf>
    <xf numFmtId="38" fontId="18" fillId="30" borderId="14" xfId="0" quotePrefix="1" applyNumberFormat="1" applyFont="1" applyFill="1" applyBorder="1" applyProtection="1">
      <protection locked="0"/>
    </xf>
    <xf numFmtId="166" fontId="18" fillId="30" borderId="14" xfId="0" applyNumberFormat="1" applyFont="1" applyFill="1" applyBorder="1" applyAlignment="1" applyProtection="1">
      <alignment horizontal="left"/>
      <protection locked="0"/>
    </xf>
    <xf numFmtId="49" fontId="18" fillId="30" borderId="1" xfId="0" quotePrefix="1" applyNumberFormat="1" applyFont="1" applyFill="1" applyBorder="1" applyProtection="1">
      <protection locked="0"/>
    </xf>
    <xf numFmtId="16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right"/>
      <protection locked="0"/>
    </xf>
    <xf numFmtId="38" fontId="18" fillId="31" borderId="1" xfId="0" applyNumberFormat="1" applyFont="1" applyFill="1" applyBorder="1" applyProtection="1">
      <protection locked="0"/>
    </xf>
    <xf numFmtId="37" fontId="18" fillId="30" borderId="1" xfId="0" applyFont="1" applyFill="1" applyBorder="1" applyProtection="1">
      <protection locked="0"/>
    </xf>
    <xf numFmtId="38" fontId="26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center"/>
      <protection locked="0"/>
    </xf>
    <xf numFmtId="37" fontId="16" fillId="30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 applyAlignment="1">
      <alignment vertical="center"/>
    </xf>
    <xf numFmtId="37" fontId="51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1" borderId="34" xfId="0" quotePrefix="1" applyFont="1" applyFill="1" applyBorder="1" applyAlignment="1">
      <alignment horizontal="left"/>
    </xf>
    <xf numFmtId="37" fontId="2" fillId="31" borderId="35" xfId="0" applyFont="1" applyFill="1" applyBorder="1"/>
    <xf numFmtId="38" fontId="2" fillId="31" borderId="35" xfId="0" applyNumberFormat="1" applyFont="1" applyFill="1" applyBorder="1"/>
    <xf numFmtId="37" fontId="2" fillId="31" borderId="36" xfId="0" applyFont="1" applyFill="1" applyBorder="1"/>
    <xf numFmtId="37" fontId="2" fillId="31" borderId="37" xfId="0" quotePrefix="1" applyFont="1" applyFill="1" applyBorder="1" applyAlignment="1">
      <alignment vertical="center" readingOrder="1"/>
    </xf>
    <xf numFmtId="37" fontId="2" fillId="31" borderId="0" xfId="0" quotePrefix="1" applyFont="1" applyFill="1" applyAlignment="1">
      <alignment horizontal="left"/>
    </xf>
    <xf numFmtId="38" fontId="2" fillId="31" borderId="0" xfId="0" applyNumberFormat="1" applyFont="1" applyFill="1"/>
    <xf numFmtId="37" fontId="2" fillId="31" borderId="0" xfId="0" applyFont="1" applyFill="1"/>
    <xf numFmtId="37" fontId="2" fillId="31" borderId="38" xfId="0" applyFont="1" applyFill="1" applyBorder="1"/>
    <xf numFmtId="37" fontId="2" fillId="31" borderId="37" xfId="0" quotePrefix="1" applyFont="1" applyFill="1" applyBorder="1"/>
    <xf numFmtId="37" fontId="2" fillId="31" borderId="37" xfId="0" applyFont="1" applyFill="1" applyBorder="1" applyAlignment="1">
      <alignment vertical="center" readingOrder="1"/>
    </xf>
    <xf numFmtId="37" fontId="2" fillId="31" borderId="39" xfId="0" quotePrefix="1" applyFont="1" applyFill="1" applyBorder="1"/>
    <xf numFmtId="37" fontId="2" fillId="31" borderId="40" xfId="0" applyFont="1" applyFill="1" applyBorder="1"/>
    <xf numFmtId="38" fontId="2" fillId="31" borderId="40" xfId="0" applyNumberFormat="1" applyFont="1" applyFill="1" applyBorder="1"/>
    <xf numFmtId="37" fontId="2" fillId="31" borderId="41" xfId="0" applyFont="1" applyFill="1" applyBorder="1"/>
    <xf numFmtId="37" fontId="52" fillId="31" borderId="1" xfId="0" applyFont="1" applyFill="1" applyBorder="1" applyProtection="1">
      <protection locked="0"/>
    </xf>
    <xf numFmtId="170" fontId="2" fillId="31" borderId="42" xfId="592" applyNumberFormat="1" applyFont="1" applyFill="1" applyBorder="1"/>
    <xf numFmtId="37" fontId="18" fillId="31" borderId="1" xfId="546" quotePrefix="1" applyNumberFormat="1" applyFont="1" applyFill="1" applyBorder="1" applyProtection="1">
      <protection locked="0"/>
    </xf>
    <xf numFmtId="37" fontId="16" fillId="7" borderId="0" xfId="546" applyNumberFormat="1" applyFont="1" applyFill="1"/>
    <xf numFmtId="37" fontId="18" fillId="31" borderId="1" xfId="546" applyNumberFormat="1" applyFont="1" applyFill="1" applyBorder="1" applyProtection="1">
      <protection locked="0"/>
    </xf>
    <xf numFmtId="2" fontId="18" fillId="31" borderId="1" xfId="546" quotePrefix="1" applyNumberFormat="1" applyFont="1" applyFill="1" applyBorder="1" applyProtection="1">
      <protection locked="0"/>
    </xf>
    <xf numFmtId="2" fontId="18" fillId="31" borderId="1" xfId="546" applyNumberFormat="1" applyFont="1" applyFill="1" applyBorder="1" applyProtection="1">
      <protection locked="0"/>
    </xf>
    <xf numFmtId="37" fontId="53" fillId="0" borderId="0" xfId="0" applyFont="1"/>
    <xf numFmtId="43" fontId="16" fillId="3" borderId="0" xfId="546" applyNumberFormat="1" applyFont="1" applyFill="1"/>
    <xf numFmtId="43" fontId="16" fillId="7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8" fontId="38" fillId="30" borderId="14" xfId="0" applyNumberFormat="1" applyFont="1" applyFill="1" applyBorder="1" applyProtection="1">
      <protection locked="0"/>
    </xf>
    <xf numFmtId="0" fontId="54" fillId="31" borderId="0" xfId="630" applyNumberFormat="1" applyFont="1" applyFill="1" applyAlignment="1" applyProtection="1">
      <alignment vertical="top"/>
      <protection locked="0"/>
    </xf>
    <xf numFmtId="170" fontId="26" fillId="4" borderId="1" xfId="601" applyNumberFormat="1" applyFont="1" applyFill="1" applyBorder="1" applyProtection="1">
      <protection locked="0"/>
    </xf>
    <xf numFmtId="170" fontId="26" fillId="4" borderId="1" xfId="589" applyNumberFormat="1" applyFont="1" applyFill="1" applyBorder="1" applyProtection="1">
      <protection locked="0"/>
    </xf>
    <xf numFmtId="170" fontId="26" fillId="4" borderId="1" xfId="589" applyNumberFormat="1" applyFont="1" applyFill="1" applyBorder="1" applyAlignment="1" applyProtection="1">
      <alignment horizontal="center"/>
      <protection locked="0"/>
    </xf>
    <xf numFmtId="0" fontId="57" fillId="0" borderId="0" xfId="669" applyFont="1"/>
    <xf numFmtId="43" fontId="10" fillId="0" borderId="0" xfId="547"/>
    <xf numFmtId="170" fontId="10" fillId="0" borderId="0" xfId="547" applyNumberFormat="1"/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doh.information@doh.wa.gov" TargetMode="External"/><Relationship Id="rId9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20090477.329999998</v>
      </c>
      <c r="C47" s="273">
        <v>677823.91999999993</v>
      </c>
      <c r="D47" s="273"/>
      <c r="E47" s="273">
        <v>1446640.4800000002</v>
      </c>
      <c r="F47" s="273"/>
      <c r="G47" s="273"/>
      <c r="H47" s="273"/>
      <c r="I47" s="273"/>
      <c r="J47" s="273"/>
      <c r="K47" s="273"/>
      <c r="L47" s="273"/>
      <c r="M47" s="273"/>
      <c r="N47" s="273"/>
      <c r="O47" s="273">
        <v>0</v>
      </c>
      <c r="P47" s="273">
        <v>423123.12</v>
      </c>
      <c r="Q47" s="273">
        <v>552808.06000000006</v>
      </c>
      <c r="R47" s="273">
        <v>217425.43000000002</v>
      </c>
      <c r="S47" s="273">
        <v>0</v>
      </c>
      <c r="T47" s="273"/>
      <c r="U47" s="273">
        <v>877318.75999999989</v>
      </c>
      <c r="V47" s="273"/>
      <c r="W47" s="273">
        <v>93174.080000000002</v>
      </c>
      <c r="X47" s="273">
        <v>134767.98000000001</v>
      </c>
      <c r="Y47" s="273">
        <v>857364.73</v>
      </c>
      <c r="Z47" s="273"/>
      <c r="AA47" s="273">
        <v>45357.57</v>
      </c>
      <c r="AB47" s="273">
        <v>635351.29</v>
      </c>
      <c r="AC47" s="273">
        <v>311328.57999999996</v>
      </c>
      <c r="AD47" s="273"/>
      <c r="AE47" s="273">
        <v>682897.59000000008</v>
      </c>
      <c r="AF47" s="273"/>
      <c r="AG47" s="273">
        <v>1054543.4600000002</v>
      </c>
      <c r="AH47" s="273"/>
      <c r="AI47" s="273"/>
      <c r="AJ47" s="273"/>
      <c r="AK47" s="273"/>
      <c r="AL47" s="273"/>
      <c r="AM47" s="273"/>
      <c r="AN47" s="273"/>
      <c r="AO47" s="273"/>
      <c r="AP47" s="273">
        <v>6009358.5800000001</v>
      </c>
      <c r="AQ47" s="273"/>
      <c r="AR47" s="273"/>
      <c r="AS47" s="273"/>
      <c r="AT47" s="273"/>
      <c r="AU47" s="273"/>
      <c r="AV47" s="273">
        <v>158613.09999999998</v>
      </c>
      <c r="AW47" s="273"/>
      <c r="AX47" s="273"/>
      <c r="AY47" s="273">
        <v>412677.28</v>
      </c>
      <c r="AZ47" s="273"/>
      <c r="BA47" s="273">
        <v>41232.300000000003</v>
      </c>
      <c r="BB47" s="273"/>
      <c r="BC47" s="273"/>
      <c r="BD47" s="273">
        <v>205123.62</v>
      </c>
      <c r="BE47" s="273">
        <v>343860.14</v>
      </c>
      <c r="BF47" s="273">
        <v>727320.24000000011</v>
      </c>
      <c r="BG47" s="273"/>
      <c r="BH47" s="273">
        <v>0</v>
      </c>
      <c r="BI47" s="273"/>
      <c r="BJ47" s="273">
        <v>243015.68999999997</v>
      </c>
      <c r="BK47" s="273">
        <v>583606.46</v>
      </c>
      <c r="BL47" s="273">
        <v>626073.11999999988</v>
      </c>
      <c r="BM47" s="273"/>
      <c r="BN47" s="273">
        <v>607680.6</v>
      </c>
      <c r="BO47" s="273">
        <v>68945.73</v>
      </c>
      <c r="BP47" s="273">
        <v>0</v>
      </c>
      <c r="BQ47" s="273"/>
      <c r="BR47" s="273">
        <v>226381.44999999995</v>
      </c>
      <c r="BS47" s="273"/>
      <c r="BT47" s="273"/>
      <c r="BU47" s="273"/>
      <c r="BV47" s="273">
        <v>669681.37999999989</v>
      </c>
      <c r="BW47" s="273">
        <v>62740.719999999994</v>
      </c>
      <c r="BX47" s="273"/>
      <c r="BY47" s="273">
        <v>471817.21</v>
      </c>
      <c r="BZ47" s="273"/>
      <c r="CA47" s="273">
        <v>29864.49</v>
      </c>
      <c r="CB47" s="273"/>
      <c r="CC47" s="273">
        <v>592560.16999999993</v>
      </c>
      <c r="CD47" s="16"/>
      <c r="CE47" s="25">
        <f>SUM(C47:CC47)</f>
        <v>20090477.329999998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20090477.329999998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13522642.25</v>
      </c>
      <c r="C51" s="273">
        <v>427310.87361464958</v>
      </c>
      <c r="D51" s="273"/>
      <c r="E51" s="273">
        <v>1252431.2564489513</v>
      </c>
      <c r="F51" s="273"/>
      <c r="G51" s="273"/>
      <c r="H51" s="273"/>
      <c r="I51" s="273"/>
      <c r="J51" s="273">
        <v>31599.239196419312</v>
      </c>
      <c r="K51" s="273"/>
      <c r="L51" s="273"/>
      <c r="M51" s="273"/>
      <c r="N51" s="273"/>
      <c r="O51" s="273">
        <v>63919.622855827452</v>
      </c>
      <c r="P51" s="273">
        <v>430457.68581678258</v>
      </c>
      <c r="Q51" s="273">
        <v>468547.22518010129</v>
      </c>
      <c r="R51" s="273">
        <v>20454.279313864783</v>
      </c>
      <c r="S51" s="273">
        <v>194709.00500698207</v>
      </c>
      <c r="T51" s="273"/>
      <c r="U51" s="273">
        <v>287998.87508271792</v>
      </c>
      <c r="V51" s="273"/>
      <c r="W51" s="273">
        <v>140098.70158246488</v>
      </c>
      <c r="X51" s="273">
        <v>51922.401335195224</v>
      </c>
      <c r="Y51" s="273">
        <v>483822.37607795547</v>
      </c>
      <c r="Z51" s="273"/>
      <c r="AA51" s="273">
        <v>45235.4254056625</v>
      </c>
      <c r="AB51" s="273">
        <v>251286.06605783242</v>
      </c>
      <c r="AC51" s="273">
        <v>52840.221560817357</v>
      </c>
      <c r="AD51" s="273"/>
      <c r="AE51" s="273">
        <v>528008.86408290698</v>
      </c>
      <c r="AF51" s="273"/>
      <c r="AG51" s="273">
        <v>625625.60093657579</v>
      </c>
      <c r="AH51" s="273"/>
      <c r="AI51" s="273"/>
      <c r="AJ51" s="273"/>
      <c r="AK51" s="273"/>
      <c r="AL51" s="273"/>
      <c r="AM51" s="273"/>
      <c r="AN51" s="273"/>
      <c r="AO51" s="273"/>
      <c r="AP51" s="273">
        <v>2771623.92</v>
      </c>
      <c r="AQ51" s="273"/>
      <c r="AR51" s="273"/>
      <c r="AS51" s="273"/>
      <c r="AT51" s="273"/>
      <c r="AU51" s="273"/>
      <c r="AV51" s="273">
        <v>17569.701461909495</v>
      </c>
      <c r="AW51" s="273"/>
      <c r="AX51" s="273"/>
      <c r="AY51" s="273">
        <v>330415.28122396959</v>
      </c>
      <c r="AZ51" s="273"/>
      <c r="BA51" s="273">
        <v>95781.096402424519</v>
      </c>
      <c r="BB51" s="273"/>
      <c r="BC51" s="273"/>
      <c r="BD51" s="273">
        <v>223030.31482617947</v>
      </c>
      <c r="BE51" s="273">
        <v>1946696.6985445542</v>
      </c>
      <c r="BF51" s="273">
        <v>132166.11248958783</v>
      </c>
      <c r="BG51" s="273"/>
      <c r="BH51" s="273">
        <v>557313.5527152709</v>
      </c>
      <c r="BI51" s="273"/>
      <c r="BJ51" s="273">
        <v>0</v>
      </c>
      <c r="BK51" s="273">
        <v>191889.98574257124</v>
      </c>
      <c r="BL51" s="273">
        <v>242173.42238915549</v>
      </c>
      <c r="BM51" s="273"/>
      <c r="BN51" s="273">
        <v>639655.13867108559</v>
      </c>
      <c r="BO51" s="273">
        <v>8981.5264935880623</v>
      </c>
      <c r="BP51" s="273">
        <v>186710.8573265606</v>
      </c>
      <c r="BQ51" s="273"/>
      <c r="BR51" s="273">
        <v>139574.23288210938</v>
      </c>
      <c r="BS51" s="273"/>
      <c r="BT51" s="273"/>
      <c r="BU51" s="273"/>
      <c r="BV51" s="273">
        <v>298029.33897701703</v>
      </c>
      <c r="BW51" s="273">
        <v>67000.876470416057</v>
      </c>
      <c r="BX51" s="273"/>
      <c r="BY51" s="273">
        <v>60313.90054088334</v>
      </c>
      <c r="BZ51" s="273"/>
      <c r="CA51" s="273">
        <v>68574.282571482574</v>
      </c>
      <c r="CB51" s="273"/>
      <c r="CC51" s="273">
        <v>188874.29071552705</v>
      </c>
      <c r="CD51" s="16"/>
      <c r="CE51" s="25">
        <f>SUM(C51:CD51)</f>
        <v>13522642.25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13522642.25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798</v>
      </c>
      <c r="D59" s="273"/>
      <c r="E59" s="273">
        <v>5027</v>
      </c>
      <c r="F59" s="273"/>
      <c r="G59" s="273"/>
      <c r="H59" s="273"/>
      <c r="I59" s="273"/>
      <c r="J59" s="273">
        <v>658</v>
      </c>
      <c r="K59" s="273"/>
      <c r="L59" s="273"/>
      <c r="M59" s="273"/>
      <c r="N59" s="273"/>
      <c r="O59" s="273">
        <v>1165</v>
      </c>
      <c r="P59" s="274">
        <v>144105</v>
      </c>
      <c r="Q59" s="275">
        <v>144839</v>
      </c>
      <c r="R59" s="275">
        <v>144105</v>
      </c>
      <c r="S59" s="263">
        <v>0</v>
      </c>
      <c r="T59" s="263">
        <v>0</v>
      </c>
      <c r="U59" s="276">
        <v>329366</v>
      </c>
      <c r="V59" s="275"/>
      <c r="W59" s="275">
        <v>2174</v>
      </c>
      <c r="X59" s="275">
        <v>41847</v>
      </c>
      <c r="Y59" s="275">
        <v>30616</v>
      </c>
      <c r="Z59" s="275"/>
      <c r="AA59" s="275">
        <v>2567</v>
      </c>
      <c r="AB59" s="263">
        <v>0</v>
      </c>
      <c r="AC59" s="275">
        <v>4844</v>
      </c>
      <c r="AD59" s="275"/>
      <c r="AE59" s="275">
        <v>24054</v>
      </c>
      <c r="AF59" s="275"/>
      <c r="AG59" s="275">
        <v>17348</v>
      </c>
      <c r="AH59" s="275"/>
      <c r="AI59" s="275"/>
      <c r="AJ59" s="275"/>
      <c r="AK59" s="275"/>
      <c r="AL59" s="275"/>
      <c r="AM59" s="275"/>
      <c r="AN59" s="275"/>
      <c r="AO59" s="275"/>
      <c r="AP59" s="275">
        <v>95955</v>
      </c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34002.114391143921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227969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19.68453206759715</v>
      </c>
      <c r="D60" s="277"/>
      <c r="E60" s="277">
        <v>47.054787371373841</v>
      </c>
      <c r="F60" s="277"/>
      <c r="G60" s="277"/>
      <c r="H60" s="277"/>
      <c r="I60" s="277"/>
      <c r="J60" s="277">
        <v>0</v>
      </c>
      <c r="K60" s="277"/>
      <c r="L60" s="277"/>
      <c r="M60" s="277"/>
      <c r="N60" s="277"/>
      <c r="O60" s="277">
        <v>0</v>
      </c>
      <c r="P60" s="274">
        <v>14.938811704980845</v>
      </c>
      <c r="Q60" s="274">
        <v>14.046697957033388</v>
      </c>
      <c r="R60" s="274">
        <v>3.4307660645867539</v>
      </c>
      <c r="S60" s="278"/>
      <c r="T60" s="278"/>
      <c r="U60" s="279">
        <v>34.700278073399012</v>
      </c>
      <c r="V60" s="274"/>
      <c r="W60" s="274">
        <v>2.0565674575807336</v>
      </c>
      <c r="X60" s="274">
        <v>3.9093104542966612</v>
      </c>
      <c r="Y60" s="274">
        <v>25.091940500821021</v>
      </c>
      <c r="Z60" s="274"/>
      <c r="AA60" s="274">
        <v>1.028121223316913</v>
      </c>
      <c r="AB60" s="278">
        <v>14.838016897920086</v>
      </c>
      <c r="AC60" s="274">
        <v>9.2243130035577448</v>
      </c>
      <c r="AD60" s="274"/>
      <c r="AE60" s="274">
        <v>21.879577905199778</v>
      </c>
      <c r="AF60" s="274"/>
      <c r="AG60" s="274">
        <v>29.262941266611932</v>
      </c>
      <c r="AH60" s="274"/>
      <c r="AI60" s="274"/>
      <c r="AJ60" s="274"/>
      <c r="AK60" s="274"/>
      <c r="AL60" s="274"/>
      <c r="AM60" s="274"/>
      <c r="AN60" s="274"/>
      <c r="AO60" s="274"/>
      <c r="AP60" s="274">
        <v>174.23612325686918</v>
      </c>
      <c r="AQ60" s="274"/>
      <c r="AR60" s="274"/>
      <c r="AS60" s="274"/>
      <c r="AT60" s="274"/>
      <c r="AU60" s="274"/>
      <c r="AV60" s="278">
        <v>4.4143643637110017</v>
      </c>
      <c r="AW60" s="278"/>
      <c r="AX60" s="278"/>
      <c r="AY60" s="274">
        <v>19.456034987684728</v>
      </c>
      <c r="AZ60" s="274"/>
      <c r="BA60" s="278">
        <v>1.0236056157635467</v>
      </c>
      <c r="BB60" s="278"/>
      <c r="BC60" s="278"/>
      <c r="BD60" s="278">
        <v>7.6617389382594414</v>
      </c>
      <c r="BE60" s="274">
        <v>10.514788382594416</v>
      </c>
      <c r="BF60" s="278">
        <v>32.344588285440615</v>
      </c>
      <c r="BG60" s="278"/>
      <c r="BH60" s="278"/>
      <c r="BI60" s="278"/>
      <c r="BJ60" s="278">
        <v>6.4038016694033937</v>
      </c>
      <c r="BK60" s="278">
        <v>21.182034116037222</v>
      </c>
      <c r="BL60" s="278">
        <v>24.576294076354682</v>
      </c>
      <c r="BM60" s="278"/>
      <c r="BN60" s="278">
        <v>10.617096130268198</v>
      </c>
      <c r="BO60" s="278">
        <v>1.92216811713191</v>
      </c>
      <c r="BP60" s="278"/>
      <c r="BQ60" s="278"/>
      <c r="BR60" s="278">
        <v>7.6110552458128087</v>
      </c>
      <c r="BS60" s="278"/>
      <c r="BT60" s="278"/>
      <c r="BU60" s="278"/>
      <c r="BV60" s="278">
        <v>23.771264184455394</v>
      </c>
      <c r="BW60" s="278">
        <v>2.0034064313081554</v>
      </c>
      <c r="BX60" s="278"/>
      <c r="BY60" s="278">
        <v>13.933151242966613</v>
      </c>
      <c r="BZ60" s="278"/>
      <c r="CA60" s="278">
        <v>1.0450649425287355</v>
      </c>
      <c r="CB60" s="278"/>
      <c r="CC60" s="278">
        <v>16.314371964969897</v>
      </c>
      <c r="CD60" s="209" t="s">
        <v>247</v>
      </c>
      <c r="CE60" s="227">
        <f t="shared" ref="CE60:CE68" si="6">SUM(C60:CD60)</f>
        <v>620.17761389983582</v>
      </c>
    </row>
    <row r="61" spans="1:83" x14ac:dyDescent="0.25">
      <c r="A61" s="31" t="s">
        <v>262</v>
      </c>
      <c r="B61" s="16"/>
      <c r="C61" s="273">
        <v>2289205.83</v>
      </c>
      <c r="D61" s="273"/>
      <c r="E61" s="273">
        <v>5464223.8300000001</v>
      </c>
      <c r="F61" s="273"/>
      <c r="G61" s="273"/>
      <c r="H61" s="273"/>
      <c r="I61" s="273"/>
      <c r="J61" s="273">
        <v>0</v>
      </c>
      <c r="K61" s="273"/>
      <c r="L61" s="273"/>
      <c r="M61" s="273"/>
      <c r="N61" s="273"/>
      <c r="O61" s="273">
        <v>0</v>
      </c>
      <c r="P61" s="275">
        <v>1598870.8999999997</v>
      </c>
      <c r="Q61" s="275">
        <v>1769438.8</v>
      </c>
      <c r="R61" s="275">
        <v>1202726.0399999998</v>
      </c>
      <c r="S61" s="280"/>
      <c r="T61" s="280"/>
      <c r="U61" s="276">
        <v>2496363.4699999997</v>
      </c>
      <c r="V61" s="275"/>
      <c r="W61" s="275">
        <v>247450.72999999998</v>
      </c>
      <c r="X61" s="275">
        <v>455208.92</v>
      </c>
      <c r="Y61" s="275">
        <v>2373321.42</v>
      </c>
      <c r="Z61" s="275"/>
      <c r="AA61" s="275">
        <v>118280.73999999999</v>
      </c>
      <c r="AB61" s="281">
        <v>1850041.41</v>
      </c>
      <c r="AC61" s="275">
        <v>960060.24000000011</v>
      </c>
      <c r="AD61" s="275"/>
      <c r="AE61" s="275">
        <v>1987407.9200000004</v>
      </c>
      <c r="AF61" s="275"/>
      <c r="AG61" s="275">
        <v>4355825.53</v>
      </c>
      <c r="AH61" s="275"/>
      <c r="AI61" s="275"/>
      <c r="AJ61" s="275"/>
      <c r="AK61" s="275"/>
      <c r="AL61" s="275"/>
      <c r="AM61" s="275"/>
      <c r="AN61" s="275"/>
      <c r="AO61" s="275"/>
      <c r="AP61" s="275">
        <v>19772940.120000001</v>
      </c>
      <c r="AQ61" s="275"/>
      <c r="AR61" s="275"/>
      <c r="AS61" s="275"/>
      <c r="AT61" s="275"/>
      <c r="AU61" s="275"/>
      <c r="AV61" s="280">
        <v>421673.76</v>
      </c>
      <c r="AW61" s="280"/>
      <c r="AX61" s="280"/>
      <c r="AY61" s="275">
        <v>1079275.9500000002</v>
      </c>
      <c r="AZ61" s="275"/>
      <c r="BA61" s="280">
        <v>58219.130000000005</v>
      </c>
      <c r="BB61" s="280"/>
      <c r="BC61" s="280"/>
      <c r="BD61" s="280">
        <v>525908.66</v>
      </c>
      <c r="BE61" s="275">
        <v>884729.57</v>
      </c>
      <c r="BF61" s="280">
        <v>1777782.64</v>
      </c>
      <c r="BG61" s="280"/>
      <c r="BH61" s="280"/>
      <c r="BI61" s="280"/>
      <c r="BJ61" s="280">
        <v>630385.6</v>
      </c>
      <c r="BK61" s="280">
        <v>1355591.9500000004</v>
      </c>
      <c r="BL61" s="280">
        <v>1369970.6200000003</v>
      </c>
      <c r="BM61" s="280"/>
      <c r="BN61" s="280">
        <v>2265114.5100000002</v>
      </c>
      <c r="BO61" s="280">
        <v>202579.77</v>
      </c>
      <c r="BP61" s="280"/>
      <c r="BQ61" s="280"/>
      <c r="BR61" s="280">
        <v>951022.06</v>
      </c>
      <c r="BS61" s="280"/>
      <c r="BT61" s="280"/>
      <c r="BU61" s="280"/>
      <c r="BV61" s="280">
        <v>1544642.46</v>
      </c>
      <c r="BW61" s="280">
        <v>178228.2</v>
      </c>
      <c r="BX61" s="280"/>
      <c r="BY61" s="280">
        <v>1896953.34</v>
      </c>
      <c r="BZ61" s="280"/>
      <c r="CA61" s="280">
        <v>92725.440000000002</v>
      </c>
      <c r="CB61" s="280"/>
      <c r="CC61" s="280">
        <v>1763493.44</v>
      </c>
      <c r="CD61" s="24" t="s">
        <v>247</v>
      </c>
      <c r="CE61" s="25">
        <f t="shared" si="6"/>
        <v>63939663.000000015</v>
      </c>
    </row>
    <row r="62" spans="1:83" x14ac:dyDescent="0.25">
      <c r="A62" s="31" t="s">
        <v>10</v>
      </c>
      <c r="B62" s="16"/>
      <c r="C62" s="25">
        <f t="shared" ref="C62:AH62" si="7">ROUND(C47+C48,0)</f>
        <v>677824</v>
      </c>
      <c r="D62" s="25">
        <f t="shared" si="7"/>
        <v>0</v>
      </c>
      <c r="E62" s="25">
        <f t="shared" si="7"/>
        <v>1446640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423123</v>
      </c>
      <c r="Q62" s="25">
        <f t="shared" si="7"/>
        <v>552808</v>
      </c>
      <c r="R62" s="25">
        <f t="shared" si="7"/>
        <v>217425</v>
      </c>
      <c r="S62" s="25">
        <f t="shared" si="7"/>
        <v>0</v>
      </c>
      <c r="T62" s="25">
        <f t="shared" si="7"/>
        <v>0</v>
      </c>
      <c r="U62" s="25">
        <f t="shared" si="7"/>
        <v>877319</v>
      </c>
      <c r="V62" s="25">
        <f t="shared" si="7"/>
        <v>0</v>
      </c>
      <c r="W62" s="25">
        <f t="shared" si="7"/>
        <v>93174</v>
      </c>
      <c r="X62" s="25">
        <f t="shared" si="7"/>
        <v>134768</v>
      </c>
      <c r="Y62" s="25">
        <f t="shared" si="7"/>
        <v>857365</v>
      </c>
      <c r="Z62" s="25">
        <f t="shared" si="7"/>
        <v>0</v>
      </c>
      <c r="AA62" s="25">
        <f t="shared" si="7"/>
        <v>45358</v>
      </c>
      <c r="AB62" s="25">
        <f t="shared" si="7"/>
        <v>635351</v>
      </c>
      <c r="AC62" s="25">
        <f t="shared" si="7"/>
        <v>311329</v>
      </c>
      <c r="AD62" s="25">
        <f t="shared" si="7"/>
        <v>0</v>
      </c>
      <c r="AE62" s="25">
        <f t="shared" si="7"/>
        <v>682898</v>
      </c>
      <c r="AF62" s="25">
        <f t="shared" si="7"/>
        <v>0</v>
      </c>
      <c r="AG62" s="25">
        <f t="shared" si="7"/>
        <v>1054543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0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6009359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158613</v>
      </c>
      <c r="AW62" s="25">
        <f t="shared" si="8"/>
        <v>0</v>
      </c>
      <c r="AX62" s="25">
        <f t="shared" si="8"/>
        <v>0</v>
      </c>
      <c r="AY62" s="25">
        <f t="shared" si="8"/>
        <v>412677</v>
      </c>
      <c r="AZ62" s="25">
        <f t="shared" si="8"/>
        <v>0</v>
      </c>
      <c r="BA62" s="25">
        <f t="shared" si="8"/>
        <v>41232</v>
      </c>
      <c r="BB62" s="25">
        <f t="shared" si="8"/>
        <v>0</v>
      </c>
      <c r="BC62" s="25">
        <f t="shared" si="8"/>
        <v>0</v>
      </c>
      <c r="BD62" s="25">
        <f t="shared" si="8"/>
        <v>205124</v>
      </c>
      <c r="BE62" s="25">
        <f t="shared" si="8"/>
        <v>343860</v>
      </c>
      <c r="BF62" s="25">
        <f t="shared" si="8"/>
        <v>727320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243016</v>
      </c>
      <c r="BK62" s="25">
        <f t="shared" si="8"/>
        <v>583606</v>
      </c>
      <c r="BL62" s="25">
        <f t="shared" si="8"/>
        <v>626073</v>
      </c>
      <c r="BM62" s="25">
        <f t="shared" si="8"/>
        <v>0</v>
      </c>
      <c r="BN62" s="25">
        <f t="shared" si="8"/>
        <v>607681</v>
      </c>
      <c r="BO62" s="25">
        <f t="shared" ref="BO62:CC62" si="9">ROUND(BO47+BO48,0)</f>
        <v>68946</v>
      </c>
      <c r="BP62" s="25">
        <f t="shared" si="9"/>
        <v>0</v>
      </c>
      <c r="BQ62" s="25">
        <f t="shared" si="9"/>
        <v>0</v>
      </c>
      <c r="BR62" s="25">
        <f t="shared" si="9"/>
        <v>226381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669681</v>
      </c>
      <c r="BW62" s="25">
        <f t="shared" si="9"/>
        <v>62741</v>
      </c>
      <c r="BX62" s="25">
        <f t="shared" si="9"/>
        <v>0</v>
      </c>
      <c r="BY62" s="25">
        <f t="shared" si="9"/>
        <v>471817</v>
      </c>
      <c r="BZ62" s="25">
        <f t="shared" si="9"/>
        <v>0</v>
      </c>
      <c r="CA62" s="25">
        <f t="shared" si="9"/>
        <v>29864</v>
      </c>
      <c r="CB62" s="25">
        <f t="shared" si="9"/>
        <v>0</v>
      </c>
      <c r="CC62" s="25">
        <f t="shared" si="9"/>
        <v>592560</v>
      </c>
      <c r="CD62" s="24" t="s">
        <v>247</v>
      </c>
      <c r="CE62" s="25">
        <f t="shared" si="6"/>
        <v>20090476</v>
      </c>
    </row>
    <row r="63" spans="1:83" x14ac:dyDescent="0.25">
      <c r="A63" s="31" t="s">
        <v>263</v>
      </c>
      <c r="B63" s="16"/>
      <c r="C63" s="273">
        <v>391072.03</v>
      </c>
      <c r="D63" s="273"/>
      <c r="E63" s="273">
        <v>1114640.8100000003</v>
      </c>
      <c r="F63" s="273"/>
      <c r="G63" s="273"/>
      <c r="H63" s="273"/>
      <c r="I63" s="273"/>
      <c r="J63" s="273">
        <v>0</v>
      </c>
      <c r="K63" s="273"/>
      <c r="L63" s="273"/>
      <c r="M63" s="273"/>
      <c r="N63" s="273"/>
      <c r="O63" s="273">
        <v>326316.05</v>
      </c>
      <c r="P63" s="275">
        <v>698988.39</v>
      </c>
      <c r="Q63" s="275">
        <v>0</v>
      </c>
      <c r="R63" s="275">
        <v>359100</v>
      </c>
      <c r="S63" s="280">
        <v>6670</v>
      </c>
      <c r="T63" s="280"/>
      <c r="U63" s="276">
        <v>43256.2</v>
      </c>
      <c r="V63" s="275"/>
      <c r="W63" s="275">
        <v>0</v>
      </c>
      <c r="X63" s="275">
        <v>59522.5</v>
      </c>
      <c r="Y63" s="275">
        <v>196797</v>
      </c>
      <c r="Z63" s="275"/>
      <c r="AA63" s="275">
        <v>0</v>
      </c>
      <c r="AB63" s="281">
        <v>0</v>
      </c>
      <c r="AC63" s="275">
        <v>0</v>
      </c>
      <c r="AD63" s="275"/>
      <c r="AE63" s="275">
        <v>455125.96</v>
      </c>
      <c r="AF63" s="275"/>
      <c r="AG63" s="275">
        <v>4085055.18</v>
      </c>
      <c r="AH63" s="275"/>
      <c r="AI63" s="275"/>
      <c r="AJ63" s="275"/>
      <c r="AK63" s="275"/>
      <c r="AL63" s="275"/>
      <c r="AM63" s="275"/>
      <c r="AN63" s="275"/>
      <c r="AO63" s="275"/>
      <c r="AP63" s="275">
        <v>4934073.66</v>
      </c>
      <c r="AQ63" s="275"/>
      <c r="AR63" s="275"/>
      <c r="AS63" s="275"/>
      <c r="AT63" s="275"/>
      <c r="AU63" s="275"/>
      <c r="AV63" s="280">
        <v>40277</v>
      </c>
      <c r="AW63" s="280"/>
      <c r="AX63" s="280"/>
      <c r="AY63" s="275">
        <v>0</v>
      </c>
      <c r="AZ63" s="275"/>
      <c r="BA63" s="280">
        <v>0</v>
      </c>
      <c r="BB63" s="280"/>
      <c r="BC63" s="280"/>
      <c r="BD63" s="280">
        <v>0</v>
      </c>
      <c r="BE63" s="275">
        <v>108.9</v>
      </c>
      <c r="BF63" s="280">
        <v>0</v>
      </c>
      <c r="BG63" s="280"/>
      <c r="BH63" s="280">
        <v>0</v>
      </c>
      <c r="BI63" s="280"/>
      <c r="BJ63" s="280">
        <v>0</v>
      </c>
      <c r="BK63" s="280">
        <v>39735.009999999995</v>
      </c>
      <c r="BL63" s="280">
        <v>0</v>
      </c>
      <c r="BM63" s="280"/>
      <c r="BN63" s="280">
        <v>431558.25</v>
      </c>
      <c r="BO63" s="280">
        <v>0</v>
      </c>
      <c r="BP63" s="280">
        <v>0</v>
      </c>
      <c r="BQ63" s="280"/>
      <c r="BR63" s="280">
        <v>8400</v>
      </c>
      <c r="BS63" s="280"/>
      <c r="BT63" s="280"/>
      <c r="BU63" s="280"/>
      <c r="BV63" s="280">
        <v>0</v>
      </c>
      <c r="BW63" s="280">
        <v>0</v>
      </c>
      <c r="BX63" s="280"/>
      <c r="BY63" s="280">
        <v>0</v>
      </c>
      <c r="BZ63" s="280"/>
      <c r="CA63" s="280">
        <v>0</v>
      </c>
      <c r="CB63" s="280"/>
      <c r="CC63" s="280">
        <v>0</v>
      </c>
      <c r="CD63" s="24" t="s">
        <v>247</v>
      </c>
      <c r="CE63" s="25">
        <f t="shared" si="6"/>
        <v>13190696.940000001</v>
      </c>
    </row>
    <row r="64" spans="1:83" x14ac:dyDescent="0.25">
      <c r="A64" s="31" t="s">
        <v>264</v>
      </c>
      <c r="B64" s="16"/>
      <c r="C64" s="273">
        <v>251135.42</v>
      </c>
      <c r="D64" s="273"/>
      <c r="E64" s="273">
        <v>357507.48000000004</v>
      </c>
      <c r="F64" s="273"/>
      <c r="G64" s="273"/>
      <c r="H64" s="273"/>
      <c r="I64" s="273"/>
      <c r="J64" s="273">
        <v>32550.93</v>
      </c>
      <c r="K64" s="273"/>
      <c r="L64" s="273"/>
      <c r="M64" s="273"/>
      <c r="N64" s="273"/>
      <c r="O64" s="273">
        <v>111244.88000000002</v>
      </c>
      <c r="P64" s="275">
        <v>1209433.19</v>
      </c>
      <c r="Q64" s="275">
        <v>134719.05000000002</v>
      </c>
      <c r="R64" s="275">
        <v>68236.73000000001</v>
      </c>
      <c r="S64" s="280">
        <v>4585442.22</v>
      </c>
      <c r="T64" s="280"/>
      <c r="U64" s="276">
        <v>2122248.7499999995</v>
      </c>
      <c r="V64" s="275"/>
      <c r="W64" s="275">
        <v>10918.57</v>
      </c>
      <c r="X64" s="275">
        <v>114159.90000000002</v>
      </c>
      <c r="Y64" s="275">
        <v>121693.50000000001</v>
      </c>
      <c r="Z64" s="275"/>
      <c r="AA64" s="275">
        <v>53156.59</v>
      </c>
      <c r="AB64" s="281">
        <v>3503486.6599999997</v>
      </c>
      <c r="AC64" s="275">
        <v>144693.18</v>
      </c>
      <c r="AD64" s="275"/>
      <c r="AE64" s="275">
        <v>44316.22</v>
      </c>
      <c r="AF64" s="275"/>
      <c r="AG64" s="275">
        <v>407783.67000000004</v>
      </c>
      <c r="AH64" s="275"/>
      <c r="AI64" s="275"/>
      <c r="AJ64" s="275"/>
      <c r="AK64" s="275"/>
      <c r="AL64" s="275"/>
      <c r="AM64" s="275"/>
      <c r="AN64" s="275"/>
      <c r="AO64" s="275"/>
      <c r="AP64" s="275">
        <v>1478812.18</v>
      </c>
      <c r="AQ64" s="275"/>
      <c r="AR64" s="275"/>
      <c r="AS64" s="275"/>
      <c r="AT64" s="275"/>
      <c r="AU64" s="275"/>
      <c r="AV64" s="280">
        <v>9377.17</v>
      </c>
      <c r="AW64" s="280"/>
      <c r="AX64" s="280"/>
      <c r="AY64" s="275">
        <v>1032202.11</v>
      </c>
      <c r="AZ64" s="275"/>
      <c r="BA64" s="280">
        <v>19575.21</v>
      </c>
      <c r="BB64" s="280"/>
      <c r="BC64" s="280"/>
      <c r="BD64" s="280">
        <v>16111.02</v>
      </c>
      <c r="BE64" s="275">
        <v>128428.65999999999</v>
      </c>
      <c r="BF64" s="280">
        <v>180212.99000000002</v>
      </c>
      <c r="BG64" s="280"/>
      <c r="BH64" s="280">
        <v>96773.510000000009</v>
      </c>
      <c r="BI64" s="280"/>
      <c r="BJ64" s="280">
        <v>3606.64</v>
      </c>
      <c r="BK64" s="280">
        <v>15420.65</v>
      </c>
      <c r="BL64" s="280">
        <v>13850.08</v>
      </c>
      <c r="BM64" s="280"/>
      <c r="BN64" s="280">
        <v>17125.71</v>
      </c>
      <c r="BO64" s="280">
        <v>26787.86</v>
      </c>
      <c r="BP64" s="280">
        <v>6863.9199999999992</v>
      </c>
      <c r="BQ64" s="280"/>
      <c r="BR64" s="280">
        <v>13455.12</v>
      </c>
      <c r="BS64" s="280"/>
      <c r="BT64" s="280"/>
      <c r="BU64" s="280"/>
      <c r="BV64" s="280">
        <v>7851.9</v>
      </c>
      <c r="BW64" s="280">
        <v>1130.3599999999999</v>
      </c>
      <c r="BX64" s="280"/>
      <c r="BY64" s="280">
        <v>9017.84</v>
      </c>
      <c r="BZ64" s="280"/>
      <c r="CA64" s="280">
        <v>7141.91</v>
      </c>
      <c r="CB64" s="280"/>
      <c r="CC64" s="280">
        <v>20934.79</v>
      </c>
      <c r="CD64" s="24" t="s">
        <v>247</v>
      </c>
      <c r="CE64" s="25">
        <f t="shared" si="6"/>
        <v>16377406.57</v>
      </c>
    </row>
    <row r="65" spans="1:83" x14ac:dyDescent="0.25">
      <c r="A65" s="31" t="s">
        <v>265</v>
      </c>
      <c r="B65" s="16"/>
      <c r="C65" s="273">
        <v>546.54999999999995</v>
      </c>
      <c r="D65" s="273"/>
      <c r="E65" s="273">
        <v>1209.1100000000004</v>
      </c>
      <c r="F65" s="273"/>
      <c r="G65" s="273"/>
      <c r="H65" s="273"/>
      <c r="I65" s="273"/>
      <c r="J65" s="273">
        <v>0</v>
      </c>
      <c r="K65" s="273"/>
      <c r="L65" s="273"/>
      <c r="M65" s="273"/>
      <c r="N65" s="273"/>
      <c r="O65" s="273">
        <v>0</v>
      </c>
      <c r="P65" s="275">
        <v>793.94</v>
      </c>
      <c r="Q65" s="275">
        <v>0</v>
      </c>
      <c r="R65" s="275">
        <v>0</v>
      </c>
      <c r="S65" s="280">
        <v>0</v>
      </c>
      <c r="T65" s="280"/>
      <c r="U65" s="276">
        <v>0</v>
      </c>
      <c r="V65" s="275"/>
      <c r="W65" s="275">
        <v>0</v>
      </c>
      <c r="X65" s="275">
        <v>0</v>
      </c>
      <c r="Y65" s="275">
        <v>558.09999999999991</v>
      </c>
      <c r="Z65" s="275"/>
      <c r="AA65" s="275">
        <v>0</v>
      </c>
      <c r="AB65" s="281">
        <v>0</v>
      </c>
      <c r="AC65" s="275">
        <v>0</v>
      </c>
      <c r="AD65" s="275"/>
      <c r="AE65" s="275">
        <v>0</v>
      </c>
      <c r="AF65" s="275"/>
      <c r="AG65" s="275">
        <v>0</v>
      </c>
      <c r="AH65" s="275"/>
      <c r="AI65" s="275"/>
      <c r="AJ65" s="275"/>
      <c r="AK65" s="275"/>
      <c r="AL65" s="275"/>
      <c r="AM65" s="275"/>
      <c r="AN65" s="275"/>
      <c r="AO65" s="275"/>
      <c r="AP65" s="275">
        <v>68208.960000000006</v>
      </c>
      <c r="AQ65" s="275"/>
      <c r="AR65" s="275"/>
      <c r="AS65" s="275"/>
      <c r="AT65" s="275"/>
      <c r="AU65" s="275"/>
      <c r="AV65" s="280">
        <v>0</v>
      </c>
      <c r="AW65" s="280"/>
      <c r="AX65" s="280"/>
      <c r="AY65" s="275">
        <v>0</v>
      </c>
      <c r="AZ65" s="275"/>
      <c r="BA65" s="280">
        <v>0</v>
      </c>
      <c r="BB65" s="280"/>
      <c r="BC65" s="280"/>
      <c r="BD65" s="280">
        <v>2882.96</v>
      </c>
      <c r="BE65" s="275">
        <v>787523.68000000017</v>
      </c>
      <c r="BF65" s="280">
        <v>202620.83000000002</v>
      </c>
      <c r="BG65" s="280"/>
      <c r="BH65" s="280">
        <v>242662.08</v>
      </c>
      <c r="BI65" s="280"/>
      <c r="BJ65" s="280">
        <v>0</v>
      </c>
      <c r="BK65" s="280">
        <v>0</v>
      </c>
      <c r="BL65" s="280">
        <v>0</v>
      </c>
      <c r="BM65" s="280"/>
      <c r="BN65" s="280">
        <v>905.6</v>
      </c>
      <c r="BO65" s="280">
        <v>137.13</v>
      </c>
      <c r="BP65" s="280">
        <v>0</v>
      </c>
      <c r="BQ65" s="280"/>
      <c r="BR65" s="280">
        <v>1990.2899999999997</v>
      </c>
      <c r="BS65" s="280"/>
      <c r="BT65" s="280"/>
      <c r="BU65" s="280"/>
      <c r="BV65" s="280">
        <v>929.74</v>
      </c>
      <c r="BW65" s="280">
        <v>0</v>
      </c>
      <c r="BX65" s="280"/>
      <c r="BY65" s="280">
        <v>701.62999999999988</v>
      </c>
      <c r="BZ65" s="280"/>
      <c r="CA65" s="280">
        <v>0</v>
      </c>
      <c r="CB65" s="280"/>
      <c r="CC65" s="280">
        <v>3427.11</v>
      </c>
      <c r="CD65" s="24" t="s">
        <v>247</v>
      </c>
      <c r="CE65" s="25">
        <f t="shared" si="6"/>
        <v>1315097.7100000002</v>
      </c>
    </row>
    <row r="66" spans="1:83" x14ac:dyDescent="0.25">
      <c r="A66" s="31" t="s">
        <v>266</v>
      </c>
      <c r="B66" s="16"/>
      <c r="C66" s="273">
        <v>8509.59</v>
      </c>
      <c r="D66" s="273"/>
      <c r="E66" s="273">
        <v>18612.48</v>
      </c>
      <c r="F66" s="273"/>
      <c r="G66" s="273"/>
      <c r="H66" s="273"/>
      <c r="I66" s="273"/>
      <c r="J66" s="273">
        <v>6075.04</v>
      </c>
      <c r="K66" s="273"/>
      <c r="L66" s="273"/>
      <c r="M66" s="273"/>
      <c r="N66" s="273"/>
      <c r="O66" s="273">
        <v>5895.1599999999989</v>
      </c>
      <c r="P66" s="275">
        <v>322371.99000000005</v>
      </c>
      <c r="Q66" s="275">
        <v>2046.62</v>
      </c>
      <c r="R66" s="275">
        <v>46085.530000000006</v>
      </c>
      <c r="S66" s="280">
        <v>68208.45</v>
      </c>
      <c r="T66" s="280"/>
      <c r="U66" s="276">
        <v>1164884.8900000001</v>
      </c>
      <c r="V66" s="275"/>
      <c r="W66" s="275">
        <v>4149.6000000000004</v>
      </c>
      <c r="X66" s="275">
        <v>146895.86000000002</v>
      </c>
      <c r="Y66" s="275">
        <v>1062287.3600000001</v>
      </c>
      <c r="Z66" s="275"/>
      <c r="AA66" s="275">
        <v>0</v>
      </c>
      <c r="AB66" s="281">
        <v>402198.48000000004</v>
      </c>
      <c r="AC66" s="275">
        <v>91920.320000000007</v>
      </c>
      <c r="AD66" s="275"/>
      <c r="AE66" s="275">
        <v>10910.78</v>
      </c>
      <c r="AF66" s="275"/>
      <c r="AG66" s="275">
        <v>491095.66000000003</v>
      </c>
      <c r="AH66" s="275"/>
      <c r="AI66" s="275"/>
      <c r="AJ66" s="275"/>
      <c r="AK66" s="275"/>
      <c r="AL66" s="275"/>
      <c r="AM66" s="275"/>
      <c r="AN66" s="275"/>
      <c r="AO66" s="275"/>
      <c r="AP66" s="275">
        <v>354119.47000000003</v>
      </c>
      <c r="AQ66" s="275"/>
      <c r="AR66" s="275"/>
      <c r="AS66" s="275"/>
      <c r="AT66" s="275"/>
      <c r="AU66" s="275"/>
      <c r="AV66" s="280">
        <v>14741.85</v>
      </c>
      <c r="AW66" s="280"/>
      <c r="AX66" s="280"/>
      <c r="AY66" s="275">
        <v>9164.86</v>
      </c>
      <c r="AZ66" s="275"/>
      <c r="BA66" s="280">
        <v>290696.68</v>
      </c>
      <c r="BB66" s="280"/>
      <c r="BC66" s="280"/>
      <c r="BD66" s="280">
        <v>41687.830000000009</v>
      </c>
      <c r="BE66" s="275">
        <v>807547.44000000006</v>
      </c>
      <c r="BF66" s="280">
        <v>81505.899999999994</v>
      </c>
      <c r="BG66" s="280"/>
      <c r="BH66" s="280">
        <v>3974034.3799999994</v>
      </c>
      <c r="BI66" s="280"/>
      <c r="BJ66" s="280">
        <v>4666.34</v>
      </c>
      <c r="BK66" s="280">
        <v>288872.95999999996</v>
      </c>
      <c r="BL66" s="280">
        <v>2823.07</v>
      </c>
      <c r="BM66" s="280"/>
      <c r="BN66" s="280">
        <v>420057.18</v>
      </c>
      <c r="BO66" s="280">
        <v>55479.249999999993</v>
      </c>
      <c r="BP66" s="280">
        <v>292050.01</v>
      </c>
      <c r="BQ66" s="280"/>
      <c r="BR66" s="280">
        <v>404118.64</v>
      </c>
      <c r="BS66" s="280"/>
      <c r="BT66" s="280"/>
      <c r="BU66" s="280"/>
      <c r="BV66" s="280">
        <v>6397.2</v>
      </c>
      <c r="BW66" s="280">
        <v>67598.19</v>
      </c>
      <c r="BX66" s="280"/>
      <c r="BY66" s="280">
        <v>227279.73</v>
      </c>
      <c r="BZ66" s="280"/>
      <c r="CA66" s="280">
        <v>55587.22</v>
      </c>
      <c r="CB66" s="280"/>
      <c r="CC66" s="280">
        <v>1040525.22</v>
      </c>
      <c r="CD66" s="24" t="s">
        <v>247</v>
      </c>
      <c r="CE66" s="25">
        <f t="shared" si="6"/>
        <v>12291101.23</v>
      </c>
    </row>
    <row r="67" spans="1:83" x14ac:dyDescent="0.25">
      <c r="A67" s="31" t="s">
        <v>15</v>
      </c>
      <c r="B67" s="16"/>
      <c r="C67" s="25">
        <f t="shared" ref="C67:AH67" si="10">ROUND(C51+C52,0)</f>
        <v>427311</v>
      </c>
      <c r="D67" s="25">
        <f t="shared" si="10"/>
        <v>0</v>
      </c>
      <c r="E67" s="25">
        <f t="shared" si="10"/>
        <v>1252431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31599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63920</v>
      </c>
      <c r="P67" s="25">
        <f t="shared" si="10"/>
        <v>430458</v>
      </c>
      <c r="Q67" s="25">
        <f t="shared" si="10"/>
        <v>468547</v>
      </c>
      <c r="R67" s="25">
        <f t="shared" si="10"/>
        <v>20454</v>
      </c>
      <c r="S67" s="25">
        <f t="shared" si="10"/>
        <v>194709</v>
      </c>
      <c r="T67" s="25">
        <f t="shared" si="10"/>
        <v>0</v>
      </c>
      <c r="U67" s="25">
        <f t="shared" si="10"/>
        <v>287999</v>
      </c>
      <c r="V67" s="25">
        <f t="shared" si="10"/>
        <v>0</v>
      </c>
      <c r="W67" s="25">
        <f t="shared" si="10"/>
        <v>140099</v>
      </c>
      <c r="X67" s="25">
        <f t="shared" si="10"/>
        <v>51922</v>
      </c>
      <c r="Y67" s="25">
        <f t="shared" si="10"/>
        <v>483822</v>
      </c>
      <c r="Z67" s="25">
        <f t="shared" si="10"/>
        <v>0</v>
      </c>
      <c r="AA67" s="25">
        <f t="shared" si="10"/>
        <v>45235</v>
      </c>
      <c r="AB67" s="25">
        <f t="shared" si="10"/>
        <v>251286</v>
      </c>
      <c r="AC67" s="25">
        <f t="shared" si="10"/>
        <v>52840</v>
      </c>
      <c r="AD67" s="25">
        <f t="shared" si="10"/>
        <v>0</v>
      </c>
      <c r="AE67" s="25">
        <f t="shared" si="10"/>
        <v>528009</v>
      </c>
      <c r="AF67" s="25">
        <f t="shared" si="10"/>
        <v>0</v>
      </c>
      <c r="AG67" s="25">
        <f t="shared" si="10"/>
        <v>625626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2771624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17570</v>
      </c>
      <c r="AW67" s="25">
        <f t="shared" si="11"/>
        <v>0</v>
      </c>
      <c r="AX67" s="25">
        <f t="shared" si="11"/>
        <v>0</v>
      </c>
      <c r="AY67" s="25">
        <f t="shared" si="11"/>
        <v>330415</v>
      </c>
      <c r="AZ67" s="25">
        <f t="shared" si="11"/>
        <v>0</v>
      </c>
      <c r="BA67" s="25">
        <f t="shared" si="11"/>
        <v>95781</v>
      </c>
      <c r="BB67" s="25">
        <f t="shared" si="11"/>
        <v>0</v>
      </c>
      <c r="BC67" s="25">
        <f t="shared" si="11"/>
        <v>0</v>
      </c>
      <c r="BD67" s="25">
        <f t="shared" si="11"/>
        <v>223030</v>
      </c>
      <c r="BE67" s="25">
        <f t="shared" si="11"/>
        <v>1946697</v>
      </c>
      <c r="BF67" s="25">
        <f t="shared" si="11"/>
        <v>132166</v>
      </c>
      <c r="BG67" s="25">
        <f t="shared" si="11"/>
        <v>0</v>
      </c>
      <c r="BH67" s="25">
        <f t="shared" si="11"/>
        <v>557314</v>
      </c>
      <c r="BI67" s="25">
        <f t="shared" si="11"/>
        <v>0</v>
      </c>
      <c r="BJ67" s="25">
        <f t="shared" si="11"/>
        <v>0</v>
      </c>
      <c r="BK67" s="25">
        <f t="shared" si="11"/>
        <v>191890</v>
      </c>
      <c r="BL67" s="25">
        <f t="shared" si="11"/>
        <v>242173</v>
      </c>
      <c r="BM67" s="25">
        <f t="shared" si="11"/>
        <v>0</v>
      </c>
      <c r="BN67" s="25">
        <f t="shared" si="11"/>
        <v>639655</v>
      </c>
      <c r="BO67" s="25">
        <f t="shared" ref="BO67:CC67" si="12">ROUND(BO51+BO52,0)</f>
        <v>8982</v>
      </c>
      <c r="BP67" s="25">
        <f t="shared" si="12"/>
        <v>186711</v>
      </c>
      <c r="BQ67" s="25">
        <f t="shared" si="12"/>
        <v>0</v>
      </c>
      <c r="BR67" s="25">
        <f t="shared" si="12"/>
        <v>139574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298029</v>
      </c>
      <c r="BW67" s="25">
        <f t="shared" si="12"/>
        <v>67001</v>
      </c>
      <c r="BX67" s="25">
        <f t="shared" si="12"/>
        <v>0</v>
      </c>
      <c r="BY67" s="25">
        <f t="shared" si="12"/>
        <v>60314</v>
      </c>
      <c r="BZ67" s="25">
        <f t="shared" si="12"/>
        <v>0</v>
      </c>
      <c r="CA67" s="25">
        <f t="shared" si="12"/>
        <v>68574</v>
      </c>
      <c r="CB67" s="25">
        <f t="shared" si="12"/>
        <v>0</v>
      </c>
      <c r="CC67" s="25">
        <f t="shared" si="12"/>
        <v>188874</v>
      </c>
      <c r="CD67" s="24" t="s">
        <v>247</v>
      </c>
      <c r="CE67" s="25">
        <f t="shared" si="6"/>
        <v>13522641</v>
      </c>
    </row>
    <row r="68" spans="1:83" x14ac:dyDescent="0.25">
      <c r="A68" s="31" t="s">
        <v>267</v>
      </c>
      <c r="B68" s="25"/>
      <c r="C68" s="273">
        <v>114.53</v>
      </c>
      <c r="D68" s="273" t="s">
        <v>390</v>
      </c>
      <c r="E68" s="273">
        <v>296.76</v>
      </c>
      <c r="F68" s="273"/>
      <c r="G68" s="273"/>
      <c r="H68" s="273"/>
      <c r="I68" s="273"/>
      <c r="J68" s="273"/>
      <c r="K68" s="273"/>
      <c r="L68" s="273"/>
      <c r="M68" s="273"/>
      <c r="N68" s="273"/>
      <c r="O68" s="273">
        <v>0</v>
      </c>
      <c r="P68" s="275">
        <v>50161.53</v>
      </c>
      <c r="Q68" s="275">
        <v>0</v>
      </c>
      <c r="R68" s="275">
        <v>3216.9</v>
      </c>
      <c r="S68" s="280">
        <v>0</v>
      </c>
      <c r="T68" s="280"/>
      <c r="U68" s="276">
        <v>0</v>
      </c>
      <c r="V68" s="275"/>
      <c r="W68" s="275">
        <v>0</v>
      </c>
      <c r="X68" s="275">
        <v>0</v>
      </c>
      <c r="Y68" s="275">
        <v>828.2299999999999</v>
      </c>
      <c r="Z68" s="275"/>
      <c r="AA68" s="275">
        <v>0</v>
      </c>
      <c r="AB68" s="281">
        <v>0</v>
      </c>
      <c r="AC68" s="275">
        <v>19825.3</v>
      </c>
      <c r="AD68" s="275"/>
      <c r="AE68" s="275">
        <v>0</v>
      </c>
      <c r="AF68" s="275"/>
      <c r="AG68" s="275">
        <v>193.39</v>
      </c>
      <c r="AH68" s="275"/>
      <c r="AI68" s="275"/>
      <c r="AJ68" s="275"/>
      <c r="AK68" s="275"/>
      <c r="AL68" s="275"/>
      <c r="AM68" s="275"/>
      <c r="AN68" s="275"/>
      <c r="AO68" s="275"/>
      <c r="AP68" s="275">
        <v>-14380.08</v>
      </c>
      <c r="AQ68" s="275"/>
      <c r="AR68" s="275"/>
      <c r="AS68" s="275"/>
      <c r="AT68" s="275"/>
      <c r="AU68" s="275"/>
      <c r="AV68" s="280"/>
      <c r="AW68" s="280"/>
      <c r="AX68" s="280"/>
      <c r="AY68" s="275"/>
      <c r="AZ68" s="275"/>
      <c r="BA68" s="280"/>
      <c r="BB68" s="280"/>
      <c r="BC68" s="280"/>
      <c r="BD68" s="280">
        <v>9845.73</v>
      </c>
      <c r="BE68" s="275">
        <v>5351.2200000000021</v>
      </c>
      <c r="BF68" s="280"/>
      <c r="BG68" s="280"/>
      <c r="BH68" s="280">
        <v>202836.71999999997</v>
      </c>
      <c r="BI68" s="280"/>
      <c r="BJ68" s="280">
        <v>-11.510000000000002</v>
      </c>
      <c r="BK68" s="280">
        <v>4278.6000000000013</v>
      </c>
      <c r="BL68" s="280"/>
      <c r="BM68" s="280"/>
      <c r="BN68" s="280">
        <v>24665.95</v>
      </c>
      <c r="BO68" s="280"/>
      <c r="BP68" s="280">
        <v>715</v>
      </c>
      <c r="BQ68" s="280"/>
      <c r="BR68" s="280">
        <v>24870</v>
      </c>
      <c r="BS68" s="280"/>
      <c r="BT68" s="280"/>
      <c r="BU68" s="280"/>
      <c r="BV68" s="280">
        <v>-5.4000000000000012</v>
      </c>
      <c r="BW68" s="280">
        <v>1315.92</v>
      </c>
      <c r="BX68" s="280"/>
      <c r="BY68" s="280"/>
      <c r="BZ68" s="280"/>
      <c r="CA68" s="280">
        <v>-4263.8400000000011</v>
      </c>
      <c r="CB68" s="280"/>
      <c r="CC68" s="280">
        <v>2.16</v>
      </c>
      <c r="CD68" s="24" t="s">
        <v>247</v>
      </c>
      <c r="CE68" s="25">
        <f t="shared" si="6"/>
        <v>329857.10999999987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583.91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640.01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7101.3</v>
      </c>
      <c r="P69" s="25">
        <f t="shared" si="13"/>
        <v>11966.85</v>
      </c>
      <c r="Q69" s="25">
        <f t="shared" si="13"/>
        <v>910.97</v>
      </c>
      <c r="R69" s="25">
        <f t="shared" si="13"/>
        <v>20140.830000000002</v>
      </c>
      <c r="S69" s="25">
        <f t="shared" si="13"/>
        <v>0</v>
      </c>
      <c r="T69" s="25">
        <f t="shared" si="13"/>
        <v>0</v>
      </c>
      <c r="U69" s="25">
        <f t="shared" si="13"/>
        <v>25788.57</v>
      </c>
      <c r="V69" s="25">
        <f t="shared" si="13"/>
        <v>0</v>
      </c>
      <c r="W69" s="25">
        <f t="shared" si="13"/>
        <v>1910.49</v>
      </c>
      <c r="X69" s="25">
        <f t="shared" si="13"/>
        <v>0</v>
      </c>
      <c r="Y69" s="25">
        <f t="shared" si="13"/>
        <v>6997.67</v>
      </c>
      <c r="Z69" s="25">
        <f t="shared" si="13"/>
        <v>0</v>
      </c>
      <c r="AA69" s="25">
        <f t="shared" si="13"/>
        <v>6608</v>
      </c>
      <c r="AB69" s="25">
        <f t="shared" si="13"/>
        <v>30248.25</v>
      </c>
      <c r="AC69" s="25">
        <f t="shared" si="13"/>
        <v>430</v>
      </c>
      <c r="AD69" s="25">
        <f t="shared" si="13"/>
        <v>0</v>
      </c>
      <c r="AE69" s="25">
        <f t="shared" si="13"/>
        <v>8456.26</v>
      </c>
      <c r="AF69" s="25">
        <f t="shared" si="13"/>
        <v>0</v>
      </c>
      <c r="AG69" s="25">
        <f t="shared" si="13"/>
        <v>66979.23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0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522325.07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4035.85</v>
      </c>
      <c r="AW69" s="25">
        <f t="shared" si="14"/>
        <v>0</v>
      </c>
      <c r="AX69" s="25">
        <f t="shared" si="14"/>
        <v>0</v>
      </c>
      <c r="AY69" s="25">
        <f t="shared" si="14"/>
        <v>23969.91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71302.880000000005</v>
      </c>
      <c r="BE69" s="25">
        <f t="shared" si="14"/>
        <v>24695.61</v>
      </c>
      <c r="BF69" s="25">
        <f t="shared" si="14"/>
        <v>7673.82</v>
      </c>
      <c r="BG69" s="25">
        <f t="shared" si="14"/>
        <v>0</v>
      </c>
      <c r="BH69" s="25">
        <f t="shared" si="14"/>
        <v>943217.25999999989</v>
      </c>
      <c r="BI69" s="25">
        <f t="shared" si="14"/>
        <v>0</v>
      </c>
      <c r="BJ69" s="25">
        <f t="shared" si="14"/>
        <v>172156.05</v>
      </c>
      <c r="BK69" s="25">
        <f t="shared" si="14"/>
        <v>4530.41</v>
      </c>
      <c r="BL69" s="25">
        <f t="shared" si="14"/>
        <v>1098.51</v>
      </c>
      <c r="BM69" s="25">
        <f t="shared" si="14"/>
        <v>0</v>
      </c>
      <c r="BN69" s="25">
        <f t="shared" si="14"/>
        <v>337983.29000000004</v>
      </c>
      <c r="BO69" s="25">
        <f t="shared" ref="BO69:CE69" si="15">SUM(BO70:BO83)</f>
        <v>2857.53</v>
      </c>
      <c r="BP69" s="25">
        <f t="shared" si="15"/>
        <v>75399.38</v>
      </c>
      <c r="BQ69" s="25">
        <f t="shared" si="15"/>
        <v>0</v>
      </c>
      <c r="BR69" s="25">
        <f t="shared" si="15"/>
        <v>431746.32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15766.94</v>
      </c>
      <c r="BW69" s="25">
        <f t="shared" si="15"/>
        <v>59194.58</v>
      </c>
      <c r="BX69" s="25">
        <f t="shared" si="15"/>
        <v>0</v>
      </c>
      <c r="BY69" s="25">
        <f t="shared" si="15"/>
        <v>30764.21</v>
      </c>
      <c r="BZ69" s="25">
        <f t="shared" si="15"/>
        <v>0</v>
      </c>
      <c r="CA69" s="25">
        <f t="shared" si="15"/>
        <v>17096.46</v>
      </c>
      <c r="CB69" s="25">
        <f t="shared" si="15"/>
        <v>0</v>
      </c>
      <c r="CC69" s="25">
        <f t="shared" si="15"/>
        <v>41908.89</v>
      </c>
      <c r="CD69" s="25">
        <f t="shared" si="15"/>
        <v>3943778.4099999992</v>
      </c>
      <c r="CE69" s="25">
        <f t="shared" si="15"/>
        <v>6920263.7199999988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0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0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82"/>
      <c r="BK77" s="282"/>
      <c r="BL77" s="282"/>
      <c r="BM77" s="282"/>
      <c r="BN77" s="282"/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0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0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/>
      <c r="CE81" s="25">
        <f t="shared" si="16"/>
        <v>0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/>
      <c r="D83" s="273"/>
      <c r="E83" s="275">
        <v>583.91</v>
      </c>
      <c r="F83" s="275"/>
      <c r="G83" s="273"/>
      <c r="H83" s="273"/>
      <c r="I83" s="275"/>
      <c r="J83" s="275">
        <v>640.01</v>
      </c>
      <c r="K83" s="275"/>
      <c r="L83" s="275"/>
      <c r="M83" s="273"/>
      <c r="N83" s="273"/>
      <c r="O83" s="273">
        <v>7101.3</v>
      </c>
      <c r="P83" s="275">
        <v>11966.85</v>
      </c>
      <c r="Q83" s="275">
        <v>910.97</v>
      </c>
      <c r="R83" s="276">
        <v>20140.830000000002</v>
      </c>
      <c r="S83" s="275">
        <v>0</v>
      </c>
      <c r="T83" s="273"/>
      <c r="U83" s="275">
        <v>25788.57</v>
      </c>
      <c r="V83" s="275"/>
      <c r="W83" s="273">
        <v>1910.49</v>
      </c>
      <c r="X83" s="275">
        <v>0</v>
      </c>
      <c r="Y83" s="275">
        <v>6997.67</v>
      </c>
      <c r="Z83" s="275"/>
      <c r="AA83" s="275">
        <v>6608</v>
      </c>
      <c r="AB83" s="275">
        <v>30248.25</v>
      </c>
      <c r="AC83" s="275">
        <v>430</v>
      </c>
      <c r="AD83" s="275"/>
      <c r="AE83" s="275">
        <v>8456.26</v>
      </c>
      <c r="AF83" s="275"/>
      <c r="AG83" s="275">
        <v>66979.23</v>
      </c>
      <c r="AH83" s="275"/>
      <c r="AI83" s="275"/>
      <c r="AJ83" s="275"/>
      <c r="AK83" s="275"/>
      <c r="AL83" s="275"/>
      <c r="AM83" s="275"/>
      <c r="AN83" s="275"/>
      <c r="AO83" s="273"/>
      <c r="AP83" s="275">
        <v>522325.07</v>
      </c>
      <c r="AQ83" s="273"/>
      <c r="AR83" s="273"/>
      <c r="AS83" s="273"/>
      <c r="AT83" s="273"/>
      <c r="AU83" s="275"/>
      <c r="AV83" s="275">
        <v>4035.85</v>
      </c>
      <c r="AW83" s="275"/>
      <c r="AX83" s="275"/>
      <c r="AY83" s="275">
        <v>23969.91</v>
      </c>
      <c r="AZ83" s="275"/>
      <c r="BA83" s="275"/>
      <c r="BB83" s="275"/>
      <c r="BC83" s="275"/>
      <c r="BD83" s="275">
        <v>71302.880000000005</v>
      </c>
      <c r="BE83" s="275">
        <v>24695.61</v>
      </c>
      <c r="BF83" s="275">
        <v>7673.82</v>
      </c>
      <c r="BG83" s="275"/>
      <c r="BH83" s="276">
        <v>943217.25999999989</v>
      </c>
      <c r="BI83" s="275"/>
      <c r="BJ83" s="275">
        <v>172156.05</v>
      </c>
      <c r="BK83" s="275">
        <v>4530.41</v>
      </c>
      <c r="BL83" s="275">
        <v>1098.51</v>
      </c>
      <c r="BM83" s="275"/>
      <c r="BN83" s="275">
        <v>337983.29000000004</v>
      </c>
      <c r="BO83" s="275">
        <v>2857.53</v>
      </c>
      <c r="BP83" s="275">
        <v>75399.38</v>
      </c>
      <c r="BQ83" s="275"/>
      <c r="BR83" s="275">
        <v>431746.32</v>
      </c>
      <c r="BS83" s="275"/>
      <c r="BT83" s="275"/>
      <c r="BU83" s="275"/>
      <c r="BV83" s="275">
        <v>15766.94</v>
      </c>
      <c r="BW83" s="275">
        <v>59194.58</v>
      </c>
      <c r="BX83" s="275"/>
      <c r="BY83" s="275">
        <v>30764.21</v>
      </c>
      <c r="BZ83" s="275"/>
      <c r="CA83" s="275">
        <v>17096.46</v>
      </c>
      <c r="CB83" s="275"/>
      <c r="CC83" s="275">
        <v>41908.89</v>
      </c>
      <c r="CD83" s="282">
        <v>3943778.4099999992</v>
      </c>
      <c r="CE83" s="25">
        <f t="shared" si="16"/>
        <v>6920263.7199999988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>
        <v>205.62</v>
      </c>
      <c r="V84" s="273"/>
      <c r="W84" s="273"/>
      <c r="X84" s="273"/>
      <c r="Y84" s="273"/>
      <c r="Z84" s="273"/>
      <c r="AA84" s="273">
        <v>0</v>
      </c>
      <c r="AB84" s="273">
        <v>3627252.13</v>
      </c>
      <c r="AC84" s="273">
        <v>0</v>
      </c>
      <c r="AD84" s="273"/>
      <c r="AE84" s="273">
        <v>0</v>
      </c>
      <c r="AF84" s="273"/>
      <c r="AG84" s="273">
        <v>0</v>
      </c>
      <c r="AH84" s="273"/>
      <c r="AI84" s="273"/>
      <c r="AJ84" s="273"/>
      <c r="AK84" s="273"/>
      <c r="AL84" s="273"/>
      <c r="AM84" s="273"/>
      <c r="AN84" s="273"/>
      <c r="AO84" s="273"/>
      <c r="AP84" s="273">
        <v>158209.93</v>
      </c>
      <c r="AQ84" s="273"/>
      <c r="AR84" s="273"/>
      <c r="AS84" s="273"/>
      <c r="AT84" s="273"/>
      <c r="AU84" s="273"/>
      <c r="AV84" s="273"/>
      <c r="AW84" s="273"/>
      <c r="AX84" s="273"/>
      <c r="AY84" s="273">
        <v>657680.12000000011</v>
      </c>
      <c r="AZ84" s="273"/>
      <c r="BA84" s="273"/>
      <c r="BB84" s="273"/>
      <c r="BC84" s="273"/>
      <c r="BD84" s="273">
        <v>4039.54</v>
      </c>
      <c r="BE84" s="273"/>
      <c r="BF84" s="273">
        <v>0</v>
      </c>
      <c r="BG84" s="273"/>
      <c r="BH84" s="273"/>
      <c r="BI84" s="273"/>
      <c r="BJ84" s="273">
        <v>0</v>
      </c>
      <c r="BK84" s="273">
        <v>536.78999999999985</v>
      </c>
      <c r="BL84" s="273">
        <v>0</v>
      </c>
      <c r="BM84" s="273"/>
      <c r="BN84" s="273">
        <v>101661</v>
      </c>
      <c r="BO84" s="273">
        <v>2530</v>
      </c>
      <c r="BP84" s="273">
        <v>0</v>
      </c>
      <c r="BQ84" s="273"/>
      <c r="BR84" s="273">
        <v>0</v>
      </c>
      <c r="BS84" s="273"/>
      <c r="BT84" s="273"/>
      <c r="BU84" s="273"/>
      <c r="BV84" s="273">
        <v>29028.41</v>
      </c>
      <c r="BW84" s="273">
        <v>7225</v>
      </c>
      <c r="BX84" s="273"/>
      <c r="BY84" s="273">
        <v>0</v>
      </c>
      <c r="BZ84" s="273"/>
      <c r="CA84" s="273">
        <v>0</v>
      </c>
      <c r="CB84" s="273"/>
      <c r="CC84" s="273">
        <v>0</v>
      </c>
      <c r="CD84" s="282">
        <v>12212264.810000002</v>
      </c>
      <c r="CE84" s="25">
        <f t="shared" si="16"/>
        <v>16800633.350000001</v>
      </c>
    </row>
    <row r="85" spans="1:84" x14ac:dyDescent="0.25">
      <c r="A85" s="31" t="s">
        <v>284</v>
      </c>
      <c r="B85" s="25"/>
      <c r="C85" s="25">
        <f t="shared" ref="C85:AH85" si="17">SUM(C61:C69)-C84</f>
        <v>4045718.9499999997</v>
      </c>
      <c r="D85" s="25">
        <f t="shared" si="17"/>
        <v>0</v>
      </c>
      <c r="E85" s="25">
        <f t="shared" si="17"/>
        <v>9656145.3800000008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70864.98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514477.38999999996</v>
      </c>
      <c r="P85" s="25">
        <f t="shared" si="17"/>
        <v>4746167.7899999991</v>
      </c>
      <c r="Q85" s="25">
        <f t="shared" si="17"/>
        <v>2928470.44</v>
      </c>
      <c r="R85" s="25">
        <f t="shared" si="17"/>
        <v>1937385.0299999998</v>
      </c>
      <c r="S85" s="25">
        <f t="shared" si="17"/>
        <v>4855029.67</v>
      </c>
      <c r="T85" s="25">
        <f t="shared" si="17"/>
        <v>0</v>
      </c>
      <c r="U85" s="25">
        <f t="shared" si="17"/>
        <v>7017654.2600000007</v>
      </c>
      <c r="V85" s="25">
        <f t="shared" si="17"/>
        <v>0</v>
      </c>
      <c r="W85" s="25">
        <f t="shared" si="17"/>
        <v>497702.38999999996</v>
      </c>
      <c r="X85" s="25">
        <f t="shared" si="17"/>
        <v>962477.17999999993</v>
      </c>
      <c r="Y85" s="25">
        <f t="shared" si="17"/>
        <v>5103670.28</v>
      </c>
      <c r="Z85" s="25">
        <f t="shared" si="17"/>
        <v>0</v>
      </c>
      <c r="AA85" s="25">
        <f t="shared" si="17"/>
        <v>268638.32999999996</v>
      </c>
      <c r="AB85" s="25">
        <f t="shared" si="17"/>
        <v>3045359.6700000009</v>
      </c>
      <c r="AC85" s="25">
        <f t="shared" si="17"/>
        <v>1581098.0400000003</v>
      </c>
      <c r="AD85" s="25">
        <f t="shared" si="17"/>
        <v>0</v>
      </c>
      <c r="AE85" s="25">
        <f t="shared" si="17"/>
        <v>3717124.14</v>
      </c>
      <c r="AF85" s="25">
        <f t="shared" si="17"/>
        <v>0</v>
      </c>
      <c r="AG85" s="25">
        <f t="shared" si="17"/>
        <v>11087101.660000002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0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35738872.450000003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666288.63</v>
      </c>
      <c r="AW85" s="25">
        <f t="shared" si="18"/>
        <v>0</v>
      </c>
      <c r="AX85" s="25">
        <f t="shared" si="18"/>
        <v>0</v>
      </c>
      <c r="AY85" s="25">
        <f t="shared" si="18"/>
        <v>2230024.71</v>
      </c>
      <c r="AZ85" s="25">
        <f t="shared" si="18"/>
        <v>0</v>
      </c>
      <c r="BA85" s="25">
        <f t="shared" si="18"/>
        <v>505504.02</v>
      </c>
      <c r="BB85" s="25">
        <f t="shared" si="18"/>
        <v>0</v>
      </c>
      <c r="BC85" s="25">
        <f t="shared" si="18"/>
        <v>0</v>
      </c>
      <c r="BD85" s="25">
        <f t="shared" si="18"/>
        <v>1091853.54</v>
      </c>
      <c r="BE85" s="25">
        <f t="shared" si="18"/>
        <v>4928942.0800000001</v>
      </c>
      <c r="BF85" s="25">
        <f t="shared" si="18"/>
        <v>3109282.1799999997</v>
      </c>
      <c r="BG85" s="25">
        <f t="shared" si="18"/>
        <v>0</v>
      </c>
      <c r="BH85" s="25">
        <f t="shared" si="18"/>
        <v>6016837.9499999993</v>
      </c>
      <c r="BI85" s="25">
        <f t="shared" si="18"/>
        <v>0</v>
      </c>
      <c r="BJ85" s="25">
        <f t="shared" si="18"/>
        <v>1053819.1199999999</v>
      </c>
      <c r="BK85" s="25">
        <f t="shared" si="18"/>
        <v>2483388.7900000005</v>
      </c>
      <c r="BL85" s="25">
        <f t="shared" si="18"/>
        <v>2255988.2800000003</v>
      </c>
      <c r="BM85" s="25">
        <f t="shared" si="18"/>
        <v>0</v>
      </c>
      <c r="BN85" s="25">
        <f t="shared" si="18"/>
        <v>4643085.49</v>
      </c>
      <c r="BO85" s="25">
        <f t="shared" ref="BO85:CD85" si="19">SUM(BO61:BO69)-BO84</f>
        <v>363239.54000000004</v>
      </c>
      <c r="BP85" s="25">
        <f t="shared" si="19"/>
        <v>561739.31000000006</v>
      </c>
      <c r="BQ85" s="25">
        <f t="shared" si="19"/>
        <v>0</v>
      </c>
      <c r="BR85" s="25">
        <f t="shared" si="19"/>
        <v>2201557.4300000002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2514264.4300000002</v>
      </c>
      <c r="BW85" s="25">
        <f t="shared" si="19"/>
        <v>429984.25</v>
      </c>
      <c r="BX85" s="25">
        <f t="shared" si="19"/>
        <v>0</v>
      </c>
      <c r="BY85" s="25">
        <f t="shared" si="19"/>
        <v>2696847.7499999995</v>
      </c>
      <c r="BZ85" s="25">
        <f t="shared" si="19"/>
        <v>0</v>
      </c>
      <c r="CA85" s="25">
        <f t="shared" si="19"/>
        <v>266725.19</v>
      </c>
      <c r="CB85" s="25">
        <f t="shared" si="19"/>
        <v>0</v>
      </c>
      <c r="CC85" s="25">
        <f t="shared" si="19"/>
        <v>3651725.61</v>
      </c>
      <c r="CD85" s="25">
        <f t="shared" si="19"/>
        <v>-8268486.4000000032</v>
      </c>
      <c r="CE85" s="25">
        <f t="shared" si="16"/>
        <v>131176569.93000004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2497568.17</v>
      </c>
    </row>
    <row r="87" spans="1:84" x14ac:dyDescent="0.25">
      <c r="A87" s="31" t="s">
        <v>286</v>
      </c>
      <c r="B87" s="16"/>
      <c r="C87" s="273">
        <v>12027853.729999997</v>
      </c>
      <c r="D87" s="273"/>
      <c r="E87" s="273">
        <v>26725138.509999998</v>
      </c>
      <c r="F87" s="273"/>
      <c r="G87" s="273"/>
      <c r="H87" s="273"/>
      <c r="I87" s="273"/>
      <c r="J87" s="273">
        <v>1387296.83</v>
      </c>
      <c r="K87" s="273"/>
      <c r="L87" s="273"/>
      <c r="M87" s="273"/>
      <c r="N87" s="273"/>
      <c r="O87" s="273">
        <v>3034365.6</v>
      </c>
      <c r="P87" s="273">
        <v>5631053.1999999993</v>
      </c>
      <c r="Q87" s="273">
        <v>990658.9</v>
      </c>
      <c r="R87" s="273">
        <v>485258.69999999995</v>
      </c>
      <c r="S87" s="273">
        <v>2374842.9000000004</v>
      </c>
      <c r="T87" s="273"/>
      <c r="U87" s="273">
        <v>6041216.9799999995</v>
      </c>
      <c r="V87" s="273"/>
      <c r="W87" s="273">
        <v>793756.5</v>
      </c>
      <c r="X87" s="273">
        <v>3017960.4000000004</v>
      </c>
      <c r="Y87" s="273">
        <v>2469618.2800000003</v>
      </c>
      <c r="Z87" s="273"/>
      <c r="AA87" s="273">
        <v>85305.500000000015</v>
      </c>
      <c r="AB87" s="273">
        <v>4265161.38</v>
      </c>
      <c r="AC87" s="273">
        <v>5199079</v>
      </c>
      <c r="AD87" s="273"/>
      <c r="AE87" s="273">
        <v>881755.2</v>
      </c>
      <c r="AF87" s="273"/>
      <c r="AG87" s="273">
        <v>4817691.6000000006</v>
      </c>
      <c r="AH87" s="273"/>
      <c r="AI87" s="273"/>
      <c r="AJ87" s="273"/>
      <c r="AK87" s="273"/>
      <c r="AL87" s="273"/>
      <c r="AM87" s="273"/>
      <c r="AN87" s="273"/>
      <c r="AO87" s="273"/>
      <c r="AP87" s="273">
        <v>3303798.9899999998</v>
      </c>
      <c r="AQ87" s="273"/>
      <c r="AR87" s="273"/>
      <c r="AS87" s="273"/>
      <c r="AT87" s="273"/>
      <c r="AU87" s="273"/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83531812.199999973</v>
      </c>
    </row>
    <row r="88" spans="1:84" x14ac:dyDescent="0.25">
      <c r="A88" s="31" t="s">
        <v>287</v>
      </c>
      <c r="B88" s="16"/>
      <c r="C88" s="273">
        <v>2050651.4</v>
      </c>
      <c r="D88" s="273"/>
      <c r="E88" s="273">
        <v>7943130.3000000007</v>
      </c>
      <c r="F88" s="273"/>
      <c r="G88" s="273"/>
      <c r="H88" s="273"/>
      <c r="I88" s="273"/>
      <c r="J88" s="273">
        <v>92266.57</v>
      </c>
      <c r="K88" s="273"/>
      <c r="L88" s="273"/>
      <c r="M88" s="273"/>
      <c r="N88" s="273"/>
      <c r="O88" s="273">
        <v>1071501.5</v>
      </c>
      <c r="P88" s="273">
        <v>23590669.239999998</v>
      </c>
      <c r="Q88" s="273">
        <v>7731595.2999999998</v>
      </c>
      <c r="R88" s="273">
        <v>5299904.1499999994</v>
      </c>
      <c r="S88" s="273">
        <v>8433244.5</v>
      </c>
      <c r="T88" s="273"/>
      <c r="U88" s="273">
        <v>37946095.920000002</v>
      </c>
      <c r="V88" s="273"/>
      <c r="W88" s="273">
        <v>8906177.2000000011</v>
      </c>
      <c r="X88" s="273">
        <v>33010156.800000001</v>
      </c>
      <c r="Y88" s="273">
        <v>25543260.75</v>
      </c>
      <c r="Z88" s="273"/>
      <c r="AA88" s="273">
        <v>1315594.56</v>
      </c>
      <c r="AB88" s="273">
        <v>7955789.25</v>
      </c>
      <c r="AC88" s="273">
        <v>3967245.8000000003</v>
      </c>
      <c r="AD88" s="273"/>
      <c r="AE88" s="273">
        <v>9908428.0999999996</v>
      </c>
      <c r="AF88" s="273"/>
      <c r="AG88" s="273">
        <v>54512538.829999998</v>
      </c>
      <c r="AH88" s="273"/>
      <c r="AI88" s="273"/>
      <c r="AJ88" s="273"/>
      <c r="AK88" s="273"/>
      <c r="AL88" s="273"/>
      <c r="AM88" s="273"/>
      <c r="AN88" s="273"/>
      <c r="AO88" s="273"/>
      <c r="AP88" s="273">
        <v>41327975.43</v>
      </c>
      <c r="AQ88" s="273"/>
      <c r="AR88" s="273"/>
      <c r="AS88" s="273"/>
      <c r="AT88" s="273"/>
      <c r="AU88" s="273"/>
      <c r="AV88" s="273">
        <v>474300.7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281080526.30000001</v>
      </c>
    </row>
    <row r="89" spans="1:84" x14ac:dyDescent="0.25">
      <c r="A89" s="21" t="s">
        <v>288</v>
      </c>
      <c r="B89" s="16"/>
      <c r="C89" s="25">
        <f t="shared" ref="C89:AV89" si="21">C87+C88</f>
        <v>14078505.129999997</v>
      </c>
      <c r="D89" s="25">
        <f t="shared" si="21"/>
        <v>0</v>
      </c>
      <c r="E89" s="25">
        <f t="shared" si="21"/>
        <v>34668268.810000002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1479563.4000000001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4105867.1</v>
      </c>
      <c r="P89" s="25">
        <f t="shared" si="21"/>
        <v>29221722.439999998</v>
      </c>
      <c r="Q89" s="25">
        <f t="shared" si="21"/>
        <v>8722254.1999999993</v>
      </c>
      <c r="R89" s="25">
        <f t="shared" si="21"/>
        <v>5785162.8499999996</v>
      </c>
      <c r="S89" s="25">
        <f t="shared" si="21"/>
        <v>10808087.4</v>
      </c>
      <c r="T89" s="25">
        <f t="shared" si="21"/>
        <v>0</v>
      </c>
      <c r="U89" s="25">
        <f t="shared" si="21"/>
        <v>43987312.899999999</v>
      </c>
      <c r="V89" s="25">
        <f t="shared" si="21"/>
        <v>0</v>
      </c>
      <c r="W89" s="25">
        <f t="shared" si="21"/>
        <v>9699933.7000000011</v>
      </c>
      <c r="X89" s="25">
        <f t="shared" si="21"/>
        <v>36028117.200000003</v>
      </c>
      <c r="Y89" s="25">
        <f t="shared" si="21"/>
        <v>28012879.030000001</v>
      </c>
      <c r="Z89" s="25">
        <f t="shared" si="21"/>
        <v>0</v>
      </c>
      <c r="AA89" s="25">
        <f t="shared" si="21"/>
        <v>1400900.06</v>
      </c>
      <c r="AB89" s="25">
        <f t="shared" si="21"/>
        <v>12220950.629999999</v>
      </c>
      <c r="AC89" s="25">
        <f t="shared" si="21"/>
        <v>9166324.8000000007</v>
      </c>
      <c r="AD89" s="25">
        <f t="shared" si="21"/>
        <v>0</v>
      </c>
      <c r="AE89" s="25">
        <f t="shared" si="21"/>
        <v>10790183.299999999</v>
      </c>
      <c r="AF89" s="25">
        <f t="shared" si="21"/>
        <v>0</v>
      </c>
      <c r="AG89" s="25">
        <f t="shared" si="21"/>
        <v>59330230.43</v>
      </c>
      <c r="AH89" s="25">
        <f t="shared" si="21"/>
        <v>0</v>
      </c>
      <c r="AI89" s="25">
        <f t="shared" si="21"/>
        <v>0</v>
      </c>
      <c r="AJ89" s="25">
        <f t="shared" si="21"/>
        <v>0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44631774.420000002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474300.7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364612338.5</v>
      </c>
    </row>
    <row r="90" spans="1:84" x14ac:dyDescent="0.25">
      <c r="A90" s="31" t="s">
        <v>289</v>
      </c>
      <c r="B90" s="25"/>
      <c r="C90" s="273">
        <v>6518</v>
      </c>
      <c r="D90" s="273"/>
      <c r="E90" s="273">
        <v>19104</v>
      </c>
      <c r="F90" s="273"/>
      <c r="G90" s="273"/>
      <c r="H90" s="273"/>
      <c r="I90" s="273"/>
      <c r="J90" s="273">
        <v>482</v>
      </c>
      <c r="K90" s="273"/>
      <c r="L90" s="273"/>
      <c r="M90" s="273"/>
      <c r="N90" s="273"/>
      <c r="O90" s="273">
        <v>975</v>
      </c>
      <c r="P90" s="273">
        <v>6566</v>
      </c>
      <c r="Q90" s="273">
        <v>7147</v>
      </c>
      <c r="R90" s="273">
        <v>312</v>
      </c>
      <c r="S90" s="273">
        <v>2970</v>
      </c>
      <c r="T90" s="273"/>
      <c r="U90" s="273">
        <v>4393</v>
      </c>
      <c r="V90" s="273"/>
      <c r="W90" s="273">
        <v>2137</v>
      </c>
      <c r="X90" s="273">
        <v>792</v>
      </c>
      <c r="Y90" s="273">
        <v>7380</v>
      </c>
      <c r="Z90" s="273"/>
      <c r="AA90" s="273">
        <v>690</v>
      </c>
      <c r="AB90" s="273">
        <v>3833</v>
      </c>
      <c r="AC90" s="273">
        <v>806</v>
      </c>
      <c r="AD90" s="273"/>
      <c r="AE90" s="273">
        <v>8054</v>
      </c>
      <c r="AF90" s="273"/>
      <c r="AG90" s="273">
        <v>9543</v>
      </c>
      <c r="AH90" s="273"/>
      <c r="AI90" s="273"/>
      <c r="AJ90" s="273"/>
      <c r="AK90" s="273"/>
      <c r="AL90" s="273"/>
      <c r="AM90" s="273"/>
      <c r="AN90" s="273"/>
      <c r="AO90" s="273"/>
      <c r="AP90" s="273">
        <v>63978</v>
      </c>
      <c r="AQ90" s="273"/>
      <c r="AR90" s="273"/>
      <c r="AS90" s="273"/>
      <c r="AT90" s="273"/>
      <c r="AU90" s="273"/>
      <c r="AV90" s="273">
        <v>268</v>
      </c>
      <c r="AW90" s="273"/>
      <c r="AX90" s="273"/>
      <c r="AY90" s="273">
        <v>5040</v>
      </c>
      <c r="AZ90" s="273"/>
      <c r="BA90" s="273">
        <v>1461</v>
      </c>
      <c r="BB90" s="273"/>
      <c r="BC90" s="273"/>
      <c r="BD90" s="273">
        <v>3402</v>
      </c>
      <c r="BE90" s="273">
        <v>29694</v>
      </c>
      <c r="BF90" s="273">
        <v>2016</v>
      </c>
      <c r="BG90" s="273"/>
      <c r="BH90" s="273">
        <v>8501</v>
      </c>
      <c r="BI90" s="273"/>
      <c r="BJ90" s="273"/>
      <c r="BK90" s="273">
        <v>2927</v>
      </c>
      <c r="BL90" s="273">
        <v>3694</v>
      </c>
      <c r="BM90" s="273"/>
      <c r="BN90" s="273">
        <v>9757</v>
      </c>
      <c r="BO90" s="273">
        <v>137</v>
      </c>
      <c r="BP90" s="273">
        <v>2848</v>
      </c>
      <c r="BQ90" s="273"/>
      <c r="BR90" s="273">
        <v>2129</v>
      </c>
      <c r="BS90" s="273"/>
      <c r="BT90" s="273"/>
      <c r="BU90" s="273"/>
      <c r="BV90" s="273">
        <v>4546</v>
      </c>
      <c r="BW90" s="273">
        <v>1022</v>
      </c>
      <c r="BX90" s="273"/>
      <c r="BY90" s="273">
        <v>920</v>
      </c>
      <c r="BZ90" s="273"/>
      <c r="CA90" s="273">
        <v>1046</v>
      </c>
      <c r="CB90" s="273"/>
      <c r="CC90" s="273">
        <v>2881</v>
      </c>
      <c r="CD90" s="224" t="s">
        <v>247</v>
      </c>
      <c r="CE90" s="25">
        <f t="shared" si="20"/>
        <v>227969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5365.7959052308534</v>
      </c>
      <c r="D91" s="273"/>
      <c r="E91" s="273">
        <v>26812.443945552626</v>
      </c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>
        <v>420.00374728155214</v>
      </c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>
        <v>1403.8707930788887</v>
      </c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34002.114391143921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6518</v>
      </c>
      <c r="D92" s="273"/>
      <c r="E92" s="273">
        <v>19104</v>
      </c>
      <c r="F92" s="273"/>
      <c r="G92" s="273"/>
      <c r="H92" s="273"/>
      <c r="I92" s="273"/>
      <c r="J92" s="273">
        <v>482</v>
      </c>
      <c r="K92" s="273"/>
      <c r="L92" s="273"/>
      <c r="M92" s="273"/>
      <c r="N92" s="273"/>
      <c r="O92" s="273">
        <v>975</v>
      </c>
      <c r="P92" s="273">
        <v>6566</v>
      </c>
      <c r="Q92" s="273">
        <v>7147</v>
      </c>
      <c r="R92" s="273">
        <v>312</v>
      </c>
      <c r="S92" s="273">
        <v>2970</v>
      </c>
      <c r="T92" s="273"/>
      <c r="U92" s="273">
        <v>4393</v>
      </c>
      <c r="V92" s="273"/>
      <c r="W92" s="273">
        <v>2137</v>
      </c>
      <c r="X92" s="273">
        <v>792</v>
      </c>
      <c r="Y92" s="273">
        <v>7380</v>
      </c>
      <c r="Z92" s="273"/>
      <c r="AA92" s="273">
        <v>690</v>
      </c>
      <c r="AB92" s="273">
        <v>3833</v>
      </c>
      <c r="AC92" s="273">
        <v>806</v>
      </c>
      <c r="AD92" s="273"/>
      <c r="AE92" s="273">
        <v>8054</v>
      </c>
      <c r="AF92" s="273"/>
      <c r="AG92" s="273">
        <v>9543</v>
      </c>
      <c r="AH92" s="273"/>
      <c r="AI92" s="273"/>
      <c r="AJ92" s="273"/>
      <c r="AK92" s="273"/>
      <c r="AL92" s="273"/>
      <c r="AM92" s="273"/>
      <c r="AN92" s="273"/>
      <c r="AO92" s="273"/>
      <c r="AP92" s="273">
        <v>63978</v>
      </c>
      <c r="AQ92" s="273"/>
      <c r="AR92" s="273"/>
      <c r="AS92" s="273"/>
      <c r="AT92" s="273"/>
      <c r="AU92" s="273"/>
      <c r="AV92" s="273">
        <v>268</v>
      </c>
      <c r="AW92" s="273"/>
      <c r="AX92" s="264" t="s">
        <v>247</v>
      </c>
      <c r="AY92" s="264" t="s">
        <v>247</v>
      </c>
      <c r="AZ92" s="24" t="s">
        <v>247</v>
      </c>
      <c r="BA92" s="273">
        <v>1461</v>
      </c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8501</v>
      </c>
      <c r="BI92" s="273"/>
      <c r="BJ92" s="24" t="s">
        <v>247</v>
      </c>
      <c r="BK92" s="273">
        <v>2927</v>
      </c>
      <c r="BL92" s="273">
        <v>3694</v>
      </c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>
        <v>4546</v>
      </c>
      <c r="BW92" s="273">
        <v>1022</v>
      </c>
      <c r="BX92" s="273"/>
      <c r="BY92" s="273">
        <v>920</v>
      </c>
      <c r="BZ92" s="273"/>
      <c r="CA92" s="273">
        <v>1046</v>
      </c>
      <c r="CB92" s="273"/>
      <c r="CC92" s="24" t="s">
        <v>247</v>
      </c>
      <c r="CD92" s="24" t="s">
        <v>247</v>
      </c>
      <c r="CE92" s="25">
        <f t="shared" si="20"/>
        <v>170065</v>
      </c>
      <c r="CF92" s="16"/>
    </row>
    <row r="93" spans="1:84" x14ac:dyDescent="0.25">
      <c r="A93" s="21" t="s">
        <v>292</v>
      </c>
      <c r="B93" s="16"/>
      <c r="C93" s="273">
        <v>244</v>
      </c>
      <c r="D93" s="273"/>
      <c r="E93" s="273">
        <v>1240</v>
      </c>
      <c r="F93" s="273"/>
      <c r="G93" s="273"/>
      <c r="H93" s="273"/>
      <c r="I93" s="273"/>
      <c r="J93" s="273"/>
      <c r="K93" s="273"/>
      <c r="L93" s="273"/>
      <c r="M93" s="273"/>
      <c r="N93" s="273"/>
      <c r="O93" s="273">
        <v>4034</v>
      </c>
      <c r="P93" s="273">
        <v>11383</v>
      </c>
      <c r="Q93" s="273">
        <v>602</v>
      </c>
      <c r="R93" s="273"/>
      <c r="S93" s="273"/>
      <c r="T93" s="273"/>
      <c r="U93" s="273">
        <v>297</v>
      </c>
      <c r="V93" s="273"/>
      <c r="W93" s="273"/>
      <c r="X93" s="273"/>
      <c r="Y93" s="273">
        <v>203</v>
      </c>
      <c r="Z93" s="273"/>
      <c r="AA93" s="273"/>
      <c r="AB93" s="273"/>
      <c r="AC93" s="273"/>
      <c r="AD93" s="273"/>
      <c r="AE93" s="273">
        <v>133</v>
      </c>
      <c r="AF93" s="273"/>
      <c r="AG93" s="273">
        <v>857</v>
      </c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18993</v>
      </c>
      <c r="CF93" s="25">
        <f>BA59</f>
        <v>0</v>
      </c>
    </row>
    <row r="94" spans="1:84" x14ac:dyDescent="0.25">
      <c r="A94" s="21" t="s">
        <v>293</v>
      </c>
      <c r="B94" s="16"/>
      <c r="C94" s="277">
        <v>19.68453206759715</v>
      </c>
      <c r="D94" s="277"/>
      <c r="E94" s="277">
        <v>47.054787371373841</v>
      </c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4">
        <v>14.938811704980845</v>
      </c>
      <c r="Q94" s="274">
        <v>14.046697957033388</v>
      </c>
      <c r="R94" s="274">
        <v>3.4307660645867539</v>
      </c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>
        <v>29.262941266611932</v>
      </c>
      <c r="AH94" s="274"/>
      <c r="AI94" s="274"/>
      <c r="AJ94" s="274"/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128.41853643218391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98584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/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/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>
        <v>3604327721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>
        <v>3604271921</v>
      </c>
      <c r="D108" s="284" t="s">
        <v>297</v>
      </c>
      <c r="E108" s="285" t="s">
        <v>297</v>
      </c>
      <c r="F108" s="12"/>
    </row>
    <row r="109" spans="1:6" x14ac:dyDescent="0.25">
      <c r="A109" s="33" t="s">
        <v>317</v>
      </c>
      <c r="B109" s="32" t="s">
        <v>299</v>
      </c>
      <c r="C109" s="287" t="s">
        <v>1056</v>
      </c>
      <c r="D109" s="284" t="s">
        <v>297</v>
      </c>
      <c r="E109" s="285" t="s">
        <v>297</v>
      </c>
      <c r="F109" s="12"/>
    </row>
    <row r="110" spans="1:6" x14ac:dyDescent="0.25">
      <c r="A110" s="33" t="s">
        <v>318</v>
      </c>
      <c r="B110" s="32" t="s">
        <v>299</v>
      </c>
      <c r="C110" s="287" t="s">
        <v>1057</v>
      </c>
      <c r="D110" s="284" t="s">
        <v>297</v>
      </c>
      <c r="E110" s="285" t="s">
        <v>297</v>
      </c>
      <c r="F110" s="12"/>
    </row>
    <row r="111" spans="1:6" x14ac:dyDescent="0.25">
      <c r="A111" s="30" t="s">
        <v>319</v>
      </c>
      <c r="B111" s="30"/>
      <c r="C111" s="30"/>
      <c r="D111" s="30"/>
      <c r="E111" s="30"/>
    </row>
    <row r="112" spans="1:6" x14ac:dyDescent="0.25">
      <c r="A112" s="34" t="s">
        <v>320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321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322</v>
      </c>
      <c r="B116" s="34"/>
      <c r="C116" s="34"/>
      <c r="D116" s="34"/>
      <c r="E116" s="34"/>
    </row>
    <row r="117" spans="1:5" x14ac:dyDescent="0.25">
      <c r="A117" s="16" t="s">
        <v>323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324</v>
      </c>
      <c r="B119" s="34"/>
      <c r="C119" s="34"/>
      <c r="D119" s="34"/>
      <c r="E119" s="34"/>
    </row>
    <row r="120" spans="1:5" x14ac:dyDescent="0.25">
      <c r="A120" s="16" t="s">
        <v>325</v>
      </c>
      <c r="B120" s="35" t="s">
        <v>299</v>
      </c>
      <c r="C120" s="292"/>
      <c r="D120" s="16"/>
      <c r="E120" s="16"/>
    </row>
    <row r="121" spans="1:5" x14ac:dyDescent="0.25">
      <c r="A121" s="16" t="s">
        <v>326</v>
      </c>
      <c r="B121" s="35" t="s">
        <v>299</v>
      </c>
      <c r="C121" s="292"/>
      <c r="D121" s="16"/>
      <c r="E121" s="16"/>
    </row>
    <row r="122" spans="1:5" x14ac:dyDescent="0.25">
      <c r="A122" s="16" t="s">
        <v>327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328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329</v>
      </c>
      <c r="B126" s="16"/>
      <c r="C126" s="17" t="s">
        <v>330</v>
      </c>
      <c r="D126" s="18" t="s">
        <v>241</v>
      </c>
      <c r="E126" s="16"/>
    </row>
    <row r="127" spans="1:5" x14ac:dyDescent="0.25">
      <c r="A127" s="16" t="s">
        <v>331</v>
      </c>
      <c r="B127" s="35" t="s">
        <v>299</v>
      </c>
      <c r="C127" s="294">
        <v>1612</v>
      </c>
      <c r="D127" s="295">
        <v>5825</v>
      </c>
      <c r="E127" s="16"/>
    </row>
    <row r="128" spans="1:5" x14ac:dyDescent="0.25">
      <c r="A128" s="16" t="s">
        <v>332</v>
      </c>
      <c r="B128" s="35" t="s">
        <v>299</v>
      </c>
      <c r="C128" s="294"/>
      <c r="D128" s="295"/>
      <c r="E128" s="16"/>
    </row>
    <row r="129" spans="1:5" x14ac:dyDescent="0.25">
      <c r="A129" s="16" t="s">
        <v>333</v>
      </c>
      <c r="B129" s="35" t="s">
        <v>299</v>
      </c>
      <c r="C129" s="292"/>
      <c r="D129" s="295"/>
      <c r="E129" s="16"/>
    </row>
    <row r="130" spans="1:5" x14ac:dyDescent="0.25">
      <c r="A130" s="16" t="s">
        <v>334</v>
      </c>
      <c r="B130" s="35" t="s">
        <v>299</v>
      </c>
      <c r="C130" s="292">
        <v>352</v>
      </c>
      <c r="D130" s="295">
        <v>658</v>
      </c>
      <c r="E130" s="16"/>
    </row>
    <row r="131" spans="1:5" x14ac:dyDescent="0.25">
      <c r="A131" s="21" t="s">
        <v>335</v>
      </c>
      <c r="B131" s="16"/>
      <c r="C131" s="17" t="s">
        <v>193</v>
      </c>
      <c r="D131" s="16"/>
      <c r="E131" s="16"/>
    </row>
    <row r="132" spans="1:5" x14ac:dyDescent="0.25">
      <c r="A132" s="16" t="s">
        <v>336</v>
      </c>
      <c r="B132" s="35" t="s">
        <v>299</v>
      </c>
      <c r="C132" s="292">
        <v>7</v>
      </c>
      <c r="D132" s="16"/>
      <c r="E132" s="16"/>
    </row>
    <row r="133" spans="1:5" x14ac:dyDescent="0.25">
      <c r="A133" s="16" t="s">
        <v>337</v>
      </c>
      <c r="B133" s="35" t="s">
        <v>299</v>
      </c>
      <c r="C133" s="292"/>
      <c r="D133" s="16"/>
      <c r="E133" s="16"/>
    </row>
    <row r="134" spans="1:5" x14ac:dyDescent="0.25">
      <c r="A134" s="16" t="s">
        <v>338</v>
      </c>
      <c r="B134" s="35" t="s">
        <v>299</v>
      </c>
      <c r="C134" s="296">
        <v>16</v>
      </c>
      <c r="D134" s="16"/>
      <c r="E134" s="16"/>
    </row>
    <row r="135" spans="1:5" x14ac:dyDescent="0.25">
      <c r="A135" s="16" t="s">
        <v>339</v>
      </c>
      <c r="B135" s="35" t="s">
        <v>299</v>
      </c>
      <c r="C135" s="292"/>
      <c r="D135" s="16"/>
      <c r="E135" s="16"/>
    </row>
    <row r="136" spans="1:5" x14ac:dyDescent="0.25">
      <c r="A136" s="16" t="s">
        <v>340</v>
      </c>
      <c r="B136" s="35" t="s">
        <v>299</v>
      </c>
      <c r="C136" s="292">
        <v>2</v>
      </c>
      <c r="D136" s="16"/>
      <c r="E136" s="16"/>
    </row>
    <row r="137" spans="1:5" x14ac:dyDescent="0.25">
      <c r="A137" s="16" t="s">
        <v>341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/>
      <c r="D138" s="16"/>
      <c r="E138" s="16"/>
    </row>
    <row r="139" spans="1:5" x14ac:dyDescent="0.25">
      <c r="A139" s="16" t="s">
        <v>342</v>
      </c>
      <c r="B139" s="35" t="s">
        <v>299</v>
      </c>
      <c r="C139" s="294"/>
      <c r="D139" s="16"/>
      <c r="E139" s="16"/>
    </row>
    <row r="140" spans="1:5" x14ac:dyDescent="0.25">
      <c r="A140" s="16" t="s">
        <v>343</v>
      </c>
      <c r="B140" s="35"/>
      <c r="C140" s="292"/>
      <c r="D140" s="16"/>
      <c r="E140" s="16"/>
    </row>
    <row r="141" spans="1:5" x14ac:dyDescent="0.25">
      <c r="A141" s="16" t="s">
        <v>333</v>
      </c>
      <c r="B141" s="35" t="s">
        <v>299</v>
      </c>
      <c r="C141" s="292"/>
      <c r="D141" s="16"/>
      <c r="E141" s="16"/>
    </row>
    <row r="142" spans="1:5" x14ac:dyDescent="0.25">
      <c r="A142" s="16" t="s">
        <v>344</v>
      </c>
      <c r="B142" s="35" t="s">
        <v>299</v>
      </c>
      <c r="C142" s="292"/>
      <c r="D142" s="16"/>
      <c r="E142" s="16"/>
    </row>
    <row r="143" spans="1:5" x14ac:dyDescent="0.25">
      <c r="A143" s="16" t="s">
        <v>345</v>
      </c>
      <c r="B143" s="16"/>
      <c r="C143" s="22"/>
      <c r="D143" s="16"/>
      <c r="E143" s="25">
        <f>SUM(C132:C142)</f>
        <v>25</v>
      </c>
    </row>
    <row r="144" spans="1:5" x14ac:dyDescent="0.25">
      <c r="A144" s="16" t="s">
        <v>346</v>
      </c>
      <c r="B144" s="35" t="s">
        <v>299</v>
      </c>
      <c r="C144" s="294">
        <v>68</v>
      </c>
      <c r="D144" s="16"/>
      <c r="E144" s="16"/>
    </row>
    <row r="145" spans="1:6" x14ac:dyDescent="0.25">
      <c r="A145" s="16" t="s">
        <v>347</v>
      </c>
      <c r="B145" s="35" t="s">
        <v>299</v>
      </c>
      <c r="C145" s="292">
        <v>6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348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349</v>
      </c>
      <c r="B152" s="37"/>
      <c r="C152" s="37"/>
      <c r="D152" s="37"/>
      <c r="E152" s="37"/>
    </row>
    <row r="153" spans="1:6" x14ac:dyDescent="0.25">
      <c r="A153" s="38" t="s">
        <v>350</v>
      </c>
      <c r="B153" s="39" t="s">
        <v>351</v>
      </c>
      <c r="C153" s="40" t="s">
        <v>352</v>
      </c>
      <c r="D153" s="39" t="s">
        <v>158</v>
      </c>
      <c r="E153" s="39" t="s">
        <v>229</v>
      </c>
    </row>
    <row r="154" spans="1:6" x14ac:dyDescent="0.25">
      <c r="A154" s="16" t="s">
        <v>330</v>
      </c>
      <c r="B154" s="295">
        <v>886</v>
      </c>
      <c r="C154" s="295">
        <v>431</v>
      </c>
      <c r="D154" s="295">
        <v>295</v>
      </c>
      <c r="E154" s="25">
        <f>SUM(B154:D154)</f>
        <v>1612</v>
      </c>
    </row>
    <row r="155" spans="1:6" x14ac:dyDescent="0.25">
      <c r="A155" s="16" t="s">
        <v>241</v>
      </c>
      <c r="B155" s="295">
        <v>3766</v>
      </c>
      <c r="C155" s="295">
        <v>1128</v>
      </c>
      <c r="D155" s="295">
        <v>931</v>
      </c>
      <c r="E155" s="25">
        <f>SUM(B155:D155)</f>
        <v>5825</v>
      </c>
    </row>
    <row r="156" spans="1:6" x14ac:dyDescent="0.25">
      <c r="A156" s="16" t="s">
        <v>353</v>
      </c>
      <c r="B156" s="295">
        <v>81633</v>
      </c>
      <c r="C156" s="295">
        <v>56515</v>
      </c>
      <c r="D156" s="295">
        <v>66325</v>
      </c>
      <c r="E156" s="25">
        <f>SUM(B156:D156)</f>
        <v>204473</v>
      </c>
    </row>
    <row r="157" spans="1:6" x14ac:dyDescent="0.25">
      <c r="A157" s="16" t="s">
        <v>286</v>
      </c>
      <c r="B157" s="295">
        <v>47271022</v>
      </c>
      <c r="C157" s="295">
        <v>20943662</v>
      </c>
      <c r="D157" s="295">
        <v>15338835</v>
      </c>
      <c r="E157" s="25">
        <f>SUM(B157:D157)</f>
        <v>83553519</v>
      </c>
      <c r="F157" s="14"/>
    </row>
    <row r="158" spans="1:6" x14ac:dyDescent="0.25">
      <c r="A158" s="16" t="s">
        <v>287</v>
      </c>
      <c r="B158" s="295">
        <v>121787433</v>
      </c>
      <c r="C158" s="295">
        <v>74923404</v>
      </c>
      <c r="D158" s="295">
        <v>84494371</v>
      </c>
      <c r="E158" s="25">
        <f>SUM(B158:D158)</f>
        <v>281205208</v>
      </c>
      <c r="F158" s="14"/>
    </row>
    <row r="159" spans="1:6" x14ac:dyDescent="0.25">
      <c r="A159" s="38" t="s">
        <v>354</v>
      </c>
      <c r="B159" s="39" t="s">
        <v>351</v>
      </c>
      <c r="C159" s="40" t="s">
        <v>352</v>
      </c>
      <c r="D159" s="39" t="s">
        <v>158</v>
      </c>
      <c r="E159" s="39" t="s">
        <v>229</v>
      </c>
    </row>
    <row r="160" spans="1:6" x14ac:dyDescent="0.25">
      <c r="A160" s="16" t="s">
        <v>330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353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355</v>
      </c>
      <c r="B165" s="39" t="s">
        <v>351</v>
      </c>
      <c r="C165" s="40" t="s">
        <v>352</v>
      </c>
      <c r="D165" s="39" t="s">
        <v>158</v>
      </c>
      <c r="E165" s="39" t="s">
        <v>229</v>
      </c>
    </row>
    <row r="166" spans="1:5" x14ac:dyDescent="0.25">
      <c r="A166" s="16" t="s">
        <v>330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353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356</v>
      </c>
      <c r="B172" s="39" t="s">
        <v>357</v>
      </c>
      <c r="C172" s="40" t="s">
        <v>358</v>
      </c>
      <c r="D172" s="16"/>
      <c r="E172" s="16"/>
    </row>
    <row r="173" spans="1:5" x14ac:dyDescent="0.25">
      <c r="A173" s="20" t="s">
        <v>359</v>
      </c>
      <c r="B173" s="272">
        <v>2916354</v>
      </c>
      <c r="C173" s="272">
        <v>1031403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360</v>
      </c>
      <c r="B179" s="30"/>
      <c r="C179" s="30"/>
      <c r="D179" s="30"/>
      <c r="E179" s="30"/>
    </row>
    <row r="180" spans="1:5" x14ac:dyDescent="0.25">
      <c r="A180" s="34" t="s">
        <v>361</v>
      </c>
      <c r="B180" s="34"/>
      <c r="C180" s="34"/>
      <c r="D180" s="34"/>
      <c r="E180" s="34"/>
    </row>
    <row r="181" spans="1:5" x14ac:dyDescent="0.25">
      <c r="A181" s="16" t="s">
        <v>362</v>
      </c>
      <c r="B181" s="35" t="s">
        <v>299</v>
      </c>
      <c r="C181" s="292">
        <v>4457333.99</v>
      </c>
      <c r="D181" s="16"/>
      <c r="E181" s="16"/>
    </row>
    <row r="182" spans="1:5" x14ac:dyDescent="0.25">
      <c r="A182" s="16" t="s">
        <v>363</v>
      </c>
      <c r="B182" s="35" t="s">
        <v>299</v>
      </c>
      <c r="C182" s="292">
        <v>71080</v>
      </c>
      <c r="D182" s="16"/>
      <c r="E182" s="16"/>
    </row>
    <row r="183" spans="1:5" x14ac:dyDescent="0.25">
      <c r="A183" s="20" t="s">
        <v>364</v>
      </c>
      <c r="B183" s="35" t="s">
        <v>299</v>
      </c>
      <c r="C183" s="292">
        <v>668331.71</v>
      </c>
      <c r="D183" s="16"/>
      <c r="E183" s="16"/>
    </row>
    <row r="184" spans="1:5" x14ac:dyDescent="0.25">
      <c r="A184" s="16" t="s">
        <v>365</v>
      </c>
      <c r="B184" s="35" t="s">
        <v>299</v>
      </c>
      <c r="C184" s="292">
        <v>11087078.5</v>
      </c>
      <c r="D184" s="16"/>
      <c r="E184" s="16"/>
    </row>
    <row r="185" spans="1:5" x14ac:dyDescent="0.25">
      <c r="A185" s="16" t="s">
        <v>366</v>
      </c>
      <c r="B185" s="35" t="s">
        <v>299</v>
      </c>
      <c r="C185" s="292">
        <v>32364.1</v>
      </c>
      <c r="D185" s="16"/>
      <c r="E185" s="16"/>
    </row>
    <row r="186" spans="1:5" x14ac:dyDescent="0.25">
      <c r="A186" s="16" t="s">
        <v>367</v>
      </c>
      <c r="B186" s="35" t="s">
        <v>299</v>
      </c>
      <c r="C186" s="292">
        <v>3519066.0500000003</v>
      </c>
      <c r="D186" s="16"/>
      <c r="E186" s="16"/>
    </row>
    <row r="187" spans="1:5" x14ac:dyDescent="0.25">
      <c r="A187" s="16" t="s">
        <v>368</v>
      </c>
      <c r="B187" s="35" t="s">
        <v>299</v>
      </c>
      <c r="C187" s="292">
        <v>255222.97999999998</v>
      </c>
      <c r="D187" s="16"/>
      <c r="E187" s="16"/>
    </row>
    <row r="188" spans="1:5" x14ac:dyDescent="0.25">
      <c r="A188" s="16" t="s">
        <v>368</v>
      </c>
      <c r="B188" s="35" t="s">
        <v>299</v>
      </c>
      <c r="C188" s="292"/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20090477.329999998</v>
      </c>
      <c r="E189" s="16"/>
    </row>
    <row r="190" spans="1:5" x14ac:dyDescent="0.25">
      <c r="A190" s="34" t="s">
        <v>369</v>
      </c>
      <c r="B190" s="34"/>
      <c r="C190" s="34"/>
      <c r="D190" s="34"/>
      <c r="E190" s="34"/>
    </row>
    <row r="191" spans="1:5" x14ac:dyDescent="0.25">
      <c r="A191" s="16" t="s">
        <v>370</v>
      </c>
      <c r="B191" s="35" t="s">
        <v>299</v>
      </c>
      <c r="C191" s="292">
        <v>29364.33</v>
      </c>
      <c r="D191" s="16"/>
      <c r="E191" s="16"/>
    </row>
    <row r="192" spans="1:5" x14ac:dyDescent="0.25">
      <c r="A192" s="16" t="s">
        <v>371</v>
      </c>
      <c r="B192" s="35" t="s">
        <v>299</v>
      </c>
      <c r="C192" s="292">
        <v>300492.77999999997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329857.11</v>
      </c>
      <c r="E193" s="16"/>
    </row>
    <row r="194" spans="1:5" x14ac:dyDescent="0.25">
      <c r="A194" s="34" t="s">
        <v>372</v>
      </c>
      <c r="B194" s="34"/>
      <c r="C194" s="34"/>
      <c r="D194" s="34"/>
      <c r="E194" s="34"/>
    </row>
    <row r="195" spans="1:5" x14ac:dyDescent="0.25">
      <c r="A195" s="16" t="s">
        <v>373</v>
      </c>
      <c r="B195" s="35" t="s">
        <v>299</v>
      </c>
      <c r="C195" s="292">
        <v>588492.64999999991</v>
      </c>
      <c r="D195" s="16"/>
      <c r="E195" s="16"/>
    </row>
    <row r="196" spans="1:5" x14ac:dyDescent="0.25">
      <c r="A196" s="16" t="s">
        <v>374</v>
      </c>
      <c r="B196" s="35" t="s">
        <v>299</v>
      </c>
      <c r="C196" s="292">
        <v>780015.0199999999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1368507.67</v>
      </c>
      <c r="E197" s="16"/>
    </row>
    <row r="198" spans="1:5" x14ac:dyDescent="0.25">
      <c r="A198" s="34" t="s">
        <v>375</v>
      </c>
      <c r="B198" s="34"/>
      <c r="C198" s="34"/>
      <c r="D198" s="34"/>
      <c r="E198" s="34"/>
    </row>
    <row r="199" spans="1:5" x14ac:dyDescent="0.25">
      <c r="A199" s="16" t="s">
        <v>376</v>
      </c>
      <c r="B199" s="35" t="s">
        <v>299</v>
      </c>
      <c r="C199" s="292"/>
      <c r="D199" s="16"/>
      <c r="E199" s="16"/>
    </row>
    <row r="200" spans="1:5" x14ac:dyDescent="0.25">
      <c r="A200" s="16" t="s">
        <v>377</v>
      </c>
      <c r="B200" s="35" t="s">
        <v>299</v>
      </c>
      <c r="C200" s="292">
        <v>728381.52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/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728381.52</v>
      </c>
      <c r="E202" s="16"/>
    </row>
    <row r="203" spans="1:5" x14ac:dyDescent="0.25">
      <c r="A203" s="34" t="s">
        <v>378</v>
      </c>
      <c r="B203" s="34"/>
      <c r="C203" s="34"/>
      <c r="D203" s="34"/>
      <c r="E203" s="34"/>
    </row>
    <row r="204" spans="1:5" x14ac:dyDescent="0.25">
      <c r="A204" s="16" t="s">
        <v>379</v>
      </c>
      <c r="B204" s="35" t="s">
        <v>299</v>
      </c>
      <c r="C204" s="292"/>
      <c r="D204" s="16"/>
      <c r="E204" s="16"/>
    </row>
    <row r="205" spans="1:5" x14ac:dyDescent="0.25">
      <c r="A205" s="16" t="s">
        <v>380</v>
      </c>
      <c r="B205" s="35" t="s">
        <v>299</v>
      </c>
      <c r="C205" s="292">
        <v>3025398.8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3025398.8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381</v>
      </c>
      <c r="B208" s="30"/>
      <c r="C208" s="30"/>
      <c r="D208" s="30"/>
      <c r="E208" s="30"/>
    </row>
    <row r="209" spans="1:5" x14ac:dyDescent="0.25">
      <c r="A209" s="37" t="s">
        <v>382</v>
      </c>
      <c r="B209" s="30"/>
      <c r="C209" s="30"/>
      <c r="D209" s="30"/>
      <c r="E209" s="30"/>
    </row>
    <row r="210" spans="1:5" x14ac:dyDescent="0.25">
      <c r="A210" s="21"/>
      <c r="B210" s="18" t="s">
        <v>383</v>
      </c>
      <c r="C210" s="17" t="s">
        <v>384</v>
      </c>
      <c r="D210" s="18" t="s">
        <v>385</v>
      </c>
      <c r="E210" s="18" t="s">
        <v>386</v>
      </c>
    </row>
    <row r="211" spans="1:5" x14ac:dyDescent="0.25">
      <c r="A211" s="16" t="s">
        <v>387</v>
      </c>
      <c r="B211" s="292">
        <v>2817552.07</v>
      </c>
      <c r="C211" s="292">
        <v>0</v>
      </c>
      <c r="D211" s="295"/>
      <c r="E211" s="25">
        <f t="shared" ref="E211:E219" si="22">SUM(B211:C211)-D211</f>
        <v>2817552.07</v>
      </c>
    </row>
    <row r="212" spans="1:5" x14ac:dyDescent="0.25">
      <c r="A212" s="16" t="s">
        <v>388</v>
      </c>
      <c r="B212" s="292">
        <v>11111246.33</v>
      </c>
      <c r="C212" s="292">
        <v>47595.58</v>
      </c>
      <c r="D212" s="295"/>
      <c r="E212" s="25">
        <f t="shared" si="22"/>
        <v>11158841.91</v>
      </c>
    </row>
    <row r="213" spans="1:5" x14ac:dyDescent="0.25">
      <c r="A213" s="16" t="s">
        <v>389</v>
      </c>
      <c r="B213" s="292">
        <v>60196294.75</v>
      </c>
      <c r="C213" s="292">
        <v>765554.5</v>
      </c>
      <c r="D213" s="295"/>
      <c r="E213" s="25">
        <f t="shared" si="22"/>
        <v>60961849.25</v>
      </c>
    </row>
    <row r="214" spans="1:5" x14ac:dyDescent="0.25">
      <c r="A214" s="16" t="s">
        <v>391</v>
      </c>
      <c r="B214" s="292">
        <v>34490584.100000001</v>
      </c>
      <c r="C214" s="292">
        <v>3603864.59</v>
      </c>
      <c r="D214" s="295"/>
      <c r="E214" s="25">
        <f t="shared" si="22"/>
        <v>38094448.689999998</v>
      </c>
    </row>
    <row r="215" spans="1:5" x14ac:dyDescent="0.25">
      <c r="A215" s="16" t="s">
        <v>392</v>
      </c>
      <c r="B215" s="292">
        <v>57811701.490000002</v>
      </c>
      <c r="C215" s="292"/>
      <c r="D215" s="295">
        <v>12217504.780000001</v>
      </c>
      <c r="E215" s="25">
        <f t="shared" si="22"/>
        <v>45594196.710000001</v>
      </c>
    </row>
    <row r="216" spans="1:5" x14ac:dyDescent="0.25">
      <c r="A216" s="16" t="s">
        <v>393</v>
      </c>
      <c r="B216" s="292">
        <v>46485134.340000004</v>
      </c>
      <c r="C216" s="292">
        <v>3073712.9499999997</v>
      </c>
      <c r="D216" s="295">
        <v>1038711.25</v>
      </c>
      <c r="E216" s="25">
        <f t="shared" si="22"/>
        <v>48520136.040000007</v>
      </c>
    </row>
    <row r="217" spans="1:5" x14ac:dyDescent="0.25">
      <c r="A217" s="16" t="s">
        <v>394</v>
      </c>
      <c r="B217" s="292"/>
      <c r="C217" s="292"/>
      <c r="D217" s="295"/>
      <c r="E217" s="25">
        <f t="shared" si="22"/>
        <v>0</v>
      </c>
    </row>
    <row r="218" spans="1:5" x14ac:dyDescent="0.25">
      <c r="A218" s="16" t="s">
        <v>395</v>
      </c>
      <c r="B218" s="292">
        <v>1174052.3700000001</v>
      </c>
      <c r="C218" s="292">
        <v>0</v>
      </c>
      <c r="D218" s="295">
        <v>0</v>
      </c>
      <c r="E218" s="25">
        <f t="shared" si="22"/>
        <v>1174052.3700000001</v>
      </c>
    </row>
    <row r="219" spans="1:5" x14ac:dyDescent="0.25">
      <c r="A219" s="16" t="s">
        <v>396</v>
      </c>
      <c r="B219" s="292">
        <v>3349965.08</v>
      </c>
      <c r="C219" s="292">
        <v>1799046.41</v>
      </c>
      <c r="D219" s="295">
        <v>3909038.11</v>
      </c>
      <c r="E219" s="25">
        <f t="shared" si="22"/>
        <v>1239973.3800000004</v>
      </c>
    </row>
    <row r="220" spans="1:5" x14ac:dyDescent="0.25">
      <c r="A220" s="16" t="s">
        <v>229</v>
      </c>
      <c r="B220" s="25">
        <f>SUM(B211:B219)</f>
        <v>217436530.53000003</v>
      </c>
      <c r="C220" s="225">
        <f>SUM(C211:C219)</f>
        <v>9289774.0299999993</v>
      </c>
      <c r="D220" s="25">
        <f>SUM(D211:D219)</f>
        <v>17165254.140000001</v>
      </c>
      <c r="E220" s="25">
        <f>SUM(E211:E219)</f>
        <v>209561050.42000002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383</v>
      </c>
      <c r="C223" s="17" t="s">
        <v>384</v>
      </c>
      <c r="D223" s="18" t="s">
        <v>385</v>
      </c>
      <c r="E223" s="18" t="s">
        <v>386</v>
      </c>
    </row>
    <row r="224" spans="1:5" x14ac:dyDescent="0.25">
      <c r="A224" s="16" t="s">
        <v>387</v>
      </c>
      <c r="B224" s="42"/>
      <c r="C224" s="41"/>
      <c r="D224" s="42"/>
      <c r="E224" s="16"/>
    </row>
    <row r="225" spans="1:6" x14ac:dyDescent="0.25">
      <c r="A225" s="16" t="s">
        <v>388</v>
      </c>
      <c r="B225" s="292">
        <v>4949565.0199999996</v>
      </c>
      <c r="C225" s="292">
        <v>703690.34</v>
      </c>
      <c r="D225" s="295"/>
      <c r="E225" s="25">
        <f t="shared" ref="E225:E232" si="23">SUM(B225:C225)-D225</f>
        <v>5653255.3599999994</v>
      </c>
    </row>
    <row r="226" spans="1:6" x14ac:dyDescent="0.25">
      <c r="A226" s="16" t="s">
        <v>389</v>
      </c>
      <c r="B226" s="292">
        <v>28800817.52</v>
      </c>
      <c r="C226" s="292">
        <v>2454177.02</v>
      </c>
      <c r="D226" s="295"/>
      <c r="E226" s="25">
        <f t="shared" si="23"/>
        <v>31254994.539999999</v>
      </c>
    </row>
    <row r="227" spans="1:6" x14ac:dyDescent="0.25">
      <c r="A227" s="16" t="s">
        <v>391</v>
      </c>
      <c r="B227" s="292">
        <v>17575693.02</v>
      </c>
      <c r="C227" s="292">
        <v>1837147.91</v>
      </c>
      <c r="D227" s="295"/>
      <c r="E227" s="25">
        <f t="shared" si="23"/>
        <v>19412840.93</v>
      </c>
    </row>
    <row r="228" spans="1:6" x14ac:dyDescent="0.25">
      <c r="A228" s="16" t="s">
        <v>392</v>
      </c>
      <c r="B228" s="292">
        <v>19063800</v>
      </c>
      <c r="C228" s="292">
        <v>5778924.1600000001</v>
      </c>
      <c r="D228" s="295">
        <v>17616009.050000008</v>
      </c>
      <c r="E228" s="25">
        <f t="shared" si="23"/>
        <v>7226715.109999992</v>
      </c>
    </row>
    <row r="229" spans="1:6" x14ac:dyDescent="0.25">
      <c r="A229" s="16" t="s">
        <v>393</v>
      </c>
      <c r="B229" s="292">
        <v>36350162.210000001</v>
      </c>
      <c r="C229" s="292">
        <v>2697162.29</v>
      </c>
      <c r="D229" s="295">
        <v>1001209.39</v>
      </c>
      <c r="E229" s="25">
        <f t="shared" si="23"/>
        <v>38046115.109999999</v>
      </c>
    </row>
    <row r="230" spans="1:6" x14ac:dyDescent="0.25">
      <c r="A230" s="16" t="s">
        <v>394</v>
      </c>
      <c r="B230" s="292"/>
      <c r="C230" s="292"/>
      <c r="D230" s="295"/>
      <c r="E230" s="25">
        <f t="shared" si="23"/>
        <v>0</v>
      </c>
    </row>
    <row r="231" spans="1:6" x14ac:dyDescent="0.25">
      <c r="A231" s="16" t="s">
        <v>395</v>
      </c>
      <c r="B231" s="292">
        <v>934248.56</v>
      </c>
      <c r="C231" s="292">
        <v>51540.12</v>
      </c>
      <c r="D231" s="295"/>
      <c r="E231" s="25">
        <f t="shared" si="23"/>
        <v>985788.68</v>
      </c>
    </row>
    <row r="232" spans="1:6" x14ac:dyDescent="0.25">
      <c r="A232" s="16" t="s">
        <v>396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107674286.33000001</v>
      </c>
      <c r="C233" s="225">
        <f>SUM(C224:C232)</f>
        <v>13522641.839999998</v>
      </c>
      <c r="D233" s="25">
        <f>SUM(D224:D232)</f>
        <v>18617218.440000009</v>
      </c>
      <c r="E233" s="25">
        <f>SUM(E224:E232)</f>
        <v>102579709.72999999</v>
      </c>
    </row>
    <row r="234" spans="1:6" x14ac:dyDescent="0.25">
      <c r="A234" s="16"/>
      <c r="B234" s="16"/>
      <c r="C234" s="22"/>
      <c r="D234" s="16"/>
      <c r="E234" s="16"/>
      <c r="F234" s="11">
        <f>E220-E233</f>
        <v>106981340.69000003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48" t="s">
        <v>399</v>
      </c>
      <c r="C236" s="348"/>
      <c r="D236" s="30"/>
      <c r="E236" s="30"/>
    </row>
    <row r="237" spans="1:6" x14ac:dyDescent="0.25">
      <c r="A237" s="43" t="s">
        <v>399</v>
      </c>
      <c r="B237" s="30"/>
      <c r="C237" s="292">
        <v>5374296.7500000009</v>
      </c>
      <c r="D237" s="32">
        <f>C237</f>
        <v>5374296.7500000009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292">
        <v>104444633.94</v>
      </c>
      <c r="D239" s="16"/>
      <c r="E239" s="16"/>
    </row>
    <row r="240" spans="1:6" x14ac:dyDescent="0.25">
      <c r="A240" s="16" t="s">
        <v>402</v>
      </c>
      <c r="B240" s="35" t="s">
        <v>299</v>
      </c>
      <c r="C240" s="292">
        <v>59154481.829999998</v>
      </c>
      <c r="D240" s="16"/>
      <c r="E240" s="16"/>
    </row>
    <row r="241" spans="1:5" x14ac:dyDescent="0.25">
      <c r="A241" s="16" t="s">
        <v>403</v>
      </c>
      <c r="B241" s="35" t="s">
        <v>299</v>
      </c>
      <c r="C241" s="292">
        <v>10732582</v>
      </c>
      <c r="D241" s="16"/>
      <c r="E241" s="16"/>
    </row>
    <row r="242" spans="1:5" x14ac:dyDescent="0.25">
      <c r="A242" s="16" t="s">
        <v>404</v>
      </c>
      <c r="B242" s="35" t="s">
        <v>299</v>
      </c>
      <c r="C242" s="292"/>
      <c r="D242" s="16"/>
      <c r="E242" s="16"/>
    </row>
    <row r="243" spans="1:5" x14ac:dyDescent="0.25">
      <c r="A243" s="16" t="s">
        <v>405</v>
      </c>
      <c r="B243" s="35" t="s">
        <v>299</v>
      </c>
      <c r="C243" s="292">
        <v>31931229.77</v>
      </c>
      <c r="D243" s="16"/>
      <c r="E243" s="16"/>
    </row>
    <row r="244" spans="1:5" x14ac:dyDescent="0.25">
      <c r="A244" s="16" t="s">
        <v>406</v>
      </c>
      <c r="B244" s="35" t="s">
        <v>299</v>
      </c>
      <c r="C244" s="292"/>
      <c r="D244" s="16"/>
      <c r="E244" s="16"/>
    </row>
    <row r="245" spans="1:5" x14ac:dyDescent="0.25">
      <c r="A245" s="16" t="s">
        <v>407</v>
      </c>
      <c r="B245" s="16"/>
      <c r="C245" s="22"/>
      <c r="D245" s="25">
        <f>SUM(C239:C244)</f>
        <v>206262927.53999999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4">
        <v>2104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292">
        <v>324338.90000000002</v>
      </c>
      <c r="D249" s="16"/>
      <c r="E249" s="16"/>
    </row>
    <row r="250" spans="1:5" x14ac:dyDescent="0.25">
      <c r="A250" s="21" t="s">
        <v>411</v>
      </c>
      <c r="B250" s="35" t="s">
        <v>299</v>
      </c>
      <c r="C250" s="292">
        <v>5520312.2699999996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f>SUM(C249:C251)</f>
        <v>5844651.1699999999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5077494.0299999993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/>
      <c r="D255" s="16"/>
      <c r="E255" s="16"/>
    </row>
    <row r="256" spans="1:5" x14ac:dyDescent="0.25">
      <c r="A256" s="16" t="s">
        <v>415</v>
      </c>
      <c r="B256" s="16"/>
      <c r="C256" s="22"/>
      <c r="D256" s="25">
        <f>SUM(C254:C255)</f>
        <v>5077494.0299999993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f>D237+D245+D252+D256</f>
        <v>222559369.48999998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292">
        <v>100873230.09</v>
      </c>
      <c r="D266" s="16"/>
      <c r="E266" s="16"/>
    </row>
    <row r="267" spans="1:5" x14ac:dyDescent="0.25">
      <c r="A267" s="16" t="s">
        <v>420</v>
      </c>
      <c r="B267" s="35" t="s">
        <v>299</v>
      </c>
      <c r="C267" s="292"/>
      <c r="D267" s="16"/>
      <c r="E267" s="16"/>
    </row>
    <row r="268" spans="1:5" x14ac:dyDescent="0.25">
      <c r="A268" s="16" t="s">
        <v>421</v>
      </c>
      <c r="B268" s="35" t="s">
        <v>299</v>
      </c>
      <c r="C268" s="292">
        <v>69226684.070000008</v>
      </c>
      <c r="D268" s="16"/>
      <c r="E268" s="16"/>
    </row>
    <row r="269" spans="1:5" x14ac:dyDescent="0.25">
      <c r="A269" s="16" t="s">
        <v>422</v>
      </c>
      <c r="B269" s="35" t="s">
        <v>299</v>
      </c>
      <c r="C269" s="292">
        <v>42817773.010000005</v>
      </c>
      <c r="D269" s="16"/>
      <c r="E269" s="16"/>
    </row>
    <row r="270" spans="1:5" x14ac:dyDescent="0.25">
      <c r="A270" s="16" t="s">
        <v>423</v>
      </c>
      <c r="B270" s="35" t="s">
        <v>299</v>
      </c>
      <c r="C270" s="292" t="s">
        <v>297</v>
      </c>
      <c r="D270" s="16"/>
      <c r="E270" s="16"/>
    </row>
    <row r="271" spans="1:5" x14ac:dyDescent="0.25">
      <c r="A271" s="16" t="s">
        <v>424</v>
      </c>
      <c r="B271" s="35" t="s">
        <v>299</v>
      </c>
      <c r="C271" s="292">
        <v>-7141.4500000000007</v>
      </c>
      <c r="D271" s="16"/>
      <c r="E271" s="16"/>
    </row>
    <row r="272" spans="1:5" x14ac:dyDescent="0.25">
      <c r="A272" s="16" t="s">
        <v>425</v>
      </c>
      <c r="B272" s="35" t="s">
        <v>299</v>
      </c>
      <c r="C272" s="292"/>
      <c r="D272" s="16"/>
      <c r="E272" s="16"/>
    </row>
    <row r="273" spans="1:5" x14ac:dyDescent="0.25">
      <c r="A273" s="16" t="s">
        <v>426</v>
      </c>
      <c r="B273" s="35" t="s">
        <v>299</v>
      </c>
      <c r="C273" s="292">
        <v>2027678.02</v>
      </c>
      <c r="D273" s="16"/>
      <c r="E273" s="16"/>
    </row>
    <row r="274" spans="1:5" x14ac:dyDescent="0.25">
      <c r="A274" s="16" t="s">
        <v>427</v>
      </c>
      <c r="B274" s="35" t="s">
        <v>299</v>
      </c>
      <c r="C274" s="292">
        <v>3014342.8900000006</v>
      </c>
      <c r="D274" s="16"/>
      <c r="E274" s="16"/>
    </row>
    <row r="275" spans="1:5" x14ac:dyDescent="0.25">
      <c r="A275" s="16" t="s">
        <v>428</v>
      </c>
      <c r="B275" s="35" t="s">
        <v>299</v>
      </c>
      <c r="C275" s="292"/>
      <c r="D275" s="16"/>
      <c r="E275" s="16"/>
    </row>
    <row r="276" spans="1:5" x14ac:dyDescent="0.25">
      <c r="A276" s="16" t="s">
        <v>429</v>
      </c>
      <c r="B276" s="16"/>
      <c r="C276" s="22"/>
      <c r="D276" s="25">
        <f>SUM(C266:C268)-C269+SUM(C270:C275)</f>
        <v>132317020.61000001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>
        <v>88891.370000000141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/>
      <c r="D279" s="16"/>
      <c r="E279" s="16"/>
    </row>
    <row r="280" spans="1:5" x14ac:dyDescent="0.25">
      <c r="A280" s="16" t="s">
        <v>431</v>
      </c>
      <c r="B280" s="35" t="s">
        <v>299</v>
      </c>
      <c r="C280" s="292"/>
      <c r="D280" s="16"/>
      <c r="E280" s="16"/>
    </row>
    <row r="281" spans="1:5" x14ac:dyDescent="0.25">
      <c r="A281" s="16" t="s">
        <v>432</v>
      </c>
      <c r="B281" s="16"/>
      <c r="C281" s="22"/>
      <c r="D281" s="25">
        <f>SUM(C278:C280)</f>
        <v>88891.370000000141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387</v>
      </c>
      <c r="B283" s="35" t="s">
        <v>299</v>
      </c>
      <c r="C283" s="292">
        <v>2817552.07</v>
      </c>
      <c r="D283" s="16"/>
      <c r="E283" s="16"/>
    </row>
    <row r="284" spans="1:5" x14ac:dyDescent="0.25">
      <c r="A284" s="16" t="s">
        <v>388</v>
      </c>
      <c r="B284" s="35" t="s">
        <v>299</v>
      </c>
      <c r="C284" s="292">
        <v>11158843.16</v>
      </c>
      <c r="D284" s="16"/>
      <c r="E284" s="16"/>
    </row>
    <row r="285" spans="1:5" x14ac:dyDescent="0.25">
      <c r="A285" s="16" t="s">
        <v>389</v>
      </c>
      <c r="B285" s="35" t="s">
        <v>299</v>
      </c>
      <c r="C285" s="292">
        <v>60961849.250000007</v>
      </c>
      <c r="D285" s="16"/>
      <c r="E285" s="16"/>
    </row>
    <row r="286" spans="1:5" x14ac:dyDescent="0.25">
      <c r="A286" s="16" t="s">
        <v>434</v>
      </c>
      <c r="B286" s="35" t="s">
        <v>299</v>
      </c>
      <c r="C286" s="292">
        <v>38094447.890000001</v>
      </c>
      <c r="D286" s="16"/>
      <c r="E286" s="16"/>
    </row>
    <row r="287" spans="1:5" x14ac:dyDescent="0.25">
      <c r="A287" s="16" t="s">
        <v>435</v>
      </c>
      <c r="B287" s="35" t="s">
        <v>299</v>
      </c>
      <c r="C287" s="292"/>
      <c r="D287" s="16"/>
      <c r="E287" s="16"/>
    </row>
    <row r="288" spans="1:5" x14ac:dyDescent="0.25">
      <c r="A288" s="16" t="s">
        <v>436</v>
      </c>
      <c r="B288" s="35" t="s">
        <v>299</v>
      </c>
      <c r="C288" s="292">
        <v>94114333.239999995</v>
      </c>
      <c r="D288" s="16"/>
      <c r="E288" s="16"/>
    </row>
    <row r="289" spans="1:5" x14ac:dyDescent="0.25">
      <c r="A289" s="16" t="s">
        <v>395</v>
      </c>
      <c r="B289" s="35" t="s">
        <v>299</v>
      </c>
      <c r="C289" s="292">
        <v>1174052.3700000001</v>
      </c>
      <c r="D289" s="16"/>
      <c r="E289" s="16"/>
    </row>
    <row r="290" spans="1:5" x14ac:dyDescent="0.25">
      <c r="A290" s="16" t="s">
        <v>396</v>
      </c>
      <c r="B290" s="35" t="s">
        <v>299</v>
      </c>
      <c r="C290" s="292">
        <v>1239973.3799999994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f>SUM(C283:C290)</f>
        <v>209561051.36000001</v>
      </c>
      <c r="E291" s="16"/>
    </row>
    <row r="292" spans="1:5" x14ac:dyDescent="0.25">
      <c r="A292" s="16" t="s">
        <v>438</v>
      </c>
      <c r="B292" s="35" t="s">
        <v>299</v>
      </c>
      <c r="C292" s="292">
        <v>102579710.13999999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f>D291-C292</f>
        <v>106981341.22000003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/>
      <c r="D295" s="16"/>
      <c r="E295" s="16"/>
    </row>
    <row r="296" spans="1:5" x14ac:dyDescent="0.25">
      <c r="A296" s="16" t="s">
        <v>442</v>
      </c>
      <c r="B296" s="35" t="s">
        <v>299</v>
      </c>
      <c r="C296" s="292"/>
      <c r="D296" s="16"/>
      <c r="E296" s="16"/>
    </row>
    <row r="297" spans="1:5" x14ac:dyDescent="0.25">
      <c r="A297" s="16" t="s">
        <v>443</v>
      </c>
      <c r="B297" s="35" t="s">
        <v>299</v>
      </c>
      <c r="C297" s="292"/>
      <c r="D297" s="16"/>
      <c r="E297" s="16"/>
    </row>
    <row r="298" spans="1:5" x14ac:dyDescent="0.25">
      <c r="A298" s="16" t="s">
        <v>431</v>
      </c>
      <c r="B298" s="35" t="s">
        <v>299</v>
      </c>
      <c r="C298" s="292"/>
      <c r="D298" s="16"/>
      <c r="E298" s="16"/>
    </row>
    <row r="299" spans="1:5" x14ac:dyDescent="0.25">
      <c r="A299" s="16" t="s">
        <v>444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/>
      <c r="D302" s="16"/>
      <c r="E302" s="16"/>
    </row>
    <row r="303" spans="1:5" x14ac:dyDescent="0.25">
      <c r="A303" s="16" t="s">
        <v>447</v>
      </c>
      <c r="B303" s="35" t="s">
        <v>299</v>
      </c>
      <c r="C303" s="292"/>
      <c r="D303" s="16"/>
      <c r="E303" s="16"/>
    </row>
    <row r="304" spans="1:5" x14ac:dyDescent="0.25">
      <c r="A304" s="16" t="s">
        <v>448</v>
      </c>
      <c r="B304" s="35" t="s">
        <v>299</v>
      </c>
      <c r="C304" s="292"/>
      <c r="D304" s="16"/>
      <c r="E304" s="16"/>
    </row>
    <row r="305" spans="1:6" x14ac:dyDescent="0.25">
      <c r="A305" s="16" t="s">
        <v>449</v>
      </c>
      <c r="B305" s="35" t="s">
        <v>299</v>
      </c>
      <c r="C305" s="292"/>
      <c r="D305" s="16"/>
      <c r="E305" s="16"/>
    </row>
    <row r="306" spans="1:6" x14ac:dyDescent="0.25">
      <c r="A306" s="16" t="s">
        <v>450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f>D276+D281+D293+D299+D306</f>
        <v>239387253.20000005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239387253.20000005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292"/>
      <c r="D314" s="16"/>
      <c r="E314" s="16"/>
    </row>
    <row r="315" spans="1:6" x14ac:dyDescent="0.25">
      <c r="A315" s="16" t="s">
        <v>455</v>
      </c>
      <c r="B315" s="35" t="s">
        <v>299</v>
      </c>
      <c r="C315" s="292">
        <v>4557571.7600000007</v>
      </c>
      <c r="D315" s="16"/>
      <c r="E315" s="16"/>
    </row>
    <row r="316" spans="1:6" x14ac:dyDescent="0.25">
      <c r="A316" s="16" t="s">
        <v>456</v>
      </c>
      <c r="B316" s="35" t="s">
        <v>299</v>
      </c>
      <c r="C316" s="292">
        <v>9092855.1899999995</v>
      </c>
      <c r="D316" s="16"/>
      <c r="E316" s="16"/>
    </row>
    <row r="317" spans="1:6" x14ac:dyDescent="0.25">
      <c r="A317" s="16" t="s">
        <v>457</v>
      </c>
      <c r="B317" s="35" t="s">
        <v>299</v>
      </c>
      <c r="C317" s="292">
        <v>90450.42</v>
      </c>
      <c r="D317" s="16"/>
      <c r="E317" s="16"/>
    </row>
    <row r="318" spans="1:6" x14ac:dyDescent="0.25">
      <c r="A318" s="16" t="s">
        <v>458</v>
      </c>
      <c r="B318" s="35" t="s">
        <v>299</v>
      </c>
      <c r="C318" s="292"/>
      <c r="D318" s="16"/>
      <c r="E318" s="16"/>
    </row>
    <row r="319" spans="1:6" x14ac:dyDescent="0.25">
      <c r="A319" s="16" t="s">
        <v>459</v>
      </c>
      <c r="B319" s="35" t="s">
        <v>299</v>
      </c>
      <c r="C319" s="292">
        <v>1934185.5</v>
      </c>
      <c r="D319" s="16"/>
      <c r="E319" s="16"/>
    </row>
    <row r="320" spans="1:6" x14ac:dyDescent="0.25">
      <c r="A320" s="16" t="s">
        <v>460</v>
      </c>
      <c r="B320" s="35" t="s">
        <v>299</v>
      </c>
      <c r="C320" s="292"/>
      <c r="D320" s="16"/>
      <c r="E320" s="16"/>
    </row>
    <row r="321" spans="1:5" x14ac:dyDescent="0.25">
      <c r="A321" s="16" t="s">
        <v>461</v>
      </c>
      <c r="B321" s="35" t="s">
        <v>299</v>
      </c>
      <c r="C321" s="292"/>
      <c r="D321" s="16"/>
      <c r="E321" s="16"/>
    </row>
    <row r="322" spans="1:5" x14ac:dyDescent="0.25">
      <c r="A322" s="16" t="s">
        <v>462</v>
      </c>
      <c r="B322" s="35" t="s">
        <v>299</v>
      </c>
      <c r="C322" s="292">
        <v>210033.46000000005</v>
      </c>
      <c r="D322" s="16"/>
      <c r="E322" s="16"/>
    </row>
    <row r="323" spans="1:5" x14ac:dyDescent="0.25">
      <c r="A323" s="16" t="s">
        <v>463</v>
      </c>
      <c r="B323" s="35" t="s">
        <v>299</v>
      </c>
      <c r="C323" s="292">
        <v>7325759.3300000001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f>SUM(C314:C323)</f>
        <v>23210855.66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/>
      <c r="D326" s="16"/>
      <c r="E326" s="16"/>
    </row>
    <row r="327" spans="1:5" x14ac:dyDescent="0.25">
      <c r="A327" s="16" t="s">
        <v>467</v>
      </c>
      <c r="B327" s="35" t="s">
        <v>299</v>
      </c>
      <c r="C327" s="292"/>
      <c r="D327" s="16"/>
      <c r="E327" s="16"/>
    </row>
    <row r="328" spans="1:5" x14ac:dyDescent="0.25">
      <c r="A328" s="16" t="s">
        <v>468</v>
      </c>
      <c r="B328" s="35" t="s">
        <v>299</v>
      </c>
      <c r="C328" s="292"/>
      <c r="D328" s="16"/>
      <c r="E328" s="16"/>
    </row>
    <row r="329" spans="1:5" x14ac:dyDescent="0.25">
      <c r="A329" s="16" t="s">
        <v>469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292"/>
      <c r="D331" s="16"/>
      <c r="E331" s="16"/>
    </row>
    <row r="332" spans="1:5" x14ac:dyDescent="0.25">
      <c r="A332" s="16" t="s">
        <v>472</v>
      </c>
      <c r="B332" s="35" t="s">
        <v>299</v>
      </c>
      <c r="C332" s="292"/>
      <c r="D332" s="16"/>
      <c r="E332" s="16"/>
    </row>
    <row r="333" spans="1:5" x14ac:dyDescent="0.25">
      <c r="A333" s="16" t="s">
        <v>473</v>
      </c>
      <c r="B333" s="35" t="s">
        <v>299</v>
      </c>
      <c r="C333" s="292"/>
      <c r="D333" s="16"/>
      <c r="E333" s="16"/>
    </row>
    <row r="334" spans="1:5" x14ac:dyDescent="0.25">
      <c r="A334" s="21" t="s">
        <v>474</v>
      </c>
      <c r="B334" s="35" t="s">
        <v>299</v>
      </c>
      <c r="C334" s="292">
        <v>33582903.909999996</v>
      </c>
      <c r="D334" s="16"/>
      <c r="E334" s="16"/>
    </row>
    <row r="335" spans="1:5" x14ac:dyDescent="0.25">
      <c r="A335" s="16" t="s">
        <v>475</v>
      </c>
      <c r="B335" s="35" t="s">
        <v>299</v>
      </c>
      <c r="C335" s="292">
        <v>61451427.960000001</v>
      </c>
      <c r="D335" s="16"/>
      <c r="E335" s="16"/>
    </row>
    <row r="336" spans="1:5" x14ac:dyDescent="0.25">
      <c r="A336" s="21" t="s">
        <v>476</v>
      </c>
      <c r="B336" s="35" t="s">
        <v>299</v>
      </c>
      <c r="C336" s="292"/>
      <c r="D336" s="16"/>
      <c r="E336" s="16"/>
    </row>
    <row r="337" spans="1:5" x14ac:dyDescent="0.25">
      <c r="A337" s="21" t="s">
        <v>477</v>
      </c>
      <c r="B337" s="35" t="s">
        <v>299</v>
      </c>
      <c r="C337" s="298"/>
      <c r="D337" s="16"/>
      <c r="E337" s="16"/>
    </row>
    <row r="338" spans="1:5" x14ac:dyDescent="0.25">
      <c r="A338" s="16" t="s">
        <v>478</v>
      </c>
      <c r="B338" s="35" t="s">
        <v>299</v>
      </c>
      <c r="C338" s="292" t="s">
        <v>390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95034331.870000005</v>
      </c>
      <c r="E339" s="16"/>
    </row>
    <row r="340" spans="1:5" x14ac:dyDescent="0.25">
      <c r="A340" s="16" t="s">
        <v>479</v>
      </c>
      <c r="B340" s="16"/>
      <c r="C340" s="22"/>
      <c r="D340" s="25">
        <f>C323</f>
        <v>7325759.3300000001</v>
      </c>
      <c r="E340" s="16"/>
    </row>
    <row r="341" spans="1:5" x14ac:dyDescent="0.25">
      <c r="A341" s="16" t="s">
        <v>480</v>
      </c>
      <c r="B341" s="16"/>
      <c r="C341" s="22"/>
      <c r="D341" s="25">
        <f>D339-D340</f>
        <v>87708572.540000007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297">
        <v>128467825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/>
      <c r="D345" s="16"/>
      <c r="E345" s="16"/>
    </row>
    <row r="346" spans="1:5" x14ac:dyDescent="0.25">
      <c r="A346" s="16" t="s">
        <v>483</v>
      </c>
      <c r="B346" s="35" t="s">
        <v>299</v>
      </c>
      <c r="C346" s="293"/>
      <c r="D346" s="16"/>
      <c r="E346" s="16"/>
    </row>
    <row r="347" spans="1:5" x14ac:dyDescent="0.25">
      <c r="A347" s="16" t="s">
        <v>484</v>
      </c>
      <c r="B347" s="35" t="s">
        <v>299</v>
      </c>
      <c r="C347" s="293"/>
      <c r="D347" s="16"/>
      <c r="E347" s="16"/>
    </row>
    <row r="348" spans="1:5" x14ac:dyDescent="0.25">
      <c r="A348" s="16" t="s">
        <v>485</v>
      </c>
      <c r="B348" s="35" t="s">
        <v>299</v>
      </c>
      <c r="C348" s="293"/>
      <c r="D348" s="16"/>
      <c r="E348" s="16"/>
    </row>
    <row r="349" spans="1:5" x14ac:dyDescent="0.25">
      <c r="A349" s="16" t="s">
        <v>486</v>
      </c>
      <c r="B349" s="35" t="s">
        <v>299</v>
      </c>
      <c r="C349" s="293"/>
      <c r="D349" s="16"/>
      <c r="E349" s="16"/>
    </row>
    <row r="350" spans="1:5" x14ac:dyDescent="0.25">
      <c r="A350" s="16" t="s">
        <v>487</v>
      </c>
      <c r="B350" s="16"/>
      <c r="C350" s="22"/>
      <c r="D350" s="25">
        <f>D324+D329+D341+C343+C347+C348</f>
        <v>239387253.19999999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f>D308</f>
        <v>239387253.20000005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292">
        <v>83553519.780000001</v>
      </c>
      <c r="D358" s="16"/>
      <c r="E358" s="16"/>
    </row>
    <row r="359" spans="1:5" x14ac:dyDescent="0.25">
      <c r="A359" s="16" t="s">
        <v>492</v>
      </c>
      <c r="B359" s="35" t="s">
        <v>299</v>
      </c>
      <c r="C359" s="292">
        <v>281205208.88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f>SUM(C358:C359)</f>
        <v>364758728.65999997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292">
        <v>5374296.7500000009</v>
      </c>
      <c r="D362" s="16"/>
      <c r="E362" s="34"/>
    </row>
    <row r="363" spans="1:5" x14ac:dyDescent="0.25">
      <c r="A363" s="16" t="s">
        <v>495</v>
      </c>
      <c r="B363" s="35" t="s">
        <v>299</v>
      </c>
      <c r="C363" s="292">
        <v>206262927.53999999</v>
      </c>
      <c r="D363" s="16"/>
      <c r="E363" s="16"/>
    </row>
    <row r="364" spans="1:5" x14ac:dyDescent="0.25">
      <c r="A364" s="16" t="s">
        <v>496</v>
      </c>
      <c r="B364" s="35" t="s">
        <v>299</v>
      </c>
      <c r="C364" s="292">
        <v>5844651.1699999999</v>
      </c>
      <c r="D364" s="16"/>
      <c r="E364" s="16"/>
    </row>
    <row r="365" spans="1:5" x14ac:dyDescent="0.25">
      <c r="A365" s="16" t="s">
        <v>497</v>
      </c>
      <c r="B365" s="35" t="s">
        <v>299</v>
      </c>
      <c r="C365" s="292">
        <v>5077494.0299999993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f>SUM(C362:C365)</f>
        <v>222559369.48999998</v>
      </c>
      <c r="E366" s="16"/>
    </row>
    <row r="367" spans="1:5" x14ac:dyDescent="0.25">
      <c r="A367" s="16" t="s">
        <v>498</v>
      </c>
      <c r="B367" s="16"/>
      <c r="C367" s="22"/>
      <c r="D367" s="25">
        <f>D360-D366</f>
        <v>142199359.16999999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292"/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292"/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292"/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292"/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292"/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292"/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294">
        <v>4092983.32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512</v>
      </c>
      <c r="B381" s="35"/>
      <c r="C381" s="35"/>
      <c r="D381" s="25">
        <f>SUM(C370:C380)</f>
        <v>4092983.32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>
        <v>2497568.17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f>D381+C382</f>
        <v>6590551.4900000002</v>
      </c>
      <c r="E383" s="16"/>
    </row>
    <row r="384" spans="1:6" x14ac:dyDescent="0.25">
      <c r="A384" s="16" t="s">
        <v>515</v>
      </c>
      <c r="B384" s="16"/>
      <c r="C384" s="22"/>
      <c r="D384" s="25">
        <f>D367+D383</f>
        <v>148789910.66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292">
        <v>63939663.000000007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20090477.329999998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13190696.939999999</v>
      </c>
      <c r="D391" s="16"/>
      <c r="E391" s="16"/>
    </row>
    <row r="392" spans="1:5" x14ac:dyDescent="0.25">
      <c r="A392" s="16" t="s">
        <v>518</v>
      </c>
      <c r="B392" s="35" t="s">
        <v>299</v>
      </c>
      <c r="C392" s="292">
        <v>16377758.609999999</v>
      </c>
      <c r="D392" s="16"/>
      <c r="E392" s="16"/>
    </row>
    <row r="393" spans="1:5" x14ac:dyDescent="0.25">
      <c r="A393" s="16" t="s">
        <v>519</v>
      </c>
      <c r="B393" s="35" t="s">
        <v>299</v>
      </c>
      <c r="C393" s="292">
        <v>1315097.7100000002</v>
      </c>
      <c r="D393" s="16"/>
      <c r="E393" s="16"/>
    </row>
    <row r="394" spans="1:5" x14ac:dyDescent="0.25">
      <c r="A394" s="16" t="s">
        <v>520</v>
      </c>
      <c r="B394" s="35" t="s">
        <v>299</v>
      </c>
      <c r="C394" s="292">
        <v>12291101.229999999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13522642.25</v>
      </c>
      <c r="D395" s="16"/>
      <c r="E395" s="16"/>
    </row>
    <row r="396" spans="1:5" x14ac:dyDescent="0.25">
      <c r="A396" s="16" t="s">
        <v>521</v>
      </c>
      <c r="B396" s="35" t="s">
        <v>299</v>
      </c>
      <c r="C396" s="292">
        <v>329857.11</v>
      </c>
      <c r="D396" s="16"/>
      <c r="E396" s="16"/>
    </row>
    <row r="397" spans="1:5" x14ac:dyDescent="0.25">
      <c r="A397" s="16" t="s">
        <v>522</v>
      </c>
      <c r="B397" s="35" t="s">
        <v>299</v>
      </c>
      <c r="C397" s="294">
        <v>1368507.6699999997</v>
      </c>
      <c r="D397" s="16"/>
      <c r="E397" s="16"/>
    </row>
    <row r="398" spans="1:5" x14ac:dyDescent="0.25">
      <c r="A398" s="16" t="s">
        <v>523</v>
      </c>
      <c r="B398" s="35" t="s">
        <v>299</v>
      </c>
      <c r="C398" s="294">
        <v>728381.52</v>
      </c>
      <c r="D398" s="16"/>
      <c r="E398" s="16"/>
    </row>
    <row r="399" spans="1:5" x14ac:dyDescent="0.25">
      <c r="A399" s="16" t="s">
        <v>524</v>
      </c>
      <c r="B399" s="35" t="s">
        <v>299</v>
      </c>
      <c r="C399" s="294">
        <v>3025398.7999999993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/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/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292"/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/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/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/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/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/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/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/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/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/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/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1797975.73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f>SUM(C401:C414)</f>
        <v>1797975.73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f>SUM(C389:C399,D415)</f>
        <v>147977557.90000001</v>
      </c>
      <c r="E416" s="25"/>
    </row>
    <row r="417" spans="1:13" x14ac:dyDescent="0.25">
      <c r="A417" s="25" t="s">
        <v>529</v>
      </c>
      <c r="B417" s="16"/>
      <c r="C417" s="22"/>
      <c r="D417" s="25">
        <f>D384-D416</f>
        <v>812352.75999999046</v>
      </c>
      <c r="E417" s="25"/>
    </row>
    <row r="418" spans="1:13" x14ac:dyDescent="0.25">
      <c r="A418" s="25" t="s">
        <v>530</v>
      </c>
      <c r="B418" s="16"/>
      <c r="C418" s="294">
        <v>12707650.030000001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f>SUM(C418:C419)</f>
        <v>12707650.030000001</v>
      </c>
      <c r="E420" s="25"/>
      <c r="F420" s="11">
        <f>D420-C399</f>
        <v>9682251.2300000023</v>
      </c>
    </row>
    <row r="421" spans="1:13" x14ac:dyDescent="0.25">
      <c r="A421" s="25" t="s">
        <v>533</v>
      </c>
      <c r="B421" s="16"/>
      <c r="C421" s="22"/>
      <c r="D421" s="25">
        <f>D417+D420</f>
        <v>13520002.789999992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f>D421+C422-C423</f>
        <v>13520002.789999992</v>
      </c>
      <c r="E424" s="16"/>
    </row>
    <row r="426" spans="1:13" ht="29.1" customHeight="1" x14ac:dyDescent="0.25">
      <c r="A426" s="349" t="s">
        <v>537</v>
      </c>
      <c r="B426" s="349"/>
      <c r="C426" s="349"/>
      <c r="D426" s="349"/>
      <c r="E426" s="349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198275</v>
      </c>
      <c r="E612" s="219">
        <f>SUM(C624:D647)+SUM(C668:D713)</f>
        <v>121527030.98045401</v>
      </c>
      <c r="F612" s="219">
        <f>CE64-(AX64+BD64+BE64+BG64+BJ64+BN64+BP64+BQ64+CB64+CC64+CD64)</f>
        <v>16184335.83</v>
      </c>
      <c r="G612" s="217">
        <f>CE91-(AX91+AY91+BD91+BE91+BG91+BJ91+BN91+BP91+BQ91+CB91+CC91+CD91)</f>
        <v>34002.114391143921</v>
      </c>
      <c r="H612" s="222">
        <f>CE60-(AX60+AY60+AZ60+BD60+BE60+BG60+BJ60+BN60+BO60+BP60+BQ60+BR60+CB60+CC60+CD60)</f>
        <v>539.67655846371099</v>
      </c>
      <c r="I612" s="217">
        <f>CE92-(AX92+AY92+AZ92+BD92+BE92+BF92+BG92+BJ92+BN92+BO92+BP92+BQ92+BR92+CB92+CC92+CD92)</f>
        <v>170065</v>
      </c>
      <c r="J612" s="217">
        <f>CE93-(AX93+AY93+AZ93+BA93+BD93+BE93+BF93+BG93+BJ93+BN93+BO93+BP93+BQ93+BR93+CB93+CC93+CD93)</f>
        <v>18993</v>
      </c>
      <c r="K612" s="217">
        <f>CE89-(AW89+AX89+AY89+AZ89+BA89+BB89+BC89+BD89+BE89+BF89+BG89+BH89+BI89+BJ89+BK89+BL89+BM89+BN89+BO89+BP89+BQ89+BR89+BS89+BT89+BU89+BV89+BW89+BX89+CB89+CC89+CD89)</f>
        <v>364612338.5</v>
      </c>
      <c r="L612" s="223">
        <f>CE94-(AW94+AX94+AY94+AZ94+BA94+BB94+BC94+BD94+BE94+BF94+BG94+BH94+BI94+BJ94+BK94+BL94+BM94+BN94+BO94+BP94+BQ94+BR94+BS94+BT94+BU94+BV94+BW94+BX94+BY94+BZ94+CA94+CB94+CC94+CD94)</f>
        <v>128.41853643218391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4928942.0800000001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-8268486.4000000032</v>
      </c>
      <c r="D615" s="217">
        <f>SUM(C614:C615)</f>
        <v>-3339544.3200000031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1053819.1199999999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4643085.49</v>
      </c>
      <c r="D619" s="217">
        <f>(D615/D612)*BN90</f>
        <v>-164337.07693980596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3651725.61</v>
      </c>
      <c r="D620" s="217">
        <f>(D615/D612)*CC90</f>
        <v>-48524.661131862355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561739.31000000006</v>
      </c>
      <c r="D621" s="217">
        <f>(D615/D612)*BP90</f>
        <v>-47968.842382347786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0</v>
      </c>
      <c r="D623" s="217">
        <f>(D615/D612)*BQ90</f>
        <v>0</v>
      </c>
      <c r="E623" s="219">
        <f>SUM(C616:D623)</f>
        <v>9649538.9495459851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1091853.54</v>
      </c>
      <c r="D624" s="217">
        <f>(D615/D612)*BD90</f>
        <v>-57299.860177228642</v>
      </c>
      <c r="E624" s="219">
        <f>(E623/E612)*SUM(C624:D624)</f>
        <v>82146.053831032725</v>
      </c>
      <c r="F624" s="219">
        <f>SUM(C624:E624)</f>
        <v>1116699.7336538041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2230024.71</v>
      </c>
      <c r="D625" s="217">
        <f>(D615/D612)*AY90</f>
        <v>-84888.681744042435</v>
      </c>
      <c r="E625" s="219">
        <f>(E623/E612)*SUM(C625:D625)</f>
        <v>170328.96705967817</v>
      </c>
      <c r="F625" s="219">
        <f>(F624/F612)*AY64</f>
        <v>71220.70583689159</v>
      </c>
      <c r="G625" s="217">
        <f>SUM(C625:F625)</f>
        <v>2386685.7011525272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2201557.4300000002</v>
      </c>
      <c r="D626" s="217">
        <f>(D615/D612)*BR90</f>
        <v>-35858.730839894117</v>
      </c>
      <c r="E626" s="219">
        <f>(E623/E612)*SUM(C626:D626)</f>
        <v>171961.69265328036</v>
      </c>
      <c r="F626" s="219">
        <f>(F624/F612)*BR64</f>
        <v>928.38711937924325</v>
      </c>
      <c r="G626" s="217">
        <f>(G625/G612)*BR91</f>
        <v>0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363239.54000000004</v>
      </c>
      <c r="D627" s="217">
        <f>(D615/D612)*BO90</f>
        <v>-2307.4899601059155</v>
      </c>
      <c r="E627" s="219">
        <f>(E623/E612)*SUM(C627:D627)</f>
        <v>28658.874053786476</v>
      </c>
      <c r="F627" s="219">
        <f>(F624/F612)*BO64</f>
        <v>1848.3301657461586</v>
      </c>
      <c r="G627" s="217">
        <f>(G625/G612)*BO91</f>
        <v>0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2730028.0331921922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3109282.1799999997</v>
      </c>
      <c r="D629" s="217">
        <f>(D615/D612)*BF90</f>
        <v>-33955.472697616977</v>
      </c>
      <c r="E629" s="219">
        <f>(E623/E612)*SUM(C629:D629)</f>
        <v>244188.34727778586</v>
      </c>
      <c r="F629" s="219">
        <f>(F624/F612)*BF64</f>
        <v>12434.479860515579</v>
      </c>
      <c r="G629" s="217">
        <f>(G625/G612)*BF91</f>
        <v>0</v>
      </c>
      <c r="H629" s="219">
        <f>(H628/H612)*BF60</f>
        <v>163619.54462628425</v>
      </c>
      <c r="I629" s="217">
        <f>SUM(C629:H629)</f>
        <v>3495569.0790669685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505504.02</v>
      </c>
      <c r="D630" s="217">
        <f>(D615/D612)*BA90</f>
        <v>-24607.611910326588</v>
      </c>
      <c r="E630" s="219">
        <f>(E623/E612)*SUM(C630:D630)</f>
        <v>38184.333009044014</v>
      </c>
      <c r="F630" s="219">
        <f>(F624/F612)*BA64</f>
        <v>1350.6659786864595</v>
      </c>
      <c r="G630" s="217">
        <f>(G625/G612)*BA91</f>
        <v>0</v>
      </c>
      <c r="H630" s="219">
        <f>(H628/H612)*BA60</f>
        <v>5178.0496709407189</v>
      </c>
      <c r="I630" s="217">
        <f>(I629/I612)*BA92</f>
        <v>30029.849907487376</v>
      </c>
      <c r="J630" s="217">
        <f>SUM(C630:I630)</f>
        <v>555639.30665583198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2483388.7900000005</v>
      </c>
      <c r="D635" s="217">
        <f>(D615/D612)*BK90</f>
        <v>-49299.438782700832</v>
      </c>
      <c r="E635" s="219">
        <f>(E623/E612)*SUM(C635:D635)</f>
        <v>193272.55682749423</v>
      </c>
      <c r="F635" s="219">
        <f>(F624/F612)*BK64</f>
        <v>1064.0063286284719</v>
      </c>
      <c r="G635" s="217">
        <f>(G625/G612)*BK91</f>
        <v>0</v>
      </c>
      <c r="H635" s="219">
        <f>(H628/H612)*BK60</f>
        <v>107152.23040524831</v>
      </c>
      <c r="I635" s="217">
        <f>(I629/I612)*BK92</f>
        <v>60162.471375233094</v>
      </c>
      <c r="J635" s="217">
        <f>(J630/J612)*BK93</f>
        <v>0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6016837.9499999993</v>
      </c>
      <c r="D636" s="217">
        <f>(D615/D612)*BH90</f>
        <v>-143182.27847343349</v>
      </c>
      <c r="E636" s="219">
        <f>(E623/E612)*SUM(C636:D636)</f>
        <v>466382.40662468894</v>
      </c>
      <c r="F636" s="219">
        <f>(F624/F612)*BH64</f>
        <v>6677.2559576665535</v>
      </c>
      <c r="G636" s="217">
        <f>(G625/G612)*BH91</f>
        <v>0</v>
      </c>
      <c r="H636" s="219">
        <f>(H628/H612)*BH60</f>
        <v>0</v>
      </c>
      <c r="I636" s="217">
        <f>(I629/I612)*BH92</f>
        <v>174732.20675123218</v>
      </c>
      <c r="J636" s="217">
        <f>(J630/J612)*BH93</f>
        <v>0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2255988.2800000003</v>
      </c>
      <c r="D637" s="217">
        <f>(D615/D612)*BL90</f>
        <v>-62218.013960812052</v>
      </c>
      <c r="E637" s="219">
        <f>(E623/E612)*SUM(C637:D637)</f>
        <v>174190.64267196431</v>
      </c>
      <c r="F637" s="219">
        <f>(F624/F612)*BL64</f>
        <v>955.63888500229416</v>
      </c>
      <c r="G637" s="217">
        <f>(G625/G612)*BL91</f>
        <v>0</v>
      </c>
      <c r="H637" s="219">
        <f>(H628/H612)*BL60</f>
        <v>124322.56085277982</v>
      </c>
      <c r="I637" s="217">
        <f>(I629/I612)*BL92</f>
        <v>75927.628718862674</v>
      </c>
      <c r="J637" s="217">
        <f>(J630/J612)*BL93</f>
        <v>0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2514264.4300000002</v>
      </c>
      <c r="D642" s="217">
        <f>(D615/D612)*BV90</f>
        <v>-76568.24349373352</v>
      </c>
      <c r="E642" s="219">
        <f>(E623/E612)*SUM(C642:D642)</f>
        <v>193558.94823625893</v>
      </c>
      <c r="F642" s="219">
        <f>(F624/F612)*BV64</f>
        <v>541.77166927191126</v>
      </c>
      <c r="G642" s="217">
        <f>(G625/G612)*BV91</f>
        <v>0</v>
      </c>
      <c r="H642" s="219">
        <f>(H628/H612)*BV60</f>
        <v>120250.20651762202</v>
      </c>
      <c r="I642" s="217">
        <f>(I629/I612)*BV92</f>
        <v>93439.902586884069</v>
      </c>
      <c r="J642" s="217">
        <f>(J630/J612)*BV93</f>
        <v>0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429984.25</v>
      </c>
      <c r="D643" s="217">
        <f>(D615/D612)*BW90</f>
        <v>-17213.538242541938</v>
      </c>
      <c r="E643" s="219">
        <f>(E623/E612)*SUM(C643:D643)</f>
        <v>32774.988644098688</v>
      </c>
      <c r="F643" s="219">
        <f>(F624/F612)*BW64</f>
        <v>77.993482351812645</v>
      </c>
      <c r="G643" s="217">
        <f>(G625/G612)*BW91</f>
        <v>0</v>
      </c>
      <c r="H643" s="219">
        <f>(H628/H612)*BW60</f>
        <v>10134.5067403304</v>
      </c>
      <c r="I643" s="217">
        <f>(I629/I612)*BW92</f>
        <v>21006.506916804996</v>
      </c>
      <c r="J643" s="217">
        <f>(J630/J612)*BW93</f>
        <v>0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15208606.617239201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2696847.7499999995</v>
      </c>
      <c r="D645" s="217">
        <f>(D615/D612)*BY90</f>
        <v>-15495.553016769651</v>
      </c>
      <c r="E645" s="219">
        <f>(E623/E612)*SUM(C645:D645)</f>
        <v>212905.82229727827</v>
      </c>
      <c r="F645" s="219">
        <f>(F624/F612)*BY64</f>
        <v>622.22012888944244</v>
      </c>
      <c r="G645" s="217">
        <f>(G625/G612)*BY91</f>
        <v>0</v>
      </c>
      <c r="H645" s="219">
        <f>(H628/H612)*BY60</f>
        <v>70482.76025233962</v>
      </c>
      <c r="I645" s="217">
        <f>(I629/I612)*BY92</f>
        <v>18909.967087534831</v>
      </c>
      <c r="J645" s="217">
        <f>(J630/J612)*BY93</f>
        <v>0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266725.19</v>
      </c>
      <c r="D647" s="217">
        <f>(D615/D612)*CA90</f>
        <v>-17617.770060370713</v>
      </c>
      <c r="E647" s="219">
        <f>(E623/E612)*SUM(C647:D647)</f>
        <v>19779.729101708865</v>
      </c>
      <c r="F647" s="219">
        <f>(F624/F612)*CA64</f>
        <v>492.78321202381034</v>
      </c>
      <c r="G647" s="217">
        <f>(G625/G612)*CA91</f>
        <v>0</v>
      </c>
      <c r="H647" s="219">
        <f>(H628/H612)*CA60</f>
        <v>5286.6046243171795</v>
      </c>
      <c r="I647" s="217">
        <f>(I629/I612)*CA92</f>
        <v>21499.810406045035</v>
      </c>
      <c r="J647" s="217">
        <f>(J630/J612)*CA93</f>
        <v>0</v>
      </c>
      <c r="K647" s="219">
        <v>0</v>
      </c>
      <c r="L647" s="219">
        <f>SUM(C645:K647)</f>
        <v>3280439.3140329965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32736323.269999996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336</v>
      </c>
      <c r="C668" s="217">
        <f>C85</f>
        <v>4045718.9499999997</v>
      </c>
      <c r="D668" s="217">
        <f>(D615/D612)*C90</f>
        <v>-109782.62452533108</v>
      </c>
      <c r="E668" s="219">
        <f>(E623/E612)*SUM(C668:D668)</f>
        <v>312522.82368117169</v>
      </c>
      <c r="F668" s="219">
        <f>(F624/F612)*C64</f>
        <v>17328.042347292063</v>
      </c>
      <c r="G668" s="217">
        <f>(G625/G612)*C91</f>
        <v>376637.41186791577</v>
      </c>
      <c r="H668" s="219">
        <f>(H628/H612)*C60</f>
        <v>99576.910506896573</v>
      </c>
      <c r="I668" s="217">
        <f>(I629/I612)*C92</f>
        <v>133973.00595277394</v>
      </c>
      <c r="J668" s="217">
        <f>(J630/J612)*C93</f>
        <v>7138.208330649345</v>
      </c>
      <c r="K668" s="217">
        <f>(K644/K612)*C89</f>
        <v>587238.619410994</v>
      </c>
      <c r="L668" s="217">
        <f>(L647/L612)*C94</f>
        <v>502839.50173337728</v>
      </c>
      <c r="M668" s="202">
        <f t="shared" ref="M668:M713" si="24">ROUND(SUM(D668:L668),0)</f>
        <v>1927472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337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9656145.3800000008</v>
      </c>
      <c r="D670" s="217">
        <f>(D615/D612)*E90</f>
        <v>-321768.52699170372</v>
      </c>
      <c r="E670" s="219">
        <f>(E623/E612)*SUM(C670:D670)</f>
        <v>741172.00334904063</v>
      </c>
      <c r="F670" s="219">
        <f>(F624/F612)*E64</f>
        <v>24667.586726371257</v>
      </c>
      <c r="G670" s="217">
        <f>(G625/G612)*E91</f>
        <v>1882026.3893492306</v>
      </c>
      <c r="H670" s="219">
        <f>(H628/H612)*E60</f>
        <v>238033.10817397031</v>
      </c>
      <c r="I670" s="217">
        <f>(I629/I612)*E92</f>
        <v>392669.57743507111</v>
      </c>
      <c r="J670" s="217">
        <f>(J630/J612)*E93</f>
        <v>36276.140696742572</v>
      </c>
      <c r="K670" s="217">
        <f>(K644/K612)*E89</f>
        <v>1446073.011684418</v>
      </c>
      <c r="L670" s="217">
        <f>(L647/L612)*E94</f>
        <v>1202010.0734291871</v>
      </c>
      <c r="M670" s="202">
        <f t="shared" si="24"/>
        <v>5641159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70864.98</v>
      </c>
      <c r="D675" s="217">
        <f>(D615/D612)*J90</f>
        <v>-8118.3223413945343</v>
      </c>
      <c r="E675" s="219">
        <f>(E623/E612)*SUM(C675:D675)</f>
        <v>4982.2357392070571</v>
      </c>
      <c r="F675" s="219">
        <f>(F624/F612)*J64</f>
        <v>2245.9750738615035</v>
      </c>
      <c r="G675" s="217">
        <f>(G625/G612)*J91</f>
        <v>0</v>
      </c>
      <c r="H675" s="219">
        <f>(H628/H612)*J60</f>
        <v>0</v>
      </c>
      <c r="I675" s="217">
        <f>(I629/I612)*J92</f>
        <v>9907.1784089041175</v>
      </c>
      <c r="J675" s="217">
        <f>(J630/J612)*J93</f>
        <v>0</v>
      </c>
      <c r="K675" s="217">
        <f>(K644/K612)*J89</f>
        <v>61715.129576902495</v>
      </c>
      <c r="L675" s="217">
        <f>(L647/L612)*J94</f>
        <v>0</v>
      </c>
      <c r="M675" s="202">
        <f t="shared" si="24"/>
        <v>70732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342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343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514477.38999999996</v>
      </c>
      <c r="D680" s="217">
        <f>(D615/D612)*O90</f>
        <v>-16421.917599293924</v>
      </c>
      <c r="E680" s="219">
        <f>(E623/E612)*SUM(C680:D680)</f>
        <v>39546.804041794778</v>
      </c>
      <c r="F680" s="219">
        <f>(F624/F612)*O64</f>
        <v>7675.7631064523839</v>
      </c>
      <c r="G680" s="217">
        <f>(G625/G612)*O91</f>
        <v>0</v>
      </c>
      <c r="H680" s="219">
        <f>(H628/H612)*O60</f>
        <v>0</v>
      </c>
      <c r="I680" s="217">
        <f>(I629/I612)*O92</f>
        <v>20040.454250376588</v>
      </c>
      <c r="J680" s="217">
        <f>(J630/J612)*O93</f>
        <v>118014.47707311253</v>
      </c>
      <c r="K680" s="217">
        <f>(K644/K612)*O89</f>
        <v>171262.76582810906</v>
      </c>
      <c r="L680" s="217">
        <f>(L647/L612)*O94</f>
        <v>0</v>
      </c>
      <c r="M680" s="202">
        <f t="shared" si="24"/>
        <v>340118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4746167.7899999991</v>
      </c>
      <c r="D681" s="217">
        <f>(D615/D612)*P90</f>
        <v>-110591.08816098861</v>
      </c>
      <c r="E681" s="219">
        <f>(E623/E612)*SUM(C681:D681)</f>
        <v>368075.9546013911</v>
      </c>
      <c r="F681" s="219">
        <f>(F624/F612)*P64</f>
        <v>83449.437488907482</v>
      </c>
      <c r="G681" s="217">
        <f>(G625/G612)*P91</f>
        <v>29481.017754838398</v>
      </c>
      <c r="H681" s="219">
        <f>(H628/H612)*P60</f>
        <v>75570.03189702137</v>
      </c>
      <c r="I681" s="217">
        <f>(I629/I612)*P92</f>
        <v>134959.61293125403</v>
      </c>
      <c r="J681" s="217">
        <f>(J630/J612)*P93</f>
        <v>333009.12060566182</v>
      </c>
      <c r="K681" s="217">
        <f>(K644/K612)*P89</f>
        <v>1218888.2117825293</v>
      </c>
      <c r="L681" s="217">
        <f>(L647/L612)*P94</f>
        <v>381610.52589035535</v>
      </c>
      <c r="M681" s="202">
        <f t="shared" si="24"/>
        <v>2514453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2928470.44</v>
      </c>
      <c r="D682" s="217">
        <f>(D615/D612)*Q90</f>
        <v>-120376.86675092684</v>
      </c>
      <c r="E682" s="219">
        <f>(E623/E612)*SUM(C682:D682)</f>
        <v>222969.39282088485</v>
      </c>
      <c r="F682" s="219">
        <f>(F624/F612)*Q64</f>
        <v>9295.4526421918381</v>
      </c>
      <c r="G682" s="217">
        <f>(G625/G612)*Q91</f>
        <v>0</v>
      </c>
      <c r="H682" s="219">
        <f>(H628/H612)*Q60</f>
        <v>71057.151909004475</v>
      </c>
      <c r="I682" s="217">
        <f>(I629/I612)*Q92</f>
        <v>146901.66823327329</v>
      </c>
      <c r="J682" s="217">
        <f>(J630/J612)*Q93</f>
        <v>17611.481209225021</v>
      </c>
      <c r="K682" s="217">
        <f>(K644/K612)*Q89</f>
        <v>363820.19733367418</v>
      </c>
      <c r="L682" s="217">
        <f>(L647/L612)*Q94</f>
        <v>358821.56494544051</v>
      </c>
      <c r="M682" s="202">
        <f t="shared" si="24"/>
        <v>1070100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1937385.0299999998</v>
      </c>
      <c r="D683" s="217">
        <f>(D615/D612)*R90</f>
        <v>-5255.0136317740553</v>
      </c>
      <c r="E683" s="219">
        <f>(E623/E612)*SUM(C683:D683)</f>
        <v>153415.77670510832</v>
      </c>
      <c r="F683" s="219">
        <f>(F624/F612)*R64</f>
        <v>4708.2524125061091</v>
      </c>
      <c r="G683" s="217">
        <f>(G625/G612)*R91</f>
        <v>0</v>
      </c>
      <c r="H683" s="219">
        <f>(H628/H612)*R60</f>
        <v>17355.001592636509</v>
      </c>
      <c r="I683" s="217">
        <f>(I629/I612)*R92</f>
        <v>6412.9453601205078</v>
      </c>
      <c r="J683" s="217">
        <f>(J630/J612)*R93</f>
        <v>0</v>
      </c>
      <c r="K683" s="217">
        <f>(K644/K612)*R89</f>
        <v>241309.07463055148</v>
      </c>
      <c r="L683" s="217">
        <f>(L647/L612)*R94</f>
        <v>87638.593214025299</v>
      </c>
      <c r="M683" s="202">
        <f t="shared" si="24"/>
        <v>505585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4855029.67</v>
      </c>
      <c r="D684" s="217">
        <f>(D615/D612)*S90</f>
        <v>-50023.687456310719</v>
      </c>
      <c r="E684" s="219">
        <f>(E623/E612)*SUM(C684:D684)</f>
        <v>381529.04754839413</v>
      </c>
      <c r="F684" s="219">
        <f>(F624/F612)*S64</f>
        <v>316390.00571572472</v>
      </c>
      <c r="G684" s="217">
        <f>(G625/G612)*S91</f>
        <v>0</v>
      </c>
      <c r="H684" s="219">
        <f>(H628/H612)*S60</f>
        <v>0</v>
      </c>
      <c r="I684" s="217">
        <f>(I629/I612)*S92</f>
        <v>61046.306793454831</v>
      </c>
      <c r="J684" s="217">
        <f>(J630/J612)*S93</f>
        <v>0</v>
      </c>
      <c r="K684" s="217">
        <f>(K644/K612)*S89</f>
        <v>450823.88113242539</v>
      </c>
      <c r="L684" s="217">
        <f>(L647/L612)*S94</f>
        <v>0</v>
      </c>
      <c r="M684" s="202">
        <f t="shared" si="24"/>
        <v>1159766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7017654.2600000007</v>
      </c>
      <c r="D686" s="217">
        <f>(D615/D612)*U90</f>
        <v>-73991.265655075083</v>
      </c>
      <c r="E686" s="219">
        <f>(E623/E612)*SUM(C686:D686)</f>
        <v>551343.56509729114</v>
      </c>
      <c r="F686" s="219">
        <f>(F624/F612)*U64</f>
        <v>146432.61476811054</v>
      </c>
      <c r="G686" s="217">
        <f>(G625/G612)*U91</f>
        <v>0</v>
      </c>
      <c r="H686" s="219">
        <f>(H628/H612)*U60</f>
        <v>175536.1251369114</v>
      </c>
      <c r="I686" s="217">
        <f>(I629/I612)*U92</f>
        <v>90295.092842978818</v>
      </c>
      <c r="J686" s="217">
        <f>(J630/J612)*U93</f>
        <v>8688.7207959133411</v>
      </c>
      <c r="K686" s="217">
        <f>(K644/K612)*U89</f>
        <v>1834786.3399184207</v>
      </c>
      <c r="L686" s="217">
        <f>(L647/L612)*U94</f>
        <v>0</v>
      </c>
      <c r="M686" s="202">
        <f t="shared" si="24"/>
        <v>2733091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24"/>
        <v>0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497702.38999999996</v>
      </c>
      <c r="D688" s="217">
        <f>(D615/D612)*W90</f>
        <v>-35993.47477917037</v>
      </c>
      <c r="E688" s="219">
        <f>(E623/E612)*SUM(C688:D688)</f>
        <v>36660.799863468987</v>
      </c>
      <c r="F688" s="219">
        <f>(F624/F612)*W64</f>
        <v>753.3682159683915</v>
      </c>
      <c r="G688" s="217">
        <f>(G625/G612)*W91</f>
        <v>0</v>
      </c>
      <c r="H688" s="219">
        <f>(H628/H612)*W60</f>
        <v>10403.429097103775</v>
      </c>
      <c r="I688" s="217">
        <f>(I629/I612)*W92</f>
        <v>43924.564854415141</v>
      </c>
      <c r="J688" s="217">
        <f>(J630/J612)*W93</f>
        <v>0</v>
      </c>
      <c r="K688" s="217">
        <f>(K644/K612)*W89</f>
        <v>404600.88779085997</v>
      </c>
      <c r="L688" s="217">
        <f>(L647/L612)*W94</f>
        <v>0</v>
      </c>
      <c r="M688" s="202">
        <f t="shared" si="24"/>
        <v>460350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962477.17999999993</v>
      </c>
      <c r="D689" s="217">
        <f>(D615/D612)*X90</f>
        <v>-13339.649988349525</v>
      </c>
      <c r="E689" s="219">
        <f>(E623/E612)*SUM(C689:D689)</f>
        <v>75363.805816965541</v>
      </c>
      <c r="F689" s="219">
        <f>(F624/F612)*X64</f>
        <v>7876.8959852920289</v>
      </c>
      <c r="G689" s="217">
        <f>(G625/G612)*X91</f>
        <v>0</v>
      </c>
      <c r="H689" s="219">
        <f>(H628/H612)*X60</f>
        <v>19775.784149421848</v>
      </c>
      <c r="I689" s="217">
        <f>(I629/I612)*X92</f>
        <v>16279.015144921288</v>
      </c>
      <c r="J689" s="217">
        <f>(J630/J612)*X93</f>
        <v>0</v>
      </c>
      <c r="K689" s="217">
        <f>(K644/K612)*X89</f>
        <v>1502794.6226635706</v>
      </c>
      <c r="L689" s="217">
        <f>(L647/L612)*X94</f>
        <v>0</v>
      </c>
      <c r="M689" s="202">
        <f t="shared" si="24"/>
        <v>1608750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5103670.28</v>
      </c>
      <c r="D690" s="217">
        <f>(D615/D612)*Y90</f>
        <v>-124301.28398234786</v>
      </c>
      <c r="E690" s="219">
        <f>(E623/E612)*SUM(C690:D690)</f>
        <v>395373.89075984253</v>
      </c>
      <c r="F690" s="219">
        <f>(F624/F612)*Y64</f>
        <v>8396.7053368664074</v>
      </c>
      <c r="G690" s="217">
        <f>(G625/G612)*Y91</f>
        <v>0</v>
      </c>
      <c r="H690" s="219">
        <f>(H628/H612)*Y60</f>
        <v>126931.02915093194</v>
      </c>
      <c r="I690" s="217">
        <f>(I629/I612)*Y92</f>
        <v>151690.82294131201</v>
      </c>
      <c r="J690" s="217">
        <f>(J630/J612)*Y93</f>
        <v>5938.7552914828566</v>
      </c>
      <c r="K690" s="217">
        <f>(K644/K612)*Y89</f>
        <v>1168465.2777694722</v>
      </c>
      <c r="L690" s="217">
        <f>(L647/L612)*Y94</f>
        <v>0</v>
      </c>
      <c r="M690" s="202">
        <f t="shared" si="24"/>
        <v>1732495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268638.32999999996</v>
      </c>
      <c r="D692" s="217">
        <f>(D615/D612)*AA90</f>
        <v>-11621.664762577238</v>
      </c>
      <c r="E692" s="219">
        <f>(E623/E612)*SUM(C692:D692)</f>
        <v>20407.742227240138</v>
      </c>
      <c r="F692" s="219">
        <f>(F624/F612)*AA64</f>
        <v>3667.7408648992714</v>
      </c>
      <c r="G692" s="217">
        <f>(G625/G612)*AA91</f>
        <v>0</v>
      </c>
      <c r="H692" s="219">
        <f>(H628/H612)*AA60</f>
        <v>5200.8924922829647</v>
      </c>
      <c r="I692" s="217">
        <f>(I629/I612)*AA92</f>
        <v>14182.475315651123</v>
      </c>
      <c r="J692" s="217">
        <f>(J630/J612)*AA93</f>
        <v>0</v>
      </c>
      <c r="K692" s="217">
        <f>(K644/K612)*AA89</f>
        <v>58433.946613704065</v>
      </c>
      <c r="L692" s="217">
        <f>(L647/L612)*AA94</f>
        <v>0</v>
      </c>
      <c r="M692" s="202">
        <f t="shared" si="24"/>
        <v>90271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3045359.6700000009</v>
      </c>
      <c r="D693" s="217">
        <f>(D615/D612)*AB90</f>
        <v>-64559.189905737032</v>
      </c>
      <c r="E693" s="219">
        <f>(E623/E612)*SUM(C693:D693)</f>
        <v>236682.73717738703</v>
      </c>
      <c r="F693" s="219">
        <f>(F624/F612)*AB64</f>
        <v>241736.37158650431</v>
      </c>
      <c r="G693" s="217">
        <f>(G625/G612)*AB91</f>
        <v>0</v>
      </c>
      <c r="H693" s="219">
        <f>(H628/H612)*AB60</f>
        <v>75060.147514309996</v>
      </c>
      <c r="I693" s="217">
        <f>(I629/I612)*AB92</f>
        <v>78784.678094044575</v>
      </c>
      <c r="J693" s="217">
        <f>(J630/J612)*AB93</f>
        <v>0</v>
      </c>
      <c r="K693" s="217">
        <f>(K644/K612)*AB89</f>
        <v>509756.83210559149</v>
      </c>
      <c r="L693" s="217">
        <f>(L647/L612)*AB94</f>
        <v>0</v>
      </c>
      <c r="M693" s="202">
        <f t="shared" si="24"/>
        <v>1077462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1581098.0400000003</v>
      </c>
      <c r="D694" s="217">
        <f>(D615/D612)*AC90</f>
        <v>-13575.451882082976</v>
      </c>
      <c r="E694" s="219">
        <f>(E623/E612)*SUM(C694:D694)</f>
        <v>124465.06876951321</v>
      </c>
      <c r="F694" s="219">
        <f>(F624/F612)*AC64</f>
        <v>9983.6556325043784</v>
      </c>
      <c r="G694" s="217">
        <f>(G625/G612)*AC91</f>
        <v>0</v>
      </c>
      <c r="H694" s="219">
        <f>(H628/H612)*AC60</f>
        <v>46662.454931040418</v>
      </c>
      <c r="I694" s="217">
        <f>(I629/I612)*AC92</f>
        <v>16566.775513644647</v>
      </c>
      <c r="J694" s="217">
        <f>(J630/J612)*AC93</f>
        <v>0</v>
      </c>
      <c r="K694" s="217">
        <f>(K644/K612)*AC89</f>
        <v>382343.14445462415</v>
      </c>
      <c r="L694" s="217">
        <f>(L647/L612)*AC94</f>
        <v>0</v>
      </c>
      <c r="M694" s="202">
        <f t="shared" si="24"/>
        <v>566446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3717124.14</v>
      </c>
      <c r="D696" s="217">
        <f>(D615/D612)*AE90</f>
        <v>-135653.46086637257</v>
      </c>
      <c r="E696" s="219">
        <f>(E623/E612)*SUM(C696:D696)</f>
        <v>284377.39765497344</v>
      </c>
      <c r="F696" s="219">
        <f>(F624/F612)*AE64</f>
        <v>3057.7659528548838</v>
      </c>
      <c r="G696" s="217">
        <f>(G625/G612)*AE91</f>
        <v>0</v>
      </c>
      <c r="H696" s="219">
        <f>(H628/H612)*AE60</f>
        <v>110680.85151900181</v>
      </c>
      <c r="I696" s="217">
        <f>(I629/I612)*AE92</f>
        <v>165544.42926413644</v>
      </c>
      <c r="J696" s="217">
        <f>(J630/J612)*AE93</f>
        <v>3890.9086392473887</v>
      </c>
      <c r="K696" s="217">
        <f>(K644/K612)*AE89</f>
        <v>450077.07038308005</v>
      </c>
      <c r="L696" s="217">
        <f>(L647/L612)*AE94</f>
        <v>0</v>
      </c>
      <c r="M696" s="202">
        <f t="shared" si="24"/>
        <v>881975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11087101.660000002</v>
      </c>
      <c r="D698" s="217">
        <f>(D615/D612)*AG90</f>
        <v>-160732.67656416606</v>
      </c>
      <c r="E698" s="219">
        <f>(E623/E612)*SUM(C698:D698)</f>
        <v>867580.01271118829</v>
      </c>
      <c r="F698" s="219">
        <f>(F624/F612)*AG64</f>
        <v>28136.583450849637</v>
      </c>
      <c r="G698" s="217">
        <f>(G625/G612)*AG91</f>
        <v>98540.88218054251</v>
      </c>
      <c r="H698" s="219">
        <f>(H628/H612)*AG60</f>
        <v>148030.60970245773</v>
      </c>
      <c r="I698" s="217">
        <f>(I629/I612)*AG92</f>
        <v>196149.79990907054</v>
      </c>
      <c r="J698" s="217">
        <f>(J630/J612)*AG93</f>
        <v>25071.494013797084</v>
      </c>
      <c r="K698" s="217">
        <f>(K644/K612)*AG89</f>
        <v>2474765.7713180343</v>
      </c>
      <c r="L698" s="217">
        <f>(L647/L612)*AG94</f>
        <v>747519.05482061091</v>
      </c>
      <c r="M698" s="202">
        <f t="shared" si="24"/>
        <v>4425062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0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>
        <f>(D615/D612)*AJ90</f>
        <v>0</v>
      </c>
      <c r="E701" s="219">
        <f>(E623/E612)*SUM(C701:D701)</f>
        <v>0</v>
      </c>
      <c r="F701" s="219">
        <f>(F624/F612)*AJ64</f>
        <v>0</v>
      </c>
      <c r="G701" s="217">
        <f>(G625/G612)*AJ91</f>
        <v>0</v>
      </c>
      <c r="H701" s="219">
        <f>(H628/H612)*AJ60</f>
        <v>0</v>
      </c>
      <c r="I701" s="217">
        <f>(I629/I612)*AJ92</f>
        <v>0</v>
      </c>
      <c r="J701" s="217">
        <f>(J630/J612)*AJ93</f>
        <v>0</v>
      </c>
      <c r="K701" s="217">
        <f>(K644/K612)*AJ89</f>
        <v>0</v>
      </c>
      <c r="L701" s="217">
        <f>(L647/L612)*AJ94</f>
        <v>0</v>
      </c>
      <c r="M701" s="202">
        <f t="shared" si="24"/>
        <v>0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24"/>
        <v>0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24"/>
        <v>0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24"/>
        <v>0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35738872.450000003</v>
      </c>
      <c r="D707" s="217">
        <f>(D615/D612)*AP90</f>
        <v>-1077580.968377053</v>
      </c>
      <c r="E707" s="219">
        <f>(E623/E612)*SUM(C707:D707)</f>
        <v>2752190.0230351333</v>
      </c>
      <c r="F707" s="219">
        <f>(F624/F612)*AP64</f>
        <v>102036.26425428675</v>
      </c>
      <c r="G707" s="217">
        <f>(G625/G612)*AP91</f>
        <v>0</v>
      </c>
      <c r="H707" s="219">
        <f>(H628/H612)*AP60</f>
        <v>881397.37297477596</v>
      </c>
      <c r="I707" s="217">
        <f>(I629/I612)*AP92</f>
        <v>1315023.7764416342</v>
      </c>
      <c r="J707" s="217">
        <f>(J630/J612)*AP93</f>
        <v>0</v>
      </c>
      <c r="K707" s="217">
        <f>(K644/K612)*AP89</f>
        <v>1861667.9363502653</v>
      </c>
      <c r="L707" s="217">
        <f>(L647/L612)*AP94</f>
        <v>0</v>
      </c>
      <c r="M707" s="202">
        <f t="shared" si="24"/>
        <v>5834734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666288.63</v>
      </c>
      <c r="D713" s="217">
        <f>(D615/D612)*AV90</f>
        <v>-4513.9219657546373</v>
      </c>
      <c r="E713" s="219">
        <f>(E623/E612)*SUM(C713:D713)</f>
        <v>52546.505657888956</v>
      </c>
      <c r="F713" s="219">
        <f>(F624/F612)*AV64</f>
        <v>647.01346730682883</v>
      </c>
      <c r="G713" s="217">
        <f>(G625/G612)*AV91</f>
        <v>0</v>
      </c>
      <c r="H713" s="219">
        <f>(H628/H612)*AV60</f>
        <v>22330.668754562939</v>
      </c>
      <c r="I713" s="217">
        <f>(I629/I612)*AV92</f>
        <v>5508.5556298471029</v>
      </c>
      <c r="J713" s="217">
        <f>(J630/J612)*AV93</f>
        <v>0</v>
      </c>
      <c r="K713" s="217">
        <f>(K644/K612)*AV89</f>
        <v>19783.896491975644</v>
      </c>
      <c r="L713" s="217">
        <f>(L647/L612)*AV94</f>
        <v>0</v>
      </c>
      <c r="M713" s="202">
        <f t="shared" si="24"/>
        <v>96303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131176569.92999999</v>
      </c>
      <c r="D715" s="202">
        <f>SUM(D616:D647)+SUM(D668:D713)</f>
        <v>-3339544.3200000026</v>
      </c>
      <c r="E715" s="202">
        <f>SUM(E624:E647)+SUM(E668:E713)</f>
        <v>9649538.9495459851</v>
      </c>
      <c r="F715" s="202">
        <f>SUM(F625:F648)+SUM(F668:F713)</f>
        <v>1116699.7336538043</v>
      </c>
      <c r="G715" s="202">
        <f>SUM(G626:G647)+SUM(G668:G713)</f>
        <v>2386685.7011525272</v>
      </c>
      <c r="H715" s="202">
        <f>SUM(H629:H647)+SUM(H668:H713)</f>
        <v>2730028.0331921922</v>
      </c>
      <c r="I715" s="202">
        <f>SUM(I630:I647)+SUM(I668:I713)</f>
        <v>3495569.0790669685</v>
      </c>
      <c r="J715" s="202">
        <f>SUM(J631:J647)+SUM(J668:J713)</f>
        <v>555639.3066558321</v>
      </c>
      <c r="K715" s="202">
        <f>SUM(K668:K713)</f>
        <v>15208606.617239203</v>
      </c>
      <c r="L715" s="202">
        <f>SUM(L668:L713)</f>
        <v>3280439.3140329961</v>
      </c>
      <c r="M715" s="202">
        <f>SUM(M668:M713)</f>
        <v>32736324</v>
      </c>
      <c r="N715" s="211" t="s">
        <v>692</v>
      </c>
    </row>
    <row r="716" spans="1:14" s="202" customFormat="1" ht="12.6" customHeight="1" x14ac:dyDescent="0.2">
      <c r="C716" s="214">
        <f>CE85</f>
        <v>131176569.93000004</v>
      </c>
      <c r="D716" s="202">
        <f>D615</f>
        <v>-3339544.3200000031</v>
      </c>
      <c r="E716" s="202">
        <f>E623</f>
        <v>9649538.9495459851</v>
      </c>
      <c r="F716" s="202">
        <f>F624</f>
        <v>1116699.7336538041</v>
      </c>
      <c r="G716" s="202">
        <f>G625</f>
        <v>2386685.7011525272</v>
      </c>
      <c r="H716" s="202">
        <f>H628</f>
        <v>2730028.0331921922</v>
      </c>
      <c r="I716" s="202">
        <f>I629</f>
        <v>3495569.0790669685</v>
      </c>
      <c r="J716" s="202">
        <f>J630</f>
        <v>555639.30665583198</v>
      </c>
      <c r="K716" s="202">
        <f>K644</f>
        <v>15208606.617239201</v>
      </c>
      <c r="L716" s="202">
        <f>L647</f>
        <v>3280439.3140329965</v>
      </c>
      <c r="M716" s="202">
        <f>C648</f>
        <v>32736323.269999996</v>
      </c>
      <c r="N716" s="211" t="s">
        <v>693</v>
      </c>
    </row>
  </sheetData>
  <sheetProtection algorithmName="SHA-512" hashValue="IbEwEAqwpuitzO1OSoUTEfDGYpdYwEhqxmKjVFAFgOMBwIp4ZgQz/BPEQHyiNjRNOIqfbZOkgDriAjqkpC80ZA==" saltValue="+5sFIBMFZ2BE9hPTPOTJl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>
    <pageSetUpPr fitToPage="1"/>
  </sheetPr>
  <dimension ref="A1:C179"/>
  <sheetViews>
    <sheetView view="pageBreakPreview" zoomScale="55" zoomScaleNormal="40" zoomScaleSheetLayoutView="55" workbookViewId="0">
      <selection activeCell="Q37" sqref="Q37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898</v>
      </c>
      <c r="B1" s="169"/>
      <c r="C1" s="169"/>
    </row>
    <row r="2" spans="1:3" ht="20.100000000000001" customHeight="1" x14ac:dyDescent="0.25">
      <c r="A2" s="168"/>
      <c r="B2" s="169"/>
      <c r="C2" s="94" t="s">
        <v>899</v>
      </c>
    </row>
    <row r="3" spans="1:3" ht="20.100000000000001" customHeight="1" x14ac:dyDescent="0.25">
      <c r="A3" s="120" t="str">
        <f>"Hospital: "&amp;data!C98</f>
        <v>Hospital: Public Hospital District No 1 of Mason County, WA, DBA Mason Health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900</v>
      </c>
      <c r="C4" s="173"/>
    </row>
    <row r="5" spans="1:3" ht="20.100000000000001" customHeight="1" x14ac:dyDescent="0.25">
      <c r="A5" s="174">
        <v>1</v>
      </c>
      <c r="B5" s="175" t="s">
        <v>418</v>
      </c>
      <c r="C5" s="175"/>
    </row>
    <row r="6" spans="1:3" ht="20.100000000000001" customHeight="1" x14ac:dyDescent="0.25">
      <c r="A6" s="174">
        <v>2</v>
      </c>
      <c r="B6" s="176" t="s">
        <v>419</v>
      </c>
      <c r="C6" s="176">
        <f>data!C266</f>
        <v>100873230.09</v>
      </c>
    </row>
    <row r="7" spans="1:3" ht="20.100000000000001" customHeight="1" x14ac:dyDescent="0.25">
      <c r="A7" s="174">
        <v>3</v>
      </c>
      <c r="B7" s="176" t="s">
        <v>420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421</v>
      </c>
      <c r="C8" s="176">
        <f>data!C268</f>
        <v>69226684.070000008</v>
      </c>
    </row>
    <row r="9" spans="1:3" ht="20.100000000000001" customHeight="1" x14ac:dyDescent="0.25">
      <c r="A9" s="174">
        <v>5</v>
      </c>
      <c r="B9" s="176" t="s">
        <v>901</v>
      </c>
      <c r="C9" s="176">
        <f>data!C269</f>
        <v>42817773.010000005</v>
      </c>
    </row>
    <row r="10" spans="1:3" ht="20.100000000000001" customHeight="1" x14ac:dyDescent="0.25">
      <c r="A10" s="174">
        <v>6</v>
      </c>
      <c r="B10" s="176" t="s">
        <v>902</v>
      </c>
      <c r="C10" s="176" t="str">
        <f>data!C270</f>
        <v/>
      </c>
    </row>
    <row r="11" spans="1:3" ht="20.100000000000001" customHeight="1" x14ac:dyDescent="0.25">
      <c r="A11" s="174">
        <v>7</v>
      </c>
      <c r="B11" s="176" t="s">
        <v>903</v>
      </c>
      <c r="C11" s="176">
        <f>data!C271</f>
        <v>-7141.4500000000007</v>
      </c>
    </row>
    <row r="12" spans="1:3" ht="20.100000000000001" customHeight="1" x14ac:dyDescent="0.25">
      <c r="A12" s="174">
        <v>8</v>
      </c>
      <c r="B12" s="176" t="s">
        <v>425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426</v>
      </c>
      <c r="C13" s="176">
        <f>data!C273</f>
        <v>2027678.02</v>
      </c>
    </row>
    <row r="14" spans="1:3" ht="20.100000000000001" customHeight="1" x14ac:dyDescent="0.25">
      <c r="A14" s="174">
        <v>10</v>
      </c>
      <c r="B14" s="176" t="s">
        <v>427</v>
      </c>
      <c r="C14" s="176">
        <f>data!C274</f>
        <v>3014342.8900000006</v>
      </c>
    </row>
    <row r="15" spans="1:3" ht="20.100000000000001" customHeight="1" x14ac:dyDescent="0.25">
      <c r="A15" s="174">
        <v>11</v>
      </c>
      <c r="B15" s="176" t="s">
        <v>904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905</v>
      </c>
      <c r="C16" s="176">
        <f>data!D276</f>
        <v>132317020.61000001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906</v>
      </c>
      <c r="C18" s="175"/>
    </row>
    <row r="19" spans="1:3" ht="20.100000000000001" customHeight="1" x14ac:dyDescent="0.25">
      <c r="A19" s="174">
        <v>15</v>
      </c>
      <c r="B19" s="176" t="s">
        <v>419</v>
      </c>
      <c r="C19" s="176">
        <f>data!C278</f>
        <v>88891.370000000141</v>
      </c>
    </row>
    <row r="20" spans="1:3" ht="20.100000000000001" customHeight="1" x14ac:dyDescent="0.25">
      <c r="A20" s="174">
        <v>16</v>
      </c>
      <c r="B20" s="176" t="s">
        <v>420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431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907</v>
      </c>
      <c r="C22" s="176">
        <f>data!D281</f>
        <v>88891.370000000141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908</v>
      </c>
      <c r="C24" s="175"/>
    </row>
    <row r="25" spans="1:3" ht="20.100000000000001" customHeight="1" x14ac:dyDescent="0.25">
      <c r="A25" s="174">
        <v>21</v>
      </c>
      <c r="B25" s="176" t="s">
        <v>387</v>
      </c>
      <c r="C25" s="176">
        <f>data!C283</f>
        <v>2817552.07</v>
      </c>
    </row>
    <row r="26" spans="1:3" ht="20.100000000000001" customHeight="1" x14ac:dyDescent="0.25">
      <c r="A26" s="174">
        <v>22</v>
      </c>
      <c r="B26" s="176" t="s">
        <v>388</v>
      </c>
      <c r="C26" s="176">
        <f>data!C284</f>
        <v>11158843.16</v>
      </c>
    </row>
    <row r="27" spans="1:3" ht="20.100000000000001" customHeight="1" x14ac:dyDescent="0.25">
      <c r="A27" s="174">
        <v>23</v>
      </c>
      <c r="B27" s="176" t="s">
        <v>389</v>
      </c>
      <c r="C27" s="176">
        <f>data!C285</f>
        <v>60961849.250000007</v>
      </c>
    </row>
    <row r="28" spans="1:3" ht="20.100000000000001" customHeight="1" x14ac:dyDescent="0.25">
      <c r="A28" s="174">
        <v>24</v>
      </c>
      <c r="B28" s="176" t="s">
        <v>909</v>
      </c>
      <c r="C28" s="176">
        <f>data!C286</f>
        <v>38094447.890000001</v>
      </c>
    </row>
    <row r="29" spans="1:3" ht="20.100000000000001" customHeight="1" x14ac:dyDescent="0.25">
      <c r="A29" s="174">
        <v>25</v>
      </c>
      <c r="B29" s="176" t="s">
        <v>392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436</v>
      </c>
      <c r="C30" s="176">
        <f>data!C288</f>
        <v>94114333.239999995</v>
      </c>
    </row>
    <row r="31" spans="1:3" ht="20.100000000000001" customHeight="1" x14ac:dyDescent="0.25">
      <c r="A31" s="174">
        <v>27</v>
      </c>
      <c r="B31" s="176" t="s">
        <v>395</v>
      </c>
      <c r="C31" s="176">
        <f>data!C289</f>
        <v>1174052.3700000001</v>
      </c>
    </row>
    <row r="32" spans="1:3" ht="20.100000000000001" customHeight="1" x14ac:dyDescent="0.25">
      <c r="A32" s="174">
        <v>28</v>
      </c>
      <c r="B32" s="176" t="s">
        <v>396</v>
      </c>
      <c r="C32" s="176">
        <f>data!C290</f>
        <v>1239973.3799999994</v>
      </c>
    </row>
    <row r="33" spans="1:3" ht="20.100000000000001" customHeight="1" x14ac:dyDescent="0.25">
      <c r="A33" s="174">
        <v>29</v>
      </c>
      <c r="B33" s="176" t="s">
        <v>610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910</v>
      </c>
      <c r="C34" s="176">
        <f>data!C292</f>
        <v>102579710.13999999</v>
      </c>
    </row>
    <row r="35" spans="1:3" ht="20.100000000000001" customHeight="1" x14ac:dyDescent="0.25">
      <c r="A35" s="174">
        <v>31</v>
      </c>
      <c r="B35" s="176" t="s">
        <v>911</v>
      </c>
      <c r="C35" s="176">
        <f>data!D293</f>
        <v>106981341.22000003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912</v>
      </c>
      <c r="C37" s="175"/>
    </row>
    <row r="38" spans="1:3" ht="20.100000000000001" customHeight="1" x14ac:dyDescent="0.25">
      <c r="A38" s="174">
        <v>34</v>
      </c>
      <c r="B38" s="176" t="s">
        <v>913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914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443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431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915</v>
      </c>
      <c r="C42" s="176">
        <f>data!D299</f>
        <v>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916</v>
      </c>
      <c r="C44" s="175"/>
    </row>
    <row r="45" spans="1:3" ht="20.100000000000001" customHeight="1" x14ac:dyDescent="0.25">
      <c r="A45" s="174">
        <v>41</v>
      </c>
      <c r="B45" s="176" t="s">
        <v>446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447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917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449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918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919</v>
      </c>
      <c r="C50" s="176">
        <f>data!D308</f>
        <v>239387253.20000005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920</v>
      </c>
      <c r="B53" s="169"/>
      <c r="C53" s="169"/>
    </row>
    <row r="54" spans="1:3" ht="20.100000000000001" customHeight="1" x14ac:dyDescent="0.25">
      <c r="A54" s="168"/>
      <c r="B54" s="169"/>
      <c r="C54" s="94" t="s">
        <v>921</v>
      </c>
    </row>
    <row r="55" spans="1:3" ht="20.100000000000001" customHeight="1" x14ac:dyDescent="0.25">
      <c r="A55" s="120" t="str">
        <f>"Hospital: "&amp;data!C98</f>
        <v>Hospital: Public Hospital District No 1 of Mason County, WA, DBA Mason Health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922</v>
      </c>
      <c r="C56" s="173"/>
    </row>
    <row r="57" spans="1:3" ht="20.100000000000001" customHeight="1" x14ac:dyDescent="0.25">
      <c r="A57" s="183">
        <v>1</v>
      </c>
      <c r="B57" s="168" t="s">
        <v>453</v>
      </c>
      <c r="C57" s="184"/>
    </row>
    <row r="58" spans="1:3" ht="20.100000000000001" customHeight="1" x14ac:dyDescent="0.25">
      <c r="A58" s="174">
        <v>2</v>
      </c>
      <c r="B58" s="176" t="s">
        <v>454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923</v>
      </c>
      <c r="C59" s="176">
        <f>data!C315</f>
        <v>4557571.7600000007</v>
      </c>
    </row>
    <row r="60" spans="1:3" ht="20.100000000000001" customHeight="1" x14ac:dyDescent="0.25">
      <c r="A60" s="174">
        <v>4</v>
      </c>
      <c r="B60" s="176" t="s">
        <v>924</v>
      </c>
      <c r="C60" s="176">
        <f>data!C316</f>
        <v>9092855.1899999995</v>
      </c>
    </row>
    <row r="61" spans="1:3" ht="20.100000000000001" customHeight="1" x14ac:dyDescent="0.25">
      <c r="A61" s="174">
        <v>5</v>
      </c>
      <c r="B61" s="176" t="s">
        <v>457</v>
      </c>
      <c r="C61" s="176">
        <f>data!C317</f>
        <v>90450.42</v>
      </c>
    </row>
    <row r="62" spans="1:3" ht="20.100000000000001" customHeight="1" x14ac:dyDescent="0.25">
      <c r="A62" s="174">
        <v>6</v>
      </c>
      <c r="B62" s="176" t="s">
        <v>925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926</v>
      </c>
      <c r="C63" s="176">
        <f>data!C319</f>
        <v>1934185.5</v>
      </c>
    </row>
    <row r="64" spans="1:3" ht="20.100000000000001" customHeight="1" x14ac:dyDescent="0.25">
      <c r="A64" s="174">
        <v>8</v>
      </c>
      <c r="B64" s="176" t="s">
        <v>460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461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462</v>
      </c>
      <c r="C66" s="176">
        <f>data!C322</f>
        <v>210033.46000000005</v>
      </c>
    </row>
    <row r="67" spans="1:3" ht="20.100000000000001" customHeight="1" x14ac:dyDescent="0.25">
      <c r="A67" s="174">
        <v>11</v>
      </c>
      <c r="B67" s="176" t="s">
        <v>927</v>
      </c>
      <c r="C67" s="176">
        <f>data!C323</f>
        <v>7325759.3300000001</v>
      </c>
    </row>
    <row r="68" spans="1:3" ht="20.100000000000001" customHeight="1" x14ac:dyDescent="0.25">
      <c r="A68" s="174">
        <v>12</v>
      </c>
      <c r="B68" s="176" t="s">
        <v>928</v>
      </c>
      <c r="C68" s="176">
        <f>data!D324</f>
        <v>23210855.66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929</v>
      </c>
      <c r="C70" s="175"/>
    </row>
    <row r="71" spans="1:3" ht="20.100000000000001" customHeight="1" x14ac:dyDescent="0.25">
      <c r="A71" s="174">
        <v>15</v>
      </c>
      <c r="B71" s="176" t="s">
        <v>466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930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468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931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470</v>
      </c>
      <c r="C76" s="175"/>
    </row>
    <row r="77" spans="1:3" ht="20.100000000000001" customHeight="1" x14ac:dyDescent="0.25">
      <c r="A77" s="174">
        <v>21</v>
      </c>
      <c r="B77" s="176" t="s">
        <v>471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932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473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933</v>
      </c>
      <c r="C80" s="176">
        <f>data!C334</f>
        <v>33582903.909999996</v>
      </c>
    </row>
    <row r="81" spans="1:3" ht="20.100000000000001" customHeight="1" x14ac:dyDescent="0.25">
      <c r="A81" s="174">
        <v>25</v>
      </c>
      <c r="B81" s="176" t="s">
        <v>475</v>
      </c>
      <c r="C81" s="176">
        <f>data!C335</f>
        <v>61451427.960000001</v>
      </c>
    </row>
    <row r="82" spans="1:3" ht="20.100000000000001" customHeight="1" x14ac:dyDescent="0.25">
      <c r="A82" s="174">
        <v>26</v>
      </c>
      <c r="B82" s="176" t="s">
        <v>934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477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478</v>
      </c>
      <c r="C84" s="176" t="str">
        <f>data!C338</f>
        <v xml:space="preserve"> </v>
      </c>
    </row>
    <row r="85" spans="1:3" ht="20.100000000000001" customHeight="1" x14ac:dyDescent="0.25">
      <c r="A85" s="174">
        <v>29</v>
      </c>
      <c r="B85" s="176" t="s">
        <v>610</v>
      </c>
      <c r="C85" s="176">
        <f>data!D339</f>
        <v>95034331.870000005</v>
      </c>
    </row>
    <row r="86" spans="1:3" ht="20.100000000000001" customHeight="1" x14ac:dyDescent="0.25">
      <c r="A86" s="174">
        <v>30</v>
      </c>
      <c r="B86" s="176" t="s">
        <v>935</v>
      </c>
      <c r="C86" s="176">
        <f>data!D340</f>
        <v>7325759.3300000001</v>
      </c>
    </row>
    <row r="87" spans="1:3" ht="20.100000000000001" customHeight="1" x14ac:dyDescent="0.25">
      <c r="A87" s="174">
        <v>31</v>
      </c>
      <c r="B87" s="176" t="s">
        <v>936</v>
      </c>
      <c r="C87" s="176">
        <f>data!D341</f>
        <v>87708572.540000007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937</v>
      </c>
      <c r="C89" s="176">
        <f>data!C343</f>
        <v>128467825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938</v>
      </c>
      <c r="C91" s="175"/>
    </row>
    <row r="92" spans="1:3" ht="20.100000000000001" customHeight="1" x14ac:dyDescent="0.25">
      <c r="A92" s="174">
        <v>36</v>
      </c>
      <c r="B92" s="176" t="s">
        <v>482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483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939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940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941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942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943</v>
      </c>
      <c r="C102" s="176">
        <f>data!C343+data!C345+data!C346+data!C347+data!C348-data!C349</f>
        <v>128467825</v>
      </c>
    </row>
    <row r="103" spans="1:3" ht="20.100000000000001" customHeight="1" x14ac:dyDescent="0.25">
      <c r="A103" s="174">
        <v>47</v>
      </c>
      <c r="B103" s="176" t="s">
        <v>944</v>
      </c>
      <c r="C103" s="176">
        <f>data!D352</f>
        <v>239387253.20000005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945</v>
      </c>
      <c r="B106" s="169"/>
      <c r="C106" s="169"/>
    </row>
    <row r="107" spans="1:3" ht="20.100000000000001" customHeight="1" x14ac:dyDescent="0.25">
      <c r="A107" s="170"/>
      <c r="C107" s="94" t="s">
        <v>946</v>
      </c>
    </row>
    <row r="108" spans="1:3" ht="20.100000000000001" customHeight="1" x14ac:dyDescent="0.25">
      <c r="A108" s="120" t="str">
        <f>"Hospital: "&amp;data!C98</f>
        <v>Hospital: Public Hospital District No 1 of Mason County, WA, DBA Mason Health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947</v>
      </c>
      <c r="C110" s="175"/>
    </row>
    <row r="111" spans="1:3" ht="20.100000000000001" customHeight="1" x14ac:dyDescent="0.25">
      <c r="A111" s="174">
        <v>2</v>
      </c>
      <c r="B111" s="176" t="s">
        <v>491</v>
      </c>
      <c r="C111" s="176">
        <f>data!C358</f>
        <v>83553519.780000001</v>
      </c>
    </row>
    <row r="112" spans="1:3" ht="20.100000000000001" customHeight="1" x14ac:dyDescent="0.25">
      <c r="A112" s="174">
        <v>3</v>
      </c>
      <c r="B112" s="176" t="s">
        <v>492</v>
      </c>
      <c r="C112" s="176">
        <f>data!C359</f>
        <v>281205208.88</v>
      </c>
    </row>
    <row r="113" spans="1:3" ht="20.100000000000001" customHeight="1" x14ac:dyDescent="0.25">
      <c r="A113" s="174">
        <v>4</v>
      </c>
      <c r="B113" s="176" t="s">
        <v>948</v>
      </c>
      <c r="C113" s="176">
        <f>data!D360</f>
        <v>364758728.65999997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949</v>
      </c>
      <c r="C115" s="175"/>
    </row>
    <row r="116" spans="1:3" ht="20.100000000000001" customHeight="1" x14ac:dyDescent="0.25">
      <c r="A116" s="174">
        <v>7</v>
      </c>
      <c r="B116" s="188" t="s">
        <v>950</v>
      </c>
      <c r="C116" s="189">
        <f>data!C362</f>
        <v>5374296.7500000009</v>
      </c>
    </row>
    <row r="117" spans="1:3" ht="20.100000000000001" customHeight="1" x14ac:dyDescent="0.25">
      <c r="A117" s="174">
        <v>8</v>
      </c>
      <c r="B117" s="176" t="s">
        <v>495</v>
      </c>
      <c r="C117" s="189">
        <f>data!C363</f>
        <v>206262927.53999999</v>
      </c>
    </row>
    <row r="118" spans="1:3" ht="20.100000000000001" customHeight="1" x14ac:dyDescent="0.25">
      <c r="A118" s="174">
        <v>9</v>
      </c>
      <c r="B118" s="176" t="s">
        <v>951</v>
      </c>
      <c r="C118" s="189">
        <f>data!C364</f>
        <v>5844651.1699999999</v>
      </c>
    </row>
    <row r="119" spans="1:3" ht="20.100000000000001" customHeight="1" x14ac:dyDescent="0.25">
      <c r="A119" s="174">
        <v>10</v>
      </c>
      <c r="B119" s="176" t="s">
        <v>952</v>
      </c>
      <c r="C119" s="189">
        <f>data!C365</f>
        <v>5077494.0299999993</v>
      </c>
    </row>
    <row r="120" spans="1:3" ht="20.100000000000001" customHeight="1" x14ac:dyDescent="0.25">
      <c r="A120" s="174">
        <v>11</v>
      </c>
      <c r="B120" s="176" t="s">
        <v>896</v>
      </c>
      <c r="C120" s="189">
        <f>data!D366</f>
        <v>222559369.48999998</v>
      </c>
    </row>
    <row r="121" spans="1:3" ht="20.100000000000001" customHeight="1" x14ac:dyDescent="0.25">
      <c r="A121" s="174">
        <v>12</v>
      </c>
      <c r="B121" s="176" t="s">
        <v>953</v>
      </c>
      <c r="C121" s="189">
        <f>data!D367</f>
        <v>142199359.16999999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499</v>
      </c>
      <c r="C123" s="175"/>
    </row>
    <row r="124" spans="1:3" ht="20.100000000000001" customHeight="1" x14ac:dyDescent="0.25">
      <c r="A124" s="174">
        <v>15</v>
      </c>
      <c r="B124" s="190" t="s">
        <v>500</v>
      </c>
      <c r="C124" s="191"/>
    </row>
    <row r="125" spans="1:3" ht="20.100000000000001" customHeight="1" x14ac:dyDescent="0.25">
      <c r="A125" s="195" t="s">
        <v>954</v>
      </c>
      <c r="B125" s="192" t="s">
        <v>501</v>
      </c>
      <c r="C125" s="191">
        <f>data!C370</f>
        <v>0</v>
      </c>
    </row>
    <row r="126" spans="1:3" ht="20.100000000000001" customHeight="1" x14ac:dyDescent="0.25">
      <c r="A126" s="195" t="s">
        <v>955</v>
      </c>
      <c r="B126" s="192" t="s">
        <v>502</v>
      </c>
      <c r="C126" s="191">
        <f>data!C371</f>
        <v>0</v>
      </c>
    </row>
    <row r="127" spans="1:3" ht="20.100000000000001" customHeight="1" x14ac:dyDescent="0.25">
      <c r="A127" s="195" t="s">
        <v>956</v>
      </c>
      <c r="B127" s="192" t="s">
        <v>503</v>
      </c>
      <c r="C127" s="191">
        <f>data!C372</f>
        <v>0</v>
      </c>
    </row>
    <row r="128" spans="1:3" ht="20.100000000000001" customHeight="1" x14ac:dyDescent="0.25">
      <c r="A128" s="195" t="s">
        <v>957</v>
      </c>
      <c r="B128" s="192" t="s">
        <v>504</v>
      </c>
      <c r="C128" s="191">
        <f>data!C373</f>
        <v>0</v>
      </c>
    </row>
    <row r="129" spans="1:3" ht="20.100000000000001" customHeight="1" x14ac:dyDescent="0.25">
      <c r="A129" s="195" t="s">
        <v>958</v>
      </c>
      <c r="B129" s="192" t="s">
        <v>505</v>
      </c>
      <c r="C129" s="191">
        <f>data!C374</f>
        <v>0</v>
      </c>
    </row>
    <row r="130" spans="1:3" ht="20.100000000000001" customHeight="1" x14ac:dyDescent="0.25">
      <c r="A130" s="195" t="s">
        <v>959</v>
      </c>
      <c r="B130" s="192" t="s">
        <v>506</v>
      </c>
      <c r="C130" s="191">
        <f>data!C375</f>
        <v>0</v>
      </c>
    </row>
    <row r="131" spans="1:3" ht="20.100000000000001" customHeight="1" x14ac:dyDescent="0.25">
      <c r="A131" s="195" t="s">
        <v>960</v>
      </c>
      <c r="B131" s="192" t="s">
        <v>507</v>
      </c>
      <c r="C131" s="191">
        <f>data!C376</f>
        <v>0</v>
      </c>
    </row>
    <row r="132" spans="1:3" ht="20.100000000000001" customHeight="1" x14ac:dyDescent="0.25">
      <c r="A132" s="195" t="s">
        <v>961</v>
      </c>
      <c r="B132" s="192" t="s">
        <v>508</v>
      </c>
      <c r="C132" s="191">
        <f>data!C377</f>
        <v>0</v>
      </c>
    </row>
    <row r="133" spans="1:3" ht="20.100000000000001" customHeight="1" x14ac:dyDescent="0.25">
      <c r="A133" s="195" t="s">
        <v>962</v>
      </c>
      <c r="B133" s="192" t="s">
        <v>509</v>
      </c>
      <c r="C133" s="191">
        <f>data!C378</f>
        <v>0</v>
      </c>
    </row>
    <row r="134" spans="1:3" ht="20.100000000000001" customHeight="1" x14ac:dyDescent="0.25">
      <c r="A134" s="195" t="s">
        <v>963</v>
      </c>
      <c r="B134" s="192" t="s">
        <v>510</v>
      </c>
      <c r="C134" s="191">
        <f>data!C379</f>
        <v>0</v>
      </c>
    </row>
    <row r="135" spans="1:3" ht="20.100000000000001" customHeight="1" x14ac:dyDescent="0.25">
      <c r="A135" s="195" t="s">
        <v>964</v>
      </c>
      <c r="B135" s="192" t="s">
        <v>511</v>
      </c>
      <c r="C135" s="191">
        <f>data!C380</f>
        <v>4092983.32</v>
      </c>
    </row>
    <row r="136" spans="1:3" ht="20.100000000000001" customHeight="1" x14ac:dyDescent="0.25">
      <c r="A136" s="174">
        <v>16</v>
      </c>
      <c r="B136" s="176" t="s">
        <v>513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965</v>
      </c>
      <c r="C137" s="189">
        <f>data!D383</f>
        <v>6590551.4900000002</v>
      </c>
    </row>
    <row r="138" spans="1:3" ht="20.100000000000001" customHeight="1" x14ac:dyDescent="0.25">
      <c r="A138" s="174">
        <v>18</v>
      </c>
      <c r="B138" s="176" t="s">
        <v>966</v>
      </c>
      <c r="C138" s="189">
        <f>data!D384</f>
        <v>148789910.66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967</v>
      </c>
      <c r="C140" s="175"/>
    </row>
    <row r="141" spans="1:3" ht="20.100000000000001" customHeight="1" x14ac:dyDescent="0.25">
      <c r="A141" s="174">
        <v>21</v>
      </c>
      <c r="B141" s="176" t="s">
        <v>517</v>
      </c>
      <c r="C141" s="189">
        <f>data!C389</f>
        <v>63939663.000000007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20090477.329999998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13190696.939999999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16377758.609999999</v>
      </c>
    </row>
    <row r="145" spans="1:3" ht="20.100000000000001" customHeight="1" x14ac:dyDescent="0.25">
      <c r="A145" s="174">
        <v>25</v>
      </c>
      <c r="B145" s="176" t="s">
        <v>968</v>
      </c>
      <c r="C145" s="189">
        <f>data!C393</f>
        <v>1315097.7100000002</v>
      </c>
    </row>
    <row r="146" spans="1:3" ht="20.100000000000001" customHeight="1" x14ac:dyDescent="0.25">
      <c r="A146" s="174">
        <v>26</v>
      </c>
      <c r="B146" s="176" t="s">
        <v>969</v>
      </c>
      <c r="C146" s="189">
        <f>data!C394</f>
        <v>12291101.229999999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13522642.25</v>
      </c>
    </row>
    <row r="148" spans="1:3" ht="20.100000000000001" customHeight="1" x14ac:dyDescent="0.25">
      <c r="A148" s="174">
        <v>28</v>
      </c>
      <c r="B148" s="176" t="s">
        <v>970</v>
      </c>
      <c r="C148" s="189">
        <f>data!C396</f>
        <v>329857.11</v>
      </c>
    </row>
    <row r="149" spans="1:3" ht="20.100000000000001" customHeight="1" x14ac:dyDescent="0.25">
      <c r="A149" s="174">
        <v>29</v>
      </c>
      <c r="B149" s="176" t="s">
        <v>522</v>
      </c>
      <c r="C149" s="189">
        <f>data!C397</f>
        <v>1368507.6699999997</v>
      </c>
    </row>
    <row r="150" spans="1:3" ht="20.100000000000001" customHeight="1" x14ac:dyDescent="0.25">
      <c r="A150" s="174">
        <v>30</v>
      </c>
      <c r="B150" s="176" t="s">
        <v>971</v>
      </c>
      <c r="C150" s="189">
        <f>data!C398</f>
        <v>728381.52</v>
      </c>
    </row>
    <row r="151" spans="1:3" ht="20.100000000000001" customHeight="1" x14ac:dyDescent="0.25">
      <c r="A151" s="174">
        <v>31</v>
      </c>
      <c r="B151" s="176" t="s">
        <v>524</v>
      </c>
      <c r="C151" s="189">
        <f>data!C399</f>
        <v>3025398.7999999993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972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973</v>
      </c>
      <c r="B154" s="193" t="s">
        <v>270</v>
      </c>
      <c r="C154" s="189">
        <f>data!C402</f>
        <v>0</v>
      </c>
    </row>
    <row r="155" spans="1:3" ht="20.100000000000001" customHeight="1" x14ac:dyDescent="0.25">
      <c r="A155" s="195" t="s">
        <v>974</v>
      </c>
      <c r="B155" s="193" t="s">
        <v>975</v>
      </c>
      <c r="C155" s="189">
        <f>data!C403</f>
        <v>0</v>
      </c>
    </row>
    <row r="156" spans="1:3" ht="20.100000000000001" customHeight="1" x14ac:dyDescent="0.25">
      <c r="A156" s="195" t="s">
        <v>976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977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978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979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980</v>
      </c>
      <c r="B160" s="193" t="s">
        <v>276</v>
      </c>
      <c r="C160" s="189">
        <f>data!C408</f>
        <v>0</v>
      </c>
    </row>
    <row r="161" spans="1:3" ht="20.100000000000001" customHeight="1" x14ac:dyDescent="0.25">
      <c r="A161" s="195" t="s">
        <v>981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982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983</v>
      </c>
      <c r="B163" s="193" t="s">
        <v>279</v>
      </c>
      <c r="C163" s="189">
        <f>data!C411</f>
        <v>0</v>
      </c>
    </row>
    <row r="164" spans="1:3" ht="20.100000000000001" customHeight="1" x14ac:dyDescent="0.25">
      <c r="A164" s="195" t="s">
        <v>984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985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986</v>
      </c>
      <c r="B166" s="193" t="s">
        <v>987</v>
      </c>
      <c r="C166" s="189">
        <f>data!C414</f>
        <v>1797975.73</v>
      </c>
    </row>
    <row r="167" spans="1:3" ht="20.100000000000001" customHeight="1" x14ac:dyDescent="0.25">
      <c r="A167" s="174">
        <v>34</v>
      </c>
      <c r="B167" s="176" t="s">
        <v>988</v>
      </c>
      <c r="C167" s="189">
        <f>data!D416</f>
        <v>147977557.90000001</v>
      </c>
    </row>
    <row r="168" spans="1:3" ht="20.100000000000001" customHeight="1" x14ac:dyDescent="0.25">
      <c r="A168" s="174">
        <v>35</v>
      </c>
      <c r="B168" s="176" t="s">
        <v>989</v>
      </c>
      <c r="C168" s="189">
        <f>data!D417</f>
        <v>812352.75999999046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990</v>
      </c>
      <c r="C170" s="189">
        <f>data!D420</f>
        <v>12707650.030000001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991</v>
      </c>
      <c r="C172" s="176">
        <f>data!D421</f>
        <v>13520002.789999992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992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993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994</v>
      </c>
      <c r="C177" s="189">
        <f>data!D424</f>
        <v>13520002.789999992</v>
      </c>
    </row>
    <row r="178" spans="1:3" ht="20.100000000000001" customHeight="1" x14ac:dyDescent="0.25">
      <c r="A178" s="179">
        <v>45</v>
      </c>
      <c r="B178" s="178" t="s">
        <v>995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ageMargins left="0.7" right="0.7" top="0.75" bottom="0.75" header="0.3" footer="0.3"/>
  <pageSetup scale="85" fitToHeight="0" orientation="portrait" r:id="rId1"/>
  <rowBreaks count="5" manualBreakCount="5">
    <brk id="23" max="3" man="1"/>
    <brk id="52" max="3" man="1"/>
    <brk id="90" max="3" man="1"/>
    <brk id="104" max="3" man="1"/>
    <brk id="139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>
    <pageSetUpPr fitToPage="1"/>
  </sheetPr>
  <dimension ref="A1:N410"/>
  <sheetViews>
    <sheetView showGridLines="0" view="pageBreakPreview" topLeftCell="B352" zoomScale="60" zoomScaleNormal="65" workbookViewId="0">
      <selection activeCell="Q37" sqref="Q37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996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997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Public Hospital District No 1 of Mason County, WA, DBA Mason Health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998</v>
      </c>
      <c r="C6" s="243" t="s">
        <v>117</v>
      </c>
      <c r="D6" s="244" t="s">
        <v>999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1000</v>
      </c>
      <c r="E7" s="244" t="s">
        <v>189</v>
      </c>
      <c r="F7" s="244" t="s">
        <v>1001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1002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798</v>
      </c>
      <c r="D9" s="238">
        <f>data!D59</f>
        <v>0</v>
      </c>
      <c r="E9" s="238">
        <f>data!E59</f>
        <v>5027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19.68453206759715</v>
      </c>
      <c r="D10" s="245">
        <f>data!D60</f>
        <v>0</v>
      </c>
      <c r="E10" s="245">
        <f>data!E60</f>
        <v>47.054787371373841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2289205.83</v>
      </c>
      <c r="D11" s="238">
        <f>data!D61</f>
        <v>0</v>
      </c>
      <c r="E11" s="238">
        <f>data!E61</f>
        <v>5464223.8300000001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677824</v>
      </c>
      <c r="D12" s="238">
        <f>data!D62</f>
        <v>0</v>
      </c>
      <c r="E12" s="238">
        <f>data!E62</f>
        <v>1446640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391072.03</v>
      </c>
      <c r="D13" s="238">
        <f>data!D63</f>
        <v>0</v>
      </c>
      <c r="E13" s="238">
        <f>data!E63</f>
        <v>1114640.8100000003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251135.42</v>
      </c>
      <c r="D14" s="238">
        <f>data!D64</f>
        <v>0</v>
      </c>
      <c r="E14" s="238">
        <f>data!E64</f>
        <v>357507.48000000004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519</v>
      </c>
      <c r="C15" s="238">
        <f>data!C65</f>
        <v>546.54999999999995</v>
      </c>
      <c r="D15" s="238">
        <f>data!D65</f>
        <v>0</v>
      </c>
      <c r="E15" s="238">
        <f>data!E65</f>
        <v>1209.1100000000004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520</v>
      </c>
      <c r="C16" s="238">
        <f>data!C66</f>
        <v>8509.59</v>
      </c>
      <c r="D16" s="238">
        <f>data!D66</f>
        <v>0</v>
      </c>
      <c r="E16" s="238">
        <f>data!E66</f>
        <v>18612.48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427311</v>
      </c>
      <c r="D17" s="238">
        <f>data!D67</f>
        <v>0</v>
      </c>
      <c r="E17" s="238">
        <f>data!E67</f>
        <v>1252431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1003</v>
      </c>
      <c r="C18" s="238">
        <f>data!C68</f>
        <v>114.53</v>
      </c>
      <c r="D18" s="238" t="str">
        <f>data!D68</f>
        <v xml:space="preserve"> </v>
      </c>
      <c r="E18" s="238">
        <f>data!E68</f>
        <v>296.76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1004</v>
      </c>
      <c r="C19" s="238">
        <f>data!C69</f>
        <v>0</v>
      </c>
      <c r="D19" s="238">
        <f>data!D69</f>
        <v>0</v>
      </c>
      <c r="E19" s="238">
        <f>data!E69</f>
        <v>583.91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1005</v>
      </c>
      <c r="C21" s="238">
        <f>data!C85</f>
        <v>4045718.9499999997</v>
      </c>
      <c r="D21" s="238">
        <f>data!D85</f>
        <v>0</v>
      </c>
      <c r="E21" s="238">
        <f>data!E85</f>
        <v>9656145.3800000008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1006</v>
      </c>
      <c r="C23" s="246">
        <f>+data!M668</f>
        <v>1927472</v>
      </c>
      <c r="D23" s="246">
        <f>+data!M669</f>
        <v>0</v>
      </c>
      <c r="E23" s="246">
        <f>+data!M670</f>
        <v>5641159</v>
      </c>
      <c r="F23" s="246">
        <f>+data!M671</f>
        <v>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1007</v>
      </c>
      <c r="C24" s="238">
        <f>data!C87</f>
        <v>12027853.729999997</v>
      </c>
      <c r="D24" s="238">
        <f>data!D87</f>
        <v>0</v>
      </c>
      <c r="E24" s="238">
        <f>data!E87</f>
        <v>26725138.509999998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1008</v>
      </c>
      <c r="C25" s="238">
        <f>data!C88</f>
        <v>2050651.4</v>
      </c>
      <c r="D25" s="238">
        <f>data!D88</f>
        <v>0</v>
      </c>
      <c r="E25" s="238">
        <f>data!E88</f>
        <v>7943130.3000000007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1009</v>
      </c>
      <c r="C26" s="238">
        <f>data!C89</f>
        <v>14078505.129999997</v>
      </c>
      <c r="D26" s="238">
        <f>data!D89</f>
        <v>0</v>
      </c>
      <c r="E26" s="238">
        <f>data!E89</f>
        <v>34668268.810000002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1010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1011</v>
      </c>
      <c r="C28" s="238">
        <f>data!C90</f>
        <v>6518</v>
      </c>
      <c r="D28" s="238">
        <f>data!D90</f>
        <v>0</v>
      </c>
      <c r="E28" s="238">
        <f>data!E90</f>
        <v>19104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1012</v>
      </c>
      <c r="C29" s="238">
        <f>data!C91</f>
        <v>5365.7959052308534</v>
      </c>
      <c r="D29" s="238">
        <f>data!D91</f>
        <v>0</v>
      </c>
      <c r="E29" s="238">
        <f>data!E91</f>
        <v>26812.443945552626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1013</v>
      </c>
      <c r="C30" s="238">
        <f>data!C92</f>
        <v>6518</v>
      </c>
      <c r="D30" s="238">
        <f>data!D92</f>
        <v>0</v>
      </c>
      <c r="E30" s="238">
        <f>data!E92</f>
        <v>19104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1014</v>
      </c>
      <c r="C31" s="238">
        <f>data!C93</f>
        <v>244</v>
      </c>
      <c r="D31" s="238">
        <f>data!D93</f>
        <v>0</v>
      </c>
      <c r="E31" s="238">
        <f>data!E93</f>
        <v>1240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19.68453206759715</v>
      </c>
      <c r="D32" s="245">
        <f>data!D94</f>
        <v>0</v>
      </c>
      <c r="E32" s="245">
        <f>data!E94</f>
        <v>47.054787371373841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996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1015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Public Hospital District No 1 of Mason County, WA, DBA Mason Health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998</v>
      </c>
      <c r="C38" s="244"/>
      <c r="D38" s="244" t="s">
        <v>125</v>
      </c>
      <c r="E38" s="244" t="s">
        <v>126</v>
      </c>
      <c r="F38" s="244" t="s">
        <v>1016</v>
      </c>
      <c r="G38" s="244" t="s">
        <v>128</v>
      </c>
      <c r="H38" s="244" t="s">
        <v>1017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1002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658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1165</v>
      </c>
      <c r="I41" s="238">
        <f>data!P59</f>
        <v>144105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14.938811704980845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1598870.8999999997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423123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326316.05</v>
      </c>
      <c r="I45" s="238">
        <f>data!P63</f>
        <v>698988.39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32550.93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111244.88000000002</v>
      </c>
      <c r="I46" s="238">
        <f>data!P64</f>
        <v>1209433.19</v>
      </c>
    </row>
    <row r="47" spans="1:9" ht="20.100000000000001" customHeight="1" x14ac:dyDescent="0.2">
      <c r="A47" s="230">
        <v>10</v>
      </c>
      <c r="B47" s="238" t="s">
        <v>519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793.94</v>
      </c>
    </row>
    <row r="48" spans="1:9" ht="20.100000000000001" customHeight="1" x14ac:dyDescent="0.2">
      <c r="A48" s="230">
        <v>11</v>
      </c>
      <c r="B48" s="238" t="s">
        <v>520</v>
      </c>
      <c r="C48" s="238">
        <f>data!J66</f>
        <v>6075.04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5895.1599999999989</v>
      </c>
      <c r="I48" s="238">
        <f>data!P66</f>
        <v>322371.99000000005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31599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63920</v>
      </c>
      <c r="I49" s="238">
        <f>data!P67</f>
        <v>430458</v>
      </c>
    </row>
    <row r="50" spans="1:11" ht="20.100000000000001" customHeight="1" x14ac:dyDescent="0.2">
      <c r="A50" s="230">
        <v>13</v>
      </c>
      <c r="B50" s="238" t="s">
        <v>1003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50161.53</v>
      </c>
    </row>
    <row r="51" spans="1:11" ht="20.100000000000001" customHeight="1" x14ac:dyDescent="0.2">
      <c r="A51" s="230">
        <v>14</v>
      </c>
      <c r="B51" s="238" t="s">
        <v>1004</v>
      </c>
      <c r="C51" s="238">
        <f>data!J69</f>
        <v>640.01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7101.3</v>
      </c>
      <c r="I51" s="238">
        <f>data!P69</f>
        <v>11966.85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1005</v>
      </c>
      <c r="C53" s="238">
        <f>data!J85</f>
        <v>70864.98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514477.38999999996</v>
      </c>
      <c r="I53" s="238">
        <f>data!P85</f>
        <v>4746167.7899999991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1006</v>
      </c>
      <c r="C55" s="246">
        <f>+data!M675</f>
        <v>70732</v>
      </c>
      <c r="D55" s="246">
        <f>+data!M676</f>
        <v>0</v>
      </c>
      <c r="E55" s="246">
        <f>+data!M691</f>
        <v>0</v>
      </c>
      <c r="F55" s="246">
        <f>+data!M692</f>
        <v>90271</v>
      </c>
      <c r="G55" s="246">
        <f>+data!M693</f>
        <v>1077462</v>
      </c>
      <c r="H55" s="246">
        <f>+data!M680</f>
        <v>340118</v>
      </c>
      <c r="I55" s="246">
        <f>+data!M681</f>
        <v>2514453</v>
      </c>
    </row>
    <row r="56" spans="1:11" ht="20.100000000000001" customHeight="1" x14ac:dyDescent="0.2">
      <c r="A56" s="230">
        <v>19</v>
      </c>
      <c r="B56" s="246" t="s">
        <v>1007</v>
      </c>
      <c r="C56" s="238">
        <f>data!J87</f>
        <v>1387296.83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3034365.6</v>
      </c>
      <c r="I56" s="238">
        <f>data!P87</f>
        <v>5631053.1999999993</v>
      </c>
    </row>
    <row r="57" spans="1:11" ht="20.100000000000001" customHeight="1" x14ac:dyDescent="0.2">
      <c r="A57" s="230">
        <v>20</v>
      </c>
      <c r="B57" s="246" t="s">
        <v>1008</v>
      </c>
      <c r="C57" s="238">
        <f>data!J88</f>
        <v>92266.57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1071501.5</v>
      </c>
      <c r="I57" s="238">
        <f>data!P88</f>
        <v>23590669.239999998</v>
      </c>
    </row>
    <row r="58" spans="1:11" ht="20.100000000000001" customHeight="1" x14ac:dyDescent="0.2">
      <c r="A58" s="230">
        <v>21</v>
      </c>
      <c r="B58" s="246" t="s">
        <v>1009</v>
      </c>
      <c r="C58" s="238">
        <f>data!J89</f>
        <v>1479563.4000000001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4105867.1</v>
      </c>
      <c r="I58" s="238">
        <f>data!P89</f>
        <v>29221722.439999998</v>
      </c>
    </row>
    <row r="59" spans="1:11" ht="20.100000000000001" customHeight="1" x14ac:dyDescent="0.2">
      <c r="A59" s="230" t="s">
        <v>1010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1011</v>
      </c>
      <c r="C60" s="238">
        <f>data!J90</f>
        <v>482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975</v>
      </c>
      <c r="I60" s="238">
        <f>data!P90</f>
        <v>6566</v>
      </c>
      <c r="K60" s="249"/>
    </row>
    <row r="61" spans="1:11" ht="20.100000000000001" customHeight="1" x14ac:dyDescent="0.2">
      <c r="A61" s="230">
        <v>23</v>
      </c>
      <c r="B61" s="238" t="s">
        <v>1012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420.00374728155214</v>
      </c>
    </row>
    <row r="62" spans="1:11" ht="20.100000000000001" customHeight="1" x14ac:dyDescent="0.2">
      <c r="A62" s="230">
        <v>24</v>
      </c>
      <c r="B62" s="238" t="s">
        <v>1013</v>
      </c>
      <c r="C62" s="238">
        <f>data!J92</f>
        <v>482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975</v>
      </c>
      <c r="I62" s="238">
        <f>data!P92</f>
        <v>6566</v>
      </c>
    </row>
    <row r="63" spans="1:11" ht="20.100000000000001" customHeight="1" x14ac:dyDescent="0.2">
      <c r="A63" s="230">
        <v>25</v>
      </c>
      <c r="B63" s="238" t="s">
        <v>1014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4034</v>
      </c>
      <c r="I63" s="238">
        <f>data!P93</f>
        <v>11383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14.938811704980845</v>
      </c>
    </row>
    <row r="65" spans="1:9" ht="20.100000000000001" customHeight="1" x14ac:dyDescent="0.2">
      <c r="A65" s="231" t="s">
        <v>996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1018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Public Hospital District No 1 of Mason County, WA, DBA Mason Health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998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1019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1002</v>
      </c>
      <c r="C72" s="240" t="s">
        <v>1020</v>
      </c>
      <c r="D72" s="239" t="s">
        <v>1021</v>
      </c>
      <c r="E72" s="250"/>
      <c r="F72" s="250"/>
      <c r="G72" s="239" t="s">
        <v>1022</v>
      </c>
      <c r="H72" s="239" t="s">
        <v>1022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144839</v>
      </c>
      <c r="D73" s="246">
        <f>data!R59</f>
        <v>144105</v>
      </c>
      <c r="E73" s="250"/>
      <c r="F73" s="250"/>
      <c r="G73" s="238">
        <f>data!U59</f>
        <v>329366</v>
      </c>
      <c r="H73" s="238">
        <f>data!V59</f>
        <v>0</v>
      </c>
      <c r="I73" s="238">
        <f>data!W59</f>
        <v>2174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14.046697957033388</v>
      </c>
      <c r="D74" s="245">
        <f>data!R60</f>
        <v>3.4307660645867539</v>
      </c>
      <c r="E74" s="245">
        <f>data!S60</f>
        <v>0</v>
      </c>
      <c r="F74" s="245">
        <f>data!T60</f>
        <v>0</v>
      </c>
      <c r="G74" s="245">
        <f>data!U60</f>
        <v>34.700278073399012</v>
      </c>
      <c r="H74" s="245">
        <f>data!V60</f>
        <v>0</v>
      </c>
      <c r="I74" s="245">
        <f>data!W60</f>
        <v>2.0565674575807336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1769438.8</v>
      </c>
      <c r="D75" s="238">
        <f>data!R61</f>
        <v>1202726.0399999998</v>
      </c>
      <c r="E75" s="238">
        <f>data!S61</f>
        <v>0</v>
      </c>
      <c r="F75" s="238">
        <f>data!T61</f>
        <v>0</v>
      </c>
      <c r="G75" s="238">
        <f>data!U61</f>
        <v>2496363.4699999997</v>
      </c>
      <c r="H75" s="238">
        <f>data!V61</f>
        <v>0</v>
      </c>
      <c r="I75" s="238">
        <f>data!W61</f>
        <v>247450.72999999998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552808</v>
      </c>
      <c r="D76" s="238">
        <f>data!R62</f>
        <v>217425</v>
      </c>
      <c r="E76" s="238">
        <f>data!S62</f>
        <v>0</v>
      </c>
      <c r="F76" s="238">
        <f>data!T62</f>
        <v>0</v>
      </c>
      <c r="G76" s="238">
        <f>data!U62</f>
        <v>877319</v>
      </c>
      <c r="H76" s="238">
        <f>data!V62</f>
        <v>0</v>
      </c>
      <c r="I76" s="238">
        <f>data!W62</f>
        <v>93174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359100</v>
      </c>
      <c r="E77" s="238">
        <f>data!S63</f>
        <v>6670</v>
      </c>
      <c r="F77" s="238">
        <f>data!T63</f>
        <v>0</v>
      </c>
      <c r="G77" s="238">
        <f>data!U63</f>
        <v>43256.2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134719.05000000002</v>
      </c>
      <c r="D78" s="238">
        <f>data!R64</f>
        <v>68236.73000000001</v>
      </c>
      <c r="E78" s="238">
        <f>data!S64</f>
        <v>4585442.22</v>
      </c>
      <c r="F78" s="238">
        <f>data!T64</f>
        <v>0</v>
      </c>
      <c r="G78" s="238">
        <f>data!U64</f>
        <v>2122248.7499999995</v>
      </c>
      <c r="H78" s="238">
        <f>data!V64</f>
        <v>0</v>
      </c>
      <c r="I78" s="238">
        <f>data!W64</f>
        <v>10918.57</v>
      </c>
    </row>
    <row r="79" spans="1:9" ht="20.100000000000001" customHeight="1" x14ac:dyDescent="0.2">
      <c r="A79" s="230">
        <v>10</v>
      </c>
      <c r="B79" s="238" t="s">
        <v>519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520</v>
      </c>
      <c r="C80" s="238">
        <f>data!Q66</f>
        <v>2046.62</v>
      </c>
      <c r="D80" s="238">
        <f>data!R66</f>
        <v>46085.530000000006</v>
      </c>
      <c r="E80" s="238">
        <f>data!S66</f>
        <v>68208.45</v>
      </c>
      <c r="F80" s="238">
        <f>data!T66</f>
        <v>0</v>
      </c>
      <c r="G80" s="238">
        <f>data!U66</f>
        <v>1164884.8900000001</v>
      </c>
      <c r="H80" s="238">
        <f>data!V66</f>
        <v>0</v>
      </c>
      <c r="I80" s="238">
        <f>data!W66</f>
        <v>4149.6000000000004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468547</v>
      </c>
      <c r="D81" s="238">
        <f>data!R67</f>
        <v>20454</v>
      </c>
      <c r="E81" s="238">
        <f>data!S67</f>
        <v>194709</v>
      </c>
      <c r="F81" s="238">
        <f>data!T67</f>
        <v>0</v>
      </c>
      <c r="G81" s="238">
        <f>data!U67</f>
        <v>287999</v>
      </c>
      <c r="H81" s="238">
        <f>data!V67</f>
        <v>0</v>
      </c>
      <c r="I81" s="238">
        <f>data!W67</f>
        <v>140099</v>
      </c>
    </row>
    <row r="82" spans="1:9" ht="20.100000000000001" customHeight="1" x14ac:dyDescent="0.2">
      <c r="A82" s="230">
        <v>13</v>
      </c>
      <c r="B82" s="238" t="s">
        <v>1003</v>
      </c>
      <c r="C82" s="238">
        <f>data!Q68</f>
        <v>0</v>
      </c>
      <c r="D82" s="238">
        <f>data!R68</f>
        <v>3216.9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1004</v>
      </c>
      <c r="C83" s="238">
        <f>data!Q69</f>
        <v>910.97</v>
      </c>
      <c r="D83" s="238">
        <f>data!R69</f>
        <v>20140.830000000002</v>
      </c>
      <c r="E83" s="238">
        <f>data!S69</f>
        <v>0</v>
      </c>
      <c r="F83" s="238">
        <f>data!T69</f>
        <v>0</v>
      </c>
      <c r="G83" s="238">
        <f>data!U69</f>
        <v>25788.57</v>
      </c>
      <c r="H83" s="238">
        <f>data!V69</f>
        <v>0</v>
      </c>
      <c r="I83" s="238">
        <f>data!W69</f>
        <v>1910.49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-205.62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1005</v>
      </c>
      <c r="C85" s="238">
        <f>data!Q85</f>
        <v>2928470.44</v>
      </c>
      <c r="D85" s="238">
        <f>data!R85</f>
        <v>1937385.0299999998</v>
      </c>
      <c r="E85" s="238">
        <f>data!S85</f>
        <v>4855029.67</v>
      </c>
      <c r="F85" s="238">
        <f>data!T85</f>
        <v>0</v>
      </c>
      <c r="G85" s="238">
        <f>data!U85</f>
        <v>7017654.2600000007</v>
      </c>
      <c r="H85" s="238">
        <f>data!V85</f>
        <v>0</v>
      </c>
      <c r="I85" s="238">
        <f>data!W85</f>
        <v>497702.38999999996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1006</v>
      </c>
      <c r="C87" s="246">
        <f>+data!M682</f>
        <v>1070100</v>
      </c>
      <c r="D87" s="246">
        <f>+data!M683</f>
        <v>505585</v>
      </c>
      <c r="E87" s="246">
        <f>+data!M684</f>
        <v>1159766</v>
      </c>
      <c r="F87" s="246">
        <f>+data!M685</f>
        <v>0</v>
      </c>
      <c r="G87" s="246">
        <f>+data!M686</f>
        <v>2733091</v>
      </c>
      <c r="H87" s="246">
        <f>+data!M687</f>
        <v>0</v>
      </c>
      <c r="I87" s="246">
        <f>+data!M688</f>
        <v>460350</v>
      </c>
    </row>
    <row r="88" spans="1:9" ht="20.100000000000001" customHeight="1" x14ac:dyDescent="0.2">
      <c r="A88" s="230">
        <v>19</v>
      </c>
      <c r="B88" s="246" t="s">
        <v>1007</v>
      </c>
      <c r="C88" s="238">
        <f>data!Q87</f>
        <v>990658.9</v>
      </c>
      <c r="D88" s="238">
        <f>data!R87</f>
        <v>485258.69999999995</v>
      </c>
      <c r="E88" s="238">
        <f>data!S87</f>
        <v>2374842.9000000004</v>
      </c>
      <c r="F88" s="238">
        <f>data!T87</f>
        <v>0</v>
      </c>
      <c r="G88" s="238">
        <f>data!U87</f>
        <v>6041216.9799999995</v>
      </c>
      <c r="H88" s="238">
        <f>data!V87</f>
        <v>0</v>
      </c>
      <c r="I88" s="238">
        <f>data!W87</f>
        <v>793756.5</v>
      </c>
    </row>
    <row r="89" spans="1:9" ht="20.100000000000001" customHeight="1" x14ac:dyDescent="0.2">
      <c r="A89" s="230">
        <v>20</v>
      </c>
      <c r="B89" s="246" t="s">
        <v>1008</v>
      </c>
      <c r="C89" s="238">
        <f>data!Q88</f>
        <v>7731595.2999999998</v>
      </c>
      <c r="D89" s="238">
        <f>data!R88</f>
        <v>5299904.1499999994</v>
      </c>
      <c r="E89" s="238">
        <f>data!S88</f>
        <v>8433244.5</v>
      </c>
      <c r="F89" s="238">
        <f>data!T88</f>
        <v>0</v>
      </c>
      <c r="G89" s="238">
        <f>data!U88</f>
        <v>37946095.920000002</v>
      </c>
      <c r="H89" s="238">
        <f>data!V88</f>
        <v>0</v>
      </c>
      <c r="I89" s="238">
        <f>data!W88</f>
        <v>8906177.2000000011</v>
      </c>
    </row>
    <row r="90" spans="1:9" ht="20.100000000000001" customHeight="1" x14ac:dyDescent="0.2">
      <c r="A90" s="230">
        <v>21</v>
      </c>
      <c r="B90" s="246" t="s">
        <v>1009</v>
      </c>
      <c r="C90" s="238">
        <f>data!Q89</f>
        <v>8722254.1999999993</v>
      </c>
      <c r="D90" s="238">
        <f>data!R89</f>
        <v>5785162.8499999996</v>
      </c>
      <c r="E90" s="238">
        <f>data!S89</f>
        <v>10808087.4</v>
      </c>
      <c r="F90" s="238">
        <f>data!T89</f>
        <v>0</v>
      </c>
      <c r="G90" s="238">
        <f>data!U89</f>
        <v>43987312.899999999</v>
      </c>
      <c r="H90" s="238">
        <f>data!V89</f>
        <v>0</v>
      </c>
      <c r="I90" s="238">
        <f>data!W89</f>
        <v>9699933.7000000011</v>
      </c>
    </row>
    <row r="91" spans="1:9" ht="20.100000000000001" customHeight="1" x14ac:dyDescent="0.2">
      <c r="A91" s="230" t="s">
        <v>1010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1011</v>
      </c>
      <c r="C92" s="238">
        <f>data!Q90</f>
        <v>7147</v>
      </c>
      <c r="D92" s="238">
        <f>data!R90</f>
        <v>312</v>
      </c>
      <c r="E92" s="238">
        <f>data!S90</f>
        <v>2970</v>
      </c>
      <c r="F92" s="238">
        <f>data!T90</f>
        <v>0</v>
      </c>
      <c r="G92" s="238">
        <f>data!U90</f>
        <v>4393</v>
      </c>
      <c r="H92" s="238">
        <f>data!V90</f>
        <v>0</v>
      </c>
      <c r="I92" s="238">
        <f>data!W90</f>
        <v>2137</v>
      </c>
    </row>
    <row r="93" spans="1:9" ht="20.100000000000001" customHeight="1" x14ac:dyDescent="0.2">
      <c r="A93" s="230">
        <v>23</v>
      </c>
      <c r="B93" s="238" t="s">
        <v>1012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1013</v>
      </c>
      <c r="C94" s="238">
        <f>data!Q92</f>
        <v>7147</v>
      </c>
      <c r="D94" s="238">
        <f>data!R92</f>
        <v>312</v>
      </c>
      <c r="E94" s="238">
        <f>data!S92</f>
        <v>2970</v>
      </c>
      <c r="F94" s="238">
        <f>data!T92</f>
        <v>0</v>
      </c>
      <c r="G94" s="238">
        <f>data!U92</f>
        <v>4393</v>
      </c>
      <c r="H94" s="238">
        <f>data!V92</f>
        <v>0</v>
      </c>
      <c r="I94" s="238">
        <f>data!W92</f>
        <v>2137</v>
      </c>
    </row>
    <row r="95" spans="1:9" ht="20.100000000000001" customHeight="1" x14ac:dyDescent="0.2">
      <c r="A95" s="230">
        <v>25</v>
      </c>
      <c r="B95" s="238" t="s">
        <v>1014</v>
      </c>
      <c r="C95" s="238">
        <f>data!Q93</f>
        <v>602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297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14.046697957033388</v>
      </c>
      <c r="D96" s="245">
        <f>data!R94</f>
        <v>3.4307660645867539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996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1023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Public Hospital District No 1 of Mason County, WA, DBA Mason Health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998</v>
      </c>
      <c r="C102" s="244" t="s">
        <v>1024</v>
      </c>
      <c r="D102" s="244" t="s">
        <v>1025</v>
      </c>
      <c r="E102" s="244" t="s">
        <v>1025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1002</v>
      </c>
      <c r="C104" s="239" t="s">
        <v>250</v>
      </c>
      <c r="D104" s="240" t="s">
        <v>1026</v>
      </c>
      <c r="E104" s="240" t="s">
        <v>1026</v>
      </c>
      <c r="F104" s="240" t="s">
        <v>1026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41847</v>
      </c>
      <c r="D105" s="238">
        <f>data!Y59</f>
        <v>30616</v>
      </c>
      <c r="E105" s="238">
        <f>data!Z59</f>
        <v>0</v>
      </c>
      <c r="F105" s="238">
        <f>data!AA59</f>
        <v>2567</v>
      </c>
      <c r="G105" s="250"/>
      <c r="H105" s="238">
        <f>data!AC59</f>
        <v>4844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3.9093104542966612</v>
      </c>
      <c r="D106" s="245">
        <f>data!Y60</f>
        <v>25.091940500821021</v>
      </c>
      <c r="E106" s="245">
        <f>data!Z60</f>
        <v>0</v>
      </c>
      <c r="F106" s="245">
        <f>data!AA60</f>
        <v>1.028121223316913</v>
      </c>
      <c r="G106" s="245">
        <f>data!AB60</f>
        <v>14.838016897920086</v>
      </c>
      <c r="H106" s="245">
        <f>data!AC60</f>
        <v>9.2243130035577448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455208.92</v>
      </c>
      <c r="D107" s="238">
        <f>data!Y61</f>
        <v>2373321.42</v>
      </c>
      <c r="E107" s="238">
        <f>data!Z61</f>
        <v>0</v>
      </c>
      <c r="F107" s="238">
        <f>data!AA61</f>
        <v>118280.73999999999</v>
      </c>
      <c r="G107" s="238">
        <f>data!AB61</f>
        <v>1850041.41</v>
      </c>
      <c r="H107" s="238">
        <f>data!AC61</f>
        <v>960060.24000000011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134768</v>
      </c>
      <c r="D108" s="238">
        <f>data!Y62</f>
        <v>857365</v>
      </c>
      <c r="E108" s="238">
        <f>data!Z62</f>
        <v>0</v>
      </c>
      <c r="F108" s="238">
        <f>data!AA62</f>
        <v>45358</v>
      </c>
      <c r="G108" s="238">
        <f>data!AB62</f>
        <v>635351</v>
      </c>
      <c r="H108" s="238">
        <f>data!AC62</f>
        <v>311329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59522.5</v>
      </c>
      <c r="D109" s="238">
        <f>data!Y63</f>
        <v>196797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114159.90000000002</v>
      </c>
      <c r="D110" s="238">
        <f>data!Y64</f>
        <v>121693.50000000001</v>
      </c>
      <c r="E110" s="238">
        <f>data!Z64</f>
        <v>0</v>
      </c>
      <c r="F110" s="238">
        <f>data!AA64</f>
        <v>53156.59</v>
      </c>
      <c r="G110" s="238">
        <f>data!AB64</f>
        <v>3503486.6599999997</v>
      </c>
      <c r="H110" s="238">
        <f>data!AC64</f>
        <v>144693.18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519</v>
      </c>
      <c r="C111" s="238">
        <f>data!X65</f>
        <v>0</v>
      </c>
      <c r="D111" s="238">
        <f>data!Y65</f>
        <v>558.09999999999991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520</v>
      </c>
      <c r="C112" s="238">
        <f>data!X66</f>
        <v>146895.86000000002</v>
      </c>
      <c r="D112" s="238">
        <f>data!Y66</f>
        <v>1062287.3600000001</v>
      </c>
      <c r="E112" s="238">
        <f>data!Z66</f>
        <v>0</v>
      </c>
      <c r="F112" s="238">
        <f>data!AA66</f>
        <v>0</v>
      </c>
      <c r="G112" s="238">
        <f>data!AB66</f>
        <v>402198.48000000004</v>
      </c>
      <c r="H112" s="238">
        <f>data!AC66</f>
        <v>91920.320000000007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51922</v>
      </c>
      <c r="D113" s="238">
        <f>data!Y67</f>
        <v>483822</v>
      </c>
      <c r="E113" s="238">
        <f>data!Z67</f>
        <v>0</v>
      </c>
      <c r="F113" s="238">
        <f>data!AA67</f>
        <v>45235</v>
      </c>
      <c r="G113" s="238">
        <f>data!AB67</f>
        <v>251286</v>
      </c>
      <c r="H113" s="238">
        <f>data!AC67</f>
        <v>52840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1003</v>
      </c>
      <c r="C114" s="238">
        <f>data!X68</f>
        <v>0</v>
      </c>
      <c r="D114" s="238">
        <f>data!Y68</f>
        <v>828.2299999999999</v>
      </c>
      <c r="E114" s="238">
        <f>data!Z68</f>
        <v>0</v>
      </c>
      <c r="F114" s="238">
        <f>data!AA68</f>
        <v>0</v>
      </c>
      <c r="G114" s="238">
        <f>data!AB68</f>
        <v>0</v>
      </c>
      <c r="H114" s="238">
        <f>data!AC68</f>
        <v>19825.3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1004</v>
      </c>
      <c r="C115" s="238">
        <f>data!X69</f>
        <v>0</v>
      </c>
      <c r="D115" s="238">
        <f>data!Y69</f>
        <v>6997.67</v>
      </c>
      <c r="E115" s="238">
        <f>data!Z69</f>
        <v>0</v>
      </c>
      <c r="F115" s="238">
        <f>data!AA69</f>
        <v>6608</v>
      </c>
      <c r="G115" s="238">
        <f>data!AB69</f>
        <v>30248.25</v>
      </c>
      <c r="H115" s="238">
        <f>data!AC69</f>
        <v>430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-3627252.13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1005</v>
      </c>
      <c r="C117" s="238">
        <f>data!X85</f>
        <v>962477.17999999993</v>
      </c>
      <c r="D117" s="238">
        <f>data!Y85</f>
        <v>5103670.28</v>
      </c>
      <c r="E117" s="238">
        <f>data!Z85</f>
        <v>0</v>
      </c>
      <c r="F117" s="238">
        <f>data!AA85</f>
        <v>268638.32999999996</v>
      </c>
      <c r="G117" s="238">
        <f>data!AB85</f>
        <v>3045359.6700000009</v>
      </c>
      <c r="H117" s="238">
        <f>data!AC85</f>
        <v>1581098.0400000003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1006</v>
      </c>
      <c r="C119" s="246">
        <f>+data!M689</f>
        <v>1608750</v>
      </c>
      <c r="D119" s="246">
        <f>+data!M690</f>
        <v>1732495</v>
      </c>
      <c r="E119" s="246">
        <f>+data!M691</f>
        <v>0</v>
      </c>
      <c r="F119" s="246">
        <f>+data!M692</f>
        <v>90271</v>
      </c>
      <c r="G119" s="246">
        <f>+data!M693</f>
        <v>1077462</v>
      </c>
      <c r="H119" s="246">
        <f>+data!M694</f>
        <v>566446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1007</v>
      </c>
      <c r="C120" s="238">
        <f>data!X87</f>
        <v>3017960.4000000004</v>
      </c>
      <c r="D120" s="238">
        <f>data!Y87</f>
        <v>2469618.2800000003</v>
      </c>
      <c r="E120" s="238">
        <f>data!Z87</f>
        <v>0</v>
      </c>
      <c r="F120" s="238">
        <f>data!AA87</f>
        <v>85305.500000000015</v>
      </c>
      <c r="G120" s="238">
        <f>data!AB87</f>
        <v>4265161.38</v>
      </c>
      <c r="H120" s="238">
        <f>data!AC87</f>
        <v>5199079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1008</v>
      </c>
      <c r="C121" s="238">
        <f>data!X88</f>
        <v>33010156.800000001</v>
      </c>
      <c r="D121" s="238">
        <f>data!Y88</f>
        <v>25543260.75</v>
      </c>
      <c r="E121" s="238">
        <f>data!Z88</f>
        <v>0</v>
      </c>
      <c r="F121" s="238">
        <f>data!AA88</f>
        <v>1315594.56</v>
      </c>
      <c r="G121" s="238">
        <f>data!AB88</f>
        <v>7955789.25</v>
      </c>
      <c r="H121" s="238">
        <f>data!AC88</f>
        <v>3967245.8000000003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1009</v>
      </c>
      <c r="C122" s="238">
        <f>data!X89</f>
        <v>36028117.200000003</v>
      </c>
      <c r="D122" s="238">
        <f>data!Y89</f>
        <v>28012879.030000001</v>
      </c>
      <c r="E122" s="238">
        <f>data!Z89</f>
        <v>0</v>
      </c>
      <c r="F122" s="238">
        <f>data!AA89</f>
        <v>1400900.06</v>
      </c>
      <c r="G122" s="238">
        <f>data!AB89</f>
        <v>12220950.629999999</v>
      </c>
      <c r="H122" s="238">
        <f>data!AC89</f>
        <v>9166324.8000000007</v>
      </c>
      <c r="I122" s="238">
        <f>data!AD89</f>
        <v>0</v>
      </c>
    </row>
    <row r="123" spans="1:9" ht="20.100000000000001" customHeight="1" x14ac:dyDescent="0.2">
      <c r="A123" s="230" t="s">
        <v>1010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1011</v>
      </c>
      <c r="C124" s="238">
        <f>data!X90</f>
        <v>792</v>
      </c>
      <c r="D124" s="238">
        <f>data!Y90</f>
        <v>7380</v>
      </c>
      <c r="E124" s="238">
        <f>data!Z90</f>
        <v>0</v>
      </c>
      <c r="F124" s="238">
        <f>data!AA90</f>
        <v>690</v>
      </c>
      <c r="G124" s="238">
        <f>data!AB90</f>
        <v>3833</v>
      </c>
      <c r="H124" s="238">
        <f>data!AC90</f>
        <v>806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1012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1013</v>
      </c>
      <c r="C126" s="238">
        <f>data!X92</f>
        <v>792</v>
      </c>
      <c r="D126" s="238">
        <f>data!Y92</f>
        <v>7380</v>
      </c>
      <c r="E126" s="238">
        <f>data!Z92</f>
        <v>0</v>
      </c>
      <c r="F126" s="238">
        <f>data!AA92</f>
        <v>690</v>
      </c>
      <c r="G126" s="238">
        <f>data!AB92</f>
        <v>3833</v>
      </c>
      <c r="H126" s="238">
        <f>data!AC92</f>
        <v>806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1014</v>
      </c>
      <c r="C127" s="238">
        <f>data!X93</f>
        <v>0</v>
      </c>
      <c r="D127" s="238">
        <f>data!Y93</f>
        <v>203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996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1027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Public Hospital District No 1 of Mason County, WA, DBA Mason Health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998</v>
      </c>
      <c r="C134" s="244" t="s">
        <v>121</v>
      </c>
      <c r="D134" s="244" t="s">
        <v>122</v>
      </c>
      <c r="E134" s="244" t="s">
        <v>144</v>
      </c>
      <c r="F134" s="244"/>
      <c r="G134" s="244" t="s">
        <v>1028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1002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1029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24054</v>
      </c>
      <c r="D137" s="238">
        <f>data!AF59</f>
        <v>0</v>
      </c>
      <c r="E137" s="238">
        <f>data!AG59</f>
        <v>17348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21.879577905199778</v>
      </c>
      <c r="D138" s="245">
        <f>data!AF60</f>
        <v>0</v>
      </c>
      <c r="E138" s="245">
        <f>data!AG60</f>
        <v>29.262941266611932</v>
      </c>
      <c r="F138" s="245">
        <f>data!AH60</f>
        <v>0</v>
      </c>
      <c r="G138" s="245">
        <f>data!AI60</f>
        <v>0</v>
      </c>
      <c r="H138" s="245">
        <f>data!AJ60</f>
        <v>0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1987407.9200000004</v>
      </c>
      <c r="D139" s="238">
        <f>data!AF61</f>
        <v>0</v>
      </c>
      <c r="E139" s="238">
        <f>data!AG61</f>
        <v>4355825.53</v>
      </c>
      <c r="F139" s="238">
        <f>data!AH61</f>
        <v>0</v>
      </c>
      <c r="G139" s="238">
        <f>data!AI61</f>
        <v>0</v>
      </c>
      <c r="H139" s="238">
        <f>data!AJ61</f>
        <v>0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682898</v>
      </c>
      <c r="D140" s="238">
        <f>data!AF62</f>
        <v>0</v>
      </c>
      <c r="E140" s="238">
        <f>data!AG62</f>
        <v>1054543</v>
      </c>
      <c r="F140" s="238">
        <f>data!AH62</f>
        <v>0</v>
      </c>
      <c r="G140" s="238">
        <f>data!AI62</f>
        <v>0</v>
      </c>
      <c r="H140" s="238">
        <f>data!AJ62</f>
        <v>0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455125.96</v>
      </c>
      <c r="D141" s="238">
        <f>data!AF63</f>
        <v>0</v>
      </c>
      <c r="E141" s="238">
        <f>data!AG63</f>
        <v>4085055.18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44316.22</v>
      </c>
      <c r="D142" s="238">
        <f>data!AF64</f>
        <v>0</v>
      </c>
      <c r="E142" s="238">
        <f>data!AG64</f>
        <v>407783.67000000004</v>
      </c>
      <c r="F142" s="238">
        <f>data!AH64</f>
        <v>0</v>
      </c>
      <c r="G142" s="238">
        <f>data!AI64</f>
        <v>0</v>
      </c>
      <c r="H142" s="238">
        <f>data!AJ64</f>
        <v>0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519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520</v>
      </c>
      <c r="C144" s="238">
        <f>data!AE66</f>
        <v>10910.78</v>
      </c>
      <c r="D144" s="238">
        <f>data!AF66</f>
        <v>0</v>
      </c>
      <c r="E144" s="238">
        <f>data!AG66</f>
        <v>491095.66000000003</v>
      </c>
      <c r="F144" s="238">
        <f>data!AH66</f>
        <v>0</v>
      </c>
      <c r="G144" s="238">
        <f>data!AI66</f>
        <v>0</v>
      </c>
      <c r="H144" s="238">
        <f>data!AJ66</f>
        <v>0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528009</v>
      </c>
      <c r="D145" s="238">
        <f>data!AF67</f>
        <v>0</v>
      </c>
      <c r="E145" s="238">
        <f>data!AG67</f>
        <v>625626</v>
      </c>
      <c r="F145" s="238">
        <f>data!AH67</f>
        <v>0</v>
      </c>
      <c r="G145" s="238">
        <f>data!AI67</f>
        <v>0</v>
      </c>
      <c r="H145" s="238">
        <f>data!AJ67</f>
        <v>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1003</v>
      </c>
      <c r="C146" s="238">
        <f>data!AE68</f>
        <v>0</v>
      </c>
      <c r="D146" s="238">
        <f>data!AF68</f>
        <v>0</v>
      </c>
      <c r="E146" s="238">
        <f>data!AG68</f>
        <v>193.39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1004</v>
      </c>
      <c r="C147" s="238">
        <f>data!AE69</f>
        <v>8456.26</v>
      </c>
      <c r="D147" s="238">
        <f>data!AF69</f>
        <v>0</v>
      </c>
      <c r="E147" s="238">
        <f>data!AG69</f>
        <v>66979.23</v>
      </c>
      <c r="F147" s="238">
        <f>data!AH69</f>
        <v>0</v>
      </c>
      <c r="G147" s="238">
        <f>data!AI69</f>
        <v>0</v>
      </c>
      <c r="H147" s="238">
        <f>data!AJ69</f>
        <v>0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1005</v>
      </c>
      <c r="C149" s="238">
        <f>data!AE85</f>
        <v>3717124.14</v>
      </c>
      <c r="D149" s="238">
        <f>data!AF85</f>
        <v>0</v>
      </c>
      <c r="E149" s="238">
        <f>data!AG85</f>
        <v>11087101.660000002</v>
      </c>
      <c r="F149" s="238">
        <f>data!AH85</f>
        <v>0</v>
      </c>
      <c r="G149" s="238">
        <f>data!AI85</f>
        <v>0</v>
      </c>
      <c r="H149" s="238">
        <f>data!AJ85</f>
        <v>0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1006</v>
      </c>
      <c r="C151" s="246">
        <f>+data!M696</f>
        <v>881975</v>
      </c>
      <c r="D151" s="246">
        <f>+data!M697</f>
        <v>0</v>
      </c>
      <c r="E151" s="246">
        <f>+data!M698</f>
        <v>4425062</v>
      </c>
      <c r="F151" s="246">
        <f>+data!M699</f>
        <v>0</v>
      </c>
      <c r="G151" s="246">
        <f>+data!M700</f>
        <v>0</v>
      </c>
      <c r="H151" s="246">
        <f>+data!M701</f>
        <v>0</v>
      </c>
      <c r="I151" s="246">
        <f>+data!M702</f>
        <v>0</v>
      </c>
    </row>
    <row r="152" spans="1:9" ht="20.100000000000001" customHeight="1" x14ac:dyDescent="0.2">
      <c r="A152" s="230">
        <v>19</v>
      </c>
      <c r="B152" s="246" t="s">
        <v>1007</v>
      </c>
      <c r="C152" s="238">
        <f>data!AE87</f>
        <v>881755.2</v>
      </c>
      <c r="D152" s="238">
        <f>data!AF87</f>
        <v>0</v>
      </c>
      <c r="E152" s="238">
        <f>data!AG87</f>
        <v>4817691.6000000006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1008</v>
      </c>
      <c r="C153" s="238">
        <f>data!AE88</f>
        <v>9908428.0999999996</v>
      </c>
      <c r="D153" s="238">
        <f>data!AF88</f>
        <v>0</v>
      </c>
      <c r="E153" s="238">
        <f>data!AG88</f>
        <v>54512538.829999998</v>
      </c>
      <c r="F153" s="238">
        <f>data!AH88</f>
        <v>0</v>
      </c>
      <c r="G153" s="238">
        <f>data!AI88</f>
        <v>0</v>
      </c>
      <c r="H153" s="238">
        <f>data!AJ88</f>
        <v>0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1009</v>
      </c>
      <c r="C154" s="238">
        <f>data!AE89</f>
        <v>10790183.299999999</v>
      </c>
      <c r="D154" s="238">
        <f>data!AF89</f>
        <v>0</v>
      </c>
      <c r="E154" s="238">
        <f>data!AG89</f>
        <v>59330230.43</v>
      </c>
      <c r="F154" s="238">
        <f>data!AH89</f>
        <v>0</v>
      </c>
      <c r="G154" s="238">
        <f>data!AI89</f>
        <v>0</v>
      </c>
      <c r="H154" s="238">
        <f>data!AJ89</f>
        <v>0</v>
      </c>
      <c r="I154" s="238">
        <f>data!AK89</f>
        <v>0</v>
      </c>
    </row>
    <row r="155" spans="1:9" ht="20.100000000000001" customHeight="1" x14ac:dyDescent="0.2">
      <c r="A155" s="230" t="s">
        <v>1010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1011</v>
      </c>
      <c r="C156" s="238">
        <f>data!AE90</f>
        <v>8054</v>
      </c>
      <c r="D156" s="238">
        <f>data!AF90</f>
        <v>0</v>
      </c>
      <c r="E156" s="238">
        <f>data!AG90</f>
        <v>9543</v>
      </c>
      <c r="F156" s="238">
        <f>data!AH90</f>
        <v>0</v>
      </c>
      <c r="G156" s="238">
        <f>data!AI90</f>
        <v>0</v>
      </c>
      <c r="H156" s="238">
        <f>data!AJ90</f>
        <v>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1012</v>
      </c>
      <c r="C157" s="238">
        <f>data!AE91</f>
        <v>0</v>
      </c>
      <c r="D157" s="238">
        <f>data!AF91</f>
        <v>0</v>
      </c>
      <c r="E157" s="238">
        <f>data!AG91</f>
        <v>1403.8707930788887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1013</v>
      </c>
      <c r="C158" s="238">
        <f>data!AE92</f>
        <v>8054</v>
      </c>
      <c r="D158" s="238">
        <f>data!AF92</f>
        <v>0</v>
      </c>
      <c r="E158" s="238">
        <f>data!AG92</f>
        <v>9543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1014</v>
      </c>
      <c r="C159" s="238">
        <f>data!AE93</f>
        <v>133</v>
      </c>
      <c r="D159" s="238">
        <f>data!AF93</f>
        <v>0</v>
      </c>
      <c r="E159" s="238">
        <f>data!AG93</f>
        <v>857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29.262941266611932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996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1030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Public Hospital District No 1 of Mason County, WA, DBA Mason Health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998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1031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1032</v>
      </c>
      <c r="F167" s="244" t="s">
        <v>208</v>
      </c>
      <c r="G167" s="244" t="s">
        <v>147</v>
      </c>
      <c r="H167" s="243" t="s">
        <v>1033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1002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95955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174.23612325686918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19772940.120000001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6009359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4934073.66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1478812.18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519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68208.960000000006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520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354119.47000000003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2771624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1003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-14380.08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1004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522325.07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-158209.93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1005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35738872.450000003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1006</v>
      </c>
      <c r="C183" s="246">
        <f>+data!M703</f>
        <v>0</v>
      </c>
      <c r="D183" s="246">
        <f>+data!M704</f>
        <v>0</v>
      </c>
      <c r="E183" s="246">
        <f>+data!M705</f>
        <v>0</v>
      </c>
      <c r="F183" s="246">
        <f>+data!M706</f>
        <v>0</v>
      </c>
      <c r="G183" s="246">
        <f>+data!M707</f>
        <v>5834734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1007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3303798.9899999998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1008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41327975.43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1009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44631774.420000002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1010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1011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63978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1012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1013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63978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1014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996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1034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Public Hospital District No 1 of Mason County, WA, DBA Mason Health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998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1035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1036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1002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34002.114391143921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4.4143643637110017</v>
      </c>
      <c r="G202" s="245">
        <f>data!AW60</f>
        <v>0</v>
      </c>
      <c r="H202" s="245">
        <f>data!AX60</f>
        <v>0</v>
      </c>
      <c r="I202" s="245">
        <f>data!AY60</f>
        <v>19.456034987684728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421673.76</v>
      </c>
      <c r="G203" s="238">
        <f>data!AW61</f>
        <v>0</v>
      </c>
      <c r="H203" s="238">
        <f>data!AX61</f>
        <v>0</v>
      </c>
      <c r="I203" s="238">
        <f>data!AY61</f>
        <v>1079275.9500000002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158613</v>
      </c>
      <c r="G204" s="238">
        <f>data!AW62</f>
        <v>0</v>
      </c>
      <c r="H204" s="238">
        <f>data!AX62</f>
        <v>0</v>
      </c>
      <c r="I204" s="238">
        <f>data!AY62</f>
        <v>412677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40277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9377.17</v>
      </c>
      <c r="G206" s="238">
        <f>data!AW64</f>
        <v>0</v>
      </c>
      <c r="H206" s="238">
        <f>data!AX64</f>
        <v>0</v>
      </c>
      <c r="I206" s="238">
        <f>data!AY64</f>
        <v>1032202.11</v>
      </c>
    </row>
    <row r="207" spans="1:9" ht="20.100000000000001" customHeight="1" x14ac:dyDescent="0.2">
      <c r="A207" s="230">
        <v>10</v>
      </c>
      <c r="B207" s="238" t="s">
        <v>519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520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14741.85</v>
      </c>
      <c r="G208" s="238">
        <f>data!AW66</f>
        <v>0</v>
      </c>
      <c r="H208" s="238">
        <f>data!AX66</f>
        <v>0</v>
      </c>
      <c r="I208" s="238">
        <f>data!AY66</f>
        <v>9164.86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17570</v>
      </c>
      <c r="G209" s="238">
        <f>data!AW67</f>
        <v>0</v>
      </c>
      <c r="H209" s="238">
        <f>data!AX67</f>
        <v>0</v>
      </c>
      <c r="I209" s="238">
        <f>data!AY67</f>
        <v>330415</v>
      </c>
    </row>
    <row r="210" spans="1:9" ht="20.100000000000001" customHeight="1" x14ac:dyDescent="0.2">
      <c r="A210" s="230">
        <v>13</v>
      </c>
      <c r="B210" s="238" t="s">
        <v>1003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1004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4035.85</v>
      </c>
      <c r="G211" s="238">
        <f>data!AW69</f>
        <v>0</v>
      </c>
      <c r="H211" s="238">
        <f>data!AX69</f>
        <v>0</v>
      </c>
      <c r="I211" s="238">
        <f>data!AY69</f>
        <v>23969.91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-657680.12000000011</v>
      </c>
    </row>
    <row r="213" spans="1:9" ht="20.100000000000001" customHeight="1" x14ac:dyDescent="0.2">
      <c r="A213" s="230">
        <v>16</v>
      </c>
      <c r="B213" s="246" t="s">
        <v>1005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666288.63</v>
      </c>
      <c r="G213" s="238">
        <f>data!AW85</f>
        <v>0</v>
      </c>
      <c r="H213" s="238">
        <f>data!AX85</f>
        <v>0</v>
      </c>
      <c r="I213" s="238">
        <f>data!AY85</f>
        <v>2230024.71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1006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96303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1007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1008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474300.7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1009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474300.7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1010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1011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268</v>
      </c>
      <c r="G220" s="238">
        <f>data!AW90</f>
        <v>0</v>
      </c>
      <c r="H220" s="238">
        <f>data!AX90</f>
        <v>0</v>
      </c>
      <c r="I220" s="238">
        <f>data!AY90</f>
        <v>5040</v>
      </c>
    </row>
    <row r="221" spans="1:9" ht="20.100000000000001" customHeight="1" x14ac:dyDescent="0.2">
      <c r="A221" s="230">
        <v>23</v>
      </c>
      <c r="B221" s="238" t="s">
        <v>1012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1013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268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1014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996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1037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Public Hospital District No 1 of Mason County, WA, DBA Mason Health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998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1038</v>
      </c>
      <c r="F231" s="244" t="s">
        <v>1039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1002</v>
      </c>
      <c r="C232" s="240" t="s">
        <v>1040</v>
      </c>
      <c r="D232" s="240" t="s">
        <v>1041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227969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1.0236056157635467</v>
      </c>
      <c r="E234" s="245">
        <f>data!BB60</f>
        <v>0</v>
      </c>
      <c r="F234" s="245">
        <f>data!BC60</f>
        <v>0</v>
      </c>
      <c r="G234" s="245">
        <f>data!BD60</f>
        <v>7.6617389382594414</v>
      </c>
      <c r="H234" s="245">
        <f>data!BE60</f>
        <v>10.514788382594416</v>
      </c>
      <c r="I234" s="245">
        <f>data!BF60</f>
        <v>32.344588285440615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58219.130000000005</v>
      </c>
      <c r="E235" s="238">
        <f>data!BB61</f>
        <v>0</v>
      </c>
      <c r="F235" s="238">
        <f>data!BC61</f>
        <v>0</v>
      </c>
      <c r="G235" s="238">
        <f>data!BD61</f>
        <v>525908.66</v>
      </c>
      <c r="H235" s="238">
        <f>data!BE61</f>
        <v>884729.57</v>
      </c>
      <c r="I235" s="238">
        <f>data!BF61</f>
        <v>1777782.64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41232</v>
      </c>
      <c r="E236" s="238">
        <f>data!BB62</f>
        <v>0</v>
      </c>
      <c r="F236" s="238">
        <f>data!BC62</f>
        <v>0</v>
      </c>
      <c r="G236" s="238">
        <f>data!BD62</f>
        <v>205124</v>
      </c>
      <c r="H236" s="238">
        <f>data!BE62</f>
        <v>343860</v>
      </c>
      <c r="I236" s="238">
        <f>data!BF62</f>
        <v>727320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108.9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19575.21</v>
      </c>
      <c r="E238" s="238">
        <f>data!BB64</f>
        <v>0</v>
      </c>
      <c r="F238" s="238">
        <f>data!BC64</f>
        <v>0</v>
      </c>
      <c r="G238" s="238">
        <f>data!BD64</f>
        <v>16111.02</v>
      </c>
      <c r="H238" s="238">
        <f>data!BE64</f>
        <v>128428.65999999999</v>
      </c>
      <c r="I238" s="238">
        <f>data!BF64</f>
        <v>180212.99000000002</v>
      </c>
    </row>
    <row r="239" spans="1:9" ht="20.100000000000001" customHeight="1" x14ac:dyDescent="0.2">
      <c r="A239" s="230">
        <v>10</v>
      </c>
      <c r="B239" s="238" t="s">
        <v>519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2882.96</v>
      </c>
      <c r="H239" s="238">
        <f>data!BE65</f>
        <v>787523.68000000017</v>
      </c>
      <c r="I239" s="238">
        <f>data!BF65</f>
        <v>202620.83000000002</v>
      </c>
    </row>
    <row r="240" spans="1:9" ht="20.100000000000001" customHeight="1" x14ac:dyDescent="0.2">
      <c r="A240" s="230">
        <v>11</v>
      </c>
      <c r="B240" s="238" t="s">
        <v>520</v>
      </c>
      <c r="C240" s="238">
        <f>data!AZ66</f>
        <v>0</v>
      </c>
      <c r="D240" s="238">
        <f>data!BA66</f>
        <v>290696.68</v>
      </c>
      <c r="E240" s="238">
        <f>data!BB66</f>
        <v>0</v>
      </c>
      <c r="F240" s="238">
        <f>data!BC66</f>
        <v>0</v>
      </c>
      <c r="G240" s="238">
        <f>data!BD66</f>
        <v>41687.830000000009</v>
      </c>
      <c r="H240" s="238">
        <f>data!BE66</f>
        <v>807547.44000000006</v>
      </c>
      <c r="I240" s="238">
        <f>data!BF66</f>
        <v>81505.899999999994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95781</v>
      </c>
      <c r="E241" s="238">
        <f>data!BB67</f>
        <v>0</v>
      </c>
      <c r="F241" s="238">
        <f>data!BC67</f>
        <v>0</v>
      </c>
      <c r="G241" s="238">
        <f>data!BD67</f>
        <v>223030</v>
      </c>
      <c r="H241" s="238">
        <f>data!BE67</f>
        <v>1946697</v>
      </c>
      <c r="I241" s="238">
        <f>data!BF67</f>
        <v>132166</v>
      </c>
    </row>
    <row r="242" spans="1:9" ht="20.100000000000001" customHeight="1" x14ac:dyDescent="0.2">
      <c r="A242" s="230">
        <v>13</v>
      </c>
      <c r="B242" s="238" t="s">
        <v>1003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9845.73</v>
      </c>
      <c r="H242" s="238">
        <f>data!BE68</f>
        <v>5351.2200000000021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1004</v>
      </c>
      <c r="C243" s="238">
        <f>data!AZ69</f>
        <v>0</v>
      </c>
      <c r="D243" s="238">
        <f>data!BA69</f>
        <v>0</v>
      </c>
      <c r="E243" s="238">
        <f>data!BB69</f>
        <v>0</v>
      </c>
      <c r="F243" s="238">
        <f>data!BC69</f>
        <v>0</v>
      </c>
      <c r="G243" s="238">
        <f>data!BD69</f>
        <v>71302.880000000005</v>
      </c>
      <c r="H243" s="238">
        <f>data!BE69</f>
        <v>24695.61</v>
      </c>
      <c r="I243" s="238">
        <f>data!BF69</f>
        <v>7673.82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-4039.54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1005</v>
      </c>
      <c r="C245" s="238">
        <f>data!AZ85</f>
        <v>0</v>
      </c>
      <c r="D245" s="238">
        <f>data!BA85</f>
        <v>505504.02</v>
      </c>
      <c r="E245" s="238">
        <f>data!BB85</f>
        <v>0</v>
      </c>
      <c r="F245" s="238">
        <f>data!BC85</f>
        <v>0</v>
      </c>
      <c r="G245" s="238">
        <f>data!BD85</f>
        <v>1091853.54</v>
      </c>
      <c r="H245" s="238">
        <f>data!BE85</f>
        <v>4928942.0800000001</v>
      </c>
      <c r="I245" s="238">
        <f>data!BF85</f>
        <v>3109282.1799999997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1006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1007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1008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1009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1010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1011</v>
      </c>
      <c r="C252" s="254">
        <f>data!AZ90</f>
        <v>0</v>
      </c>
      <c r="D252" s="254">
        <f>data!BA90</f>
        <v>1461</v>
      </c>
      <c r="E252" s="254">
        <f>data!BB90</f>
        <v>0</v>
      </c>
      <c r="F252" s="254">
        <f>data!BC90</f>
        <v>0</v>
      </c>
      <c r="G252" s="254">
        <f>data!BD90</f>
        <v>3402</v>
      </c>
      <c r="H252" s="254">
        <f>data!BE90</f>
        <v>29694</v>
      </c>
      <c r="I252" s="254">
        <f>data!BF90</f>
        <v>2016</v>
      </c>
    </row>
    <row r="253" spans="1:9" ht="20.100000000000001" customHeight="1" x14ac:dyDescent="0.2">
      <c r="A253" s="230">
        <v>23</v>
      </c>
      <c r="B253" s="238" t="s">
        <v>1012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1013</v>
      </c>
      <c r="C254" s="253" t="str">
        <f>IF(data!AZ92&gt;0,data!AZ92,"")</f>
        <v>x</v>
      </c>
      <c r="D254" s="254">
        <f>data!BA92</f>
        <v>1461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1014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996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1042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Public Hospital District No 1 of Mason County, WA, DBA Mason Health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998</v>
      </c>
      <c r="C262" s="244" t="s">
        <v>1043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1044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1045</v>
      </c>
    </row>
    <row r="264" spans="1:9" ht="20.100000000000001" customHeight="1" x14ac:dyDescent="0.2">
      <c r="A264" s="230">
        <v>3</v>
      </c>
      <c r="B264" s="238" t="s">
        <v>1002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6.4038016694033937</v>
      </c>
      <c r="G266" s="245">
        <f>data!BK60</f>
        <v>21.182034116037222</v>
      </c>
      <c r="H266" s="245">
        <f>data!BL60</f>
        <v>24.576294076354682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630385.6</v>
      </c>
      <c r="G267" s="238">
        <f>data!BK61</f>
        <v>1355591.9500000004</v>
      </c>
      <c r="H267" s="238">
        <f>data!BL61</f>
        <v>1369970.6200000003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243016</v>
      </c>
      <c r="G268" s="238">
        <f>data!BK62</f>
        <v>583606</v>
      </c>
      <c r="H268" s="238">
        <f>data!BL62</f>
        <v>626073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39735.009999999995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96773.510000000009</v>
      </c>
      <c r="E270" s="238">
        <f>data!BI64</f>
        <v>0</v>
      </c>
      <c r="F270" s="238">
        <f>data!BJ64</f>
        <v>3606.64</v>
      </c>
      <c r="G270" s="238">
        <f>data!BK64</f>
        <v>15420.65</v>
      </c>
      <c r="H270" s="238">
        <f>data!BL64</f>
        <v>13850.08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519</v>
      </c>
      <c r="C271" s="238">
        <f>data!BG65</f>
        <v>0</v>
      </c>
      <c r="D271" s="238">
        <f>data!BH65</f>
        <v>242662.08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520</v>
      </c>
      <c r="C272" s="238">
        <f>data!BG66</f>
        <v>0</v>
      </c>
      <c r="D272" s="238">
        <f>data!BH66</f>
        <v>3974034.3799999994</v>
      </c>
      <c r="E272" s="238">
        <f>data!BI66</f>
        <v>0</v>
      </c>
      <c r="F272" s="238">
        <f>data!BJ66</f>
        <v>4666.34</v>
      </c>
      <c r="G272" s="238">
        <f>data!BK66</f>
        <v>288872.95999999996</v>
      </c>
      <c r="H272" s="238">
        <f>data!BL66</f>
        <v>2823.07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557314</v>
      </c>
      <c r="E273" s="238">
        <f>data!BI67</f>
        <v>0</v>
      </c>
      <c r="F273" s="238">
        <f>data!BJ67</f>
        <v>0</v>
      </c>
      <c r="G273" s="238">
        <f>data!BK67</f>
        <v>191890</v>
      </c>
      <c r="H273" s="238">
        <f>data!BL67</f>
        <v>242173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1003</v>
      </c>
      <c r="C274" s="238">
        <f>data!BG68</f>
        <v>0</v>
      </c>
      <c r="D274" s="238">
        <f>data!BH68</f>
        <v>202836.71999999997</v>
      </c>
      <c r="E274" s="238">
        <f>data!BI68</f>
        <v>0</v>
      </c>
      <c r="F274" s="238">
        <f>data!BJ68</f>
        <v>-11.510000000000002</v>
      </c>
      <c r="G274" s="238">
        <f>data!BK68</f>
        <v>4278.6000000000013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1004</v>
      </c>
      <c r="C275" s="238">
        <f>data!BG69</f>
        <v>0</v>
      </c>
      <c r="D275" s="238">
        <f>data!BH69</f>
        <v>943217.25999999989</v>
      </c>
      <c r="E275" s="238">
        <f>data!BI69</f>
        <v>0</v>
      </c>
      <c r="F275" s="238">
        <f>data!BJ69</f>
        <v>172156.05</v>
      </c>
      <c r="G275" s="238">
        <f>data!BK69</f>
        <v>4530.41</v>
      </c>
      <c r="H275" s="238">
        <f>data!BL69</f>
        <v>1098.51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-536.78999999999985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1005</v>
      </c>
      <c r="C277" s="238">
        <f>data!BG85</f>
        <v>0</v>
      </c>
      <c r="D277" s="238">
        <f>data!BH85</f>
        <v>6016837.9499999993</v>
      </c>
      <c r="E277" s="238">
        <f>data!BI85</f>
        <v>0</v>
      </c>
      <c r="F277" s="238">
        <f>data!BJ85</f>
        <v>1053819.1199999999</v>
      </c>
      <c r="G277" s="238">
        <f>data!BK85</f>
        <v>2483388.7900000005</v>
      </c>
      <c r="H277" s="238">
        <f>data!BL85</f>
        <v>2255988.2800000003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1006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1007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1008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1009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1010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1011</v>
      </c>
      <c r="C284" s="254">
        <f>data!BG90</f>
        <v>0</v>
      </c>
      <c r="D284" s="254">
        <f>data!BH90</f>
        <v>8501</v>
      </c>
      <c r="E284" s="254">
        <f>data!BI90</f>
        <v>0</v>
      </c>
      <c r="F284" s="254">
        <f>data!BJ90</f>
        <v>0</v>
      </c>
      <c r="G284" s="254">
        <f>data!BK90</f>
        <v>2927</v>
      </c>
      <c r="H284" s="254">
        <f>data!BL90</f>
        <v>3694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1012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1013</v>
      </c>
      <c r="C286" s="253" t="str">
        <f>IF(data!BG92&gt;0,data!BG92,"")</f>
        <v>x</v>
      </c>
      <c r="D286" s="254">
        <f>data!BH92</f>
        <v>8501</v>
      </c>
      <c r="E286" s="254">
        <f>data!BI92</f>
        <v>0</v>
      </c>
      <c r="F286" s="253" t="str">
        <f>IF(data!BJ92&gt;0,data!BJ92,"")</f>
        <v>x</v>
      </c>
      <c r="G286" s="254">
        <f>data!BK92</f>
        <v>2927</v>
      </c>
      <c r="H286" s="254">
        <f>data!BL92</f>
        <v>3694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1014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996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1046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Public Hospital District No 1 of Mason County, WA, DBA Mason Health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998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1047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1002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10.617096130268198</v>
      </c>
      <c r="D298" s="245">
        <f>data!BO60</f>
        <v>1.92216811713191</v>
      </c>
      <c r="E298" s="245">
        <f>data!BP60</f>
        <v>0</v>
      </c>
      <c r="F298" s="245">
        <f>data!BQ60</f>
        <v>0</v>
      </c>
      <c r="G298" s="245">
        <f>data!BR60</f>
        <v>7.6110552458128087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2265114.5100000002</v>
      </c>
      <c r="D299" s="238">
        <f>data!BO61</f>
        <v>202579.77</v>
      </c>
      <c r="E299" s="238">
        <f>data!BP61</f>
        <v>0</v>
      </c>
      <c r="F299" s="238">
        <f>data!BQ61</f>
        <v>0</v>
      </c>
      <c r="G299" s="238">
        <f>data!BR61</f>
        <v>951022.06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607681</v>
      </c>
      <c r="D300" s="238">
        <f>data!BO62</f>
        <v>68946</v>
      </c>
      <c r="E300" s="238">
        <f>data!BP62</f>
        <v>0</v>
      </c>
      <c r="F300" s="238">
        <f>data!BQ62</f>
        <v>0</v>
      </c>
      <c r="G300" s="238">
        <f>data!BR62</f>
        <v>226381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431558.25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8400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17125.71</v>
      </c>
      <c r="D302" s="238">
        <f>data!BO64</f>
        <v>26787.86</v>
      </c>
      <c r="E302" s="238">
        <f>data!BP64</f>
        <v>6863.9199999999992</v>
      </c>
      <c r="F302" s="238">
        <f>data!BQ64</f>
        <v>0</v>
      </c>
      <c r="G302" s="238">
        <f>data!BR64</f>
        <v>13455.12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519</v>
      </c>
      <c r="C303" s="238">
        <f>data!BN65</f>
        <v>905.6</v>
      </c>
      <c r="D303" s="238">
        <f>data!BO65</f>
        <v>137.13</v>
      </c>
      <c r="E303" s="238">
        <f>data!BP65</f>
        <v>0</v>
      </c>
      <c r="F303" s="238">
        <f>data!BQ65</f>
        <v>0</v>
      </c>
      <c r="G303" s="238">
        <f>data!BR65</f>
        <v>1990.2899999999997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520</v>
      </c>
      <c r="C304" s="238">
        <f>data!BN66</f>
        <v>420057.18</v>
      </c>
      <c r="D304" s="238">
        <f>data!BO66</f>
        <v>55479.249999999993</v>
      </c>
      <c r="E304" s="238">
        <f>data!BP66</f>
        <v>292050.01</v>
      </c>
      <c r="F304" s="238">
        <f>data!BQ66</f>
        <v>0</v>
      </c>
      <c r="G304" s="238">
        <f>data!BR66</f>
        <v>404118.64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639655</v>
      </c>
      <c r="D305" s="238">
        <f>data!BO67</f>
        <v>8982</v>
      </c>
      <c r="E305" s="238">
        <f>data!BP67</f>
        <v>186711</v>
      </c>
      <c r="F305" s="238">
        <f>data!BQ67</f>
        <v>0</v>
      </c>
      <c r="G305" s="238">
        <f>data!BR67</f>
        <v>139574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1003</v>
      </c>
      <c r="C306" s="238">
        <f>data!BN68</f>
        <v>24665.95</v>
      </c>
      <c r="D306" s="238">
        <f>data!BO68</f>
        <v>0</v>
      </c>
      <c r="E306" s="238">
        <f>data!BP68</f>
        <v>715</v>
      </c>
      <c r="F306" s="238">
        <f>data!BQ68</f>
        <v>0</v>
      </c>
      <c r="G306" s="238">
        <f>data!BR68</f>
        <v>24870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1004</v>
      </c>
      <c r="C307" s="238">
        <f>data!BN69</f>
        <v>337983.29000000004</v>
      </c>
      <c r="D307" s="238">
        <f>data!BO69</f>
        <v>2857.53</v>
      </c>
      <c r="E307" s="238">
        <f>data!BP69</f>
        <v>75399.38</v>
      </c>
      <c r="F307" s="238">
        <f>data!BQ69</f>
        <v>0</v>
      </c>
      <c r="G307" s="238">
        <f>data!BR69</f>
        <v>431746.32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-101661</v>
      </c>
      <c r="D308" s="238">
        <f>-data!BO84</f>
        <v>-2530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1005</v>
      </c>
      <c r="C309" s="238">
        <f>data!BN85</f>
        <v>4643085.49</v>
      </c>
      <c r="D309" s="238">
        <f>data!BO85</f>
        <v>363239.54000000004</v>
      </c>
      <c r="E309" s="238">
        <f>data!BP85</f>
        <v>561739.31000000006</v>
      </c>
      <c r="F309" s="238">
        <f>data!BQ85</f>
        <v>0</v>
      </c>
      <c r="G309" s="238">
        <f>data!BR85</f>
        <v>2201557.4300000002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1006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1007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1008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1009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1010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1011</v>
      </c>
      <c r="C316" s="254">
        <f>data!BN90</f>
        <v>9757</v>
      </c>
      <c r="D316" s="254">
        <f>data!BO90</f>
        <v>137</v>
      </c>
      <c r="E316" s="254">
        <f>data!BP90</f>
        <v>2848</v>
      </c>
      <c r="F316" s="254">
        <f>data!BQ90</f>
        <v>0</v>
      </c>
      <c r="G316" s="254">
        <f>data!BR90</f>
        <v>2129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1012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1013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1014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996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1048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Public Hospital District No 1 of Mason County, WA, DBA Mason Health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998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1047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1002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23.771264184455394</v>
      </c>
      <c r="E330" s="245">
        <f>data!BW60</f>
        <v>2.0034064313081554</v>
      </c>
      <c r="F330" s="245">
        <f>data!BX60</f>
        <v>0</v>
      </c>
      <c r="G330" s="245">
        <f>data!BY60</f>
        <v>13.933151242966613</v>
      </c>
      <c r="H330" s="245">
        <f>data!BZ60</f>
        <v>0</v>
      </c>
      <c r="I330" s="245">
        <f>data!CA60</f>
        <v>1.0450649425287355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1544642.46</v>
      </c>
      <c r="E331" s="257">
        <f>data!BW61</f>
        <v>178228.2</v>
      </c>
      <c r="F331" s="257">
        <f>data!BX61</f>
        <v>0</v>
      </c>
      <c r="G331" s="257">
        <f>data!BY61</f>
        <v>1896953.34</v>
      </c>
      <c r="H331" s="257">
        <f>data!BZ61</f>
        <v>0</v>
      </c>
      <c r="I331" s="257">
        <f>data!CA61</f>
        <v>92725.440000000002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669681</v>
      </c>
      <c r="E332" s="257">
        <f>data!BW62</f>
        <v>62741</v>
      </c>
      <c r="F332" s="257">
        <f>data!BX62</f>
        <v>0</v>
      </c>
      <c r="G332" s="257">
        <f>data!BY62</f>
        <v>471817</v>
      </c>
      <c r="H332" s="257">
        <f>data!BZ62</f>
        <v>0</v>
      </c>
      <c r="I332" s="257">
        <f>data!CA62</f>
        <v>29864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7851.9</v>
      </c>
      <c r="E334" s="257">
        <f>data!BW64</f>
        <v>1130.3599999999999</v>
      </c>
      <c r="F334" s="257">
        <f>data!BX64</f>
        <v>0</v>
      </c>
      <c r="G334" s="257">
        <f>data!BY64</f>
        <v>9017.84</v>
      </c>
      <c r="H334" s="257">
        <f>data!BZ64</f>
        <v>0</v>
      </c>
      <c r="I334" s="257">
        <f>data!CA64</f>
        <v>7141.91</v>
      </c>
    </row>
    <row r="335" spans="1:9" ht="20.100000000000001" customHeight="1" x14ac:dyDescent="0.2">
      <c r="A335" s="230">
        <v>10</v>
      </c>
      <c r="B335" s="238" t="s">
        <v>519</v>
      </c>
      <c r="C335" s="257">
        <f>data!BU65</f>
        <v>0</v>
      </c>
      <c r="D335" s="257">
        <f>data!BV65</f>
        <v>929.74</v>
      </c>
      <c r="E335" s="257">
        <f>data!BW65</f>
        <v>0</v>
      </c>
      <c r="F335" s="257">
        <f>data!BX65</f>
        <v>0</v>
      </c>
      <c r="G335" s="257">
        <f>data!BY65</f>
        <v>701.62999999999988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520</v>
      </c>
      <c r="C336" s="257">
        <f>data!BU66</f>
        <v>0</v>
      </c>
      <c r="D336" s="257">
        <f>data!BV66</f>
        <v>6397.2</v>
      </c>
      <c r="E336" s="257">
        <f>data!BW66</f>
        <v>67598.19</v>
      </c>
      <c r="F336" s="257">
        <f>data!BX66</f>
        <v>0</v>
      </c>
      <c r="G336" s="257">
        <f>data!BY66</f>
        <v>227279.73</v>
      </c>
      <c r="H336" s="257">
        <f>data!BZ66</f>
        <v>0</v>
      </c>
      <c r="I336" s="257">
        <f>data!CA66</f>
        <v>55587.22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298029</v>
      </c>
      <c r="E337" s="257">
        <f>data!BW67</f>
        <v>67001</v>
      </c>
      <c r="F337" s="257">
        <f>data!BX67</f>
        <v>0</v>
      </c>
      <c r="G337" s="257">
        <f>data!BY67</f>
        <v>60314</v>
      </c>
      <c r="H337" s="257">
        <f>data!BZ67</f>
        <v>0</v>
      </c>
      <c r="I337" s="257">
        <f>data!CA67</f>
        <v>68574</v>
      </c>
    </row>
    <row r="338" spans="1:9" ht="20.100000000000001" customHeight="1" x14ac:dyDescent="0.2">
      <c r="A338" s="230">
        <v>13</v>
      </c>
      <c r="B338" s="238" t="s">
        <v>1003</v>
      </c>
      <c r="C338" s="257">
        <f>data!BU68</f>
        <v>0</v>
      </c>
      <c r="D338" s="257">
        <f>data!BV68</f>
        <v>-5.4000000000000012</v>
      </c>
      <c r="E338" s="257">
        <f>data!BW68</f>
        <v>1315.92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-4263.8400000000011</v>
      </c>
    </row>
    <row r="339" spans="1:9" ht="20.100000000000001" customHeight="1" x14ac:dyDescent="0.2">
      <c r="A339" s="230">
        <v>14</v>
      </c>
      <c r="B339" s="238" t="s">
        <v>1004</v>
      </c>
      <c r="C339" s="257">
        <f>data!BU69</f>
        <v>0</v>
      </c>
      <c r="D339" s="257">
        <f>data!BV69</f>
        <v>15766.94</v>
      </c>
      <c r="E339" s="257">
        <f>data!BW69</f>
        <v>59194.58</v>
      </c>
      <c r="F339" s="257">
        <f>data!BX69</f>
        <v>0</v>
      </c>
      <c r="G339" s="257">
        <f>data!BY69</f>
        <v>30764.21</v>
      </c>
      <c r="H339" s="257">
        <f>data!BZ69</f>
        <v>0</v>
      </c>
      <c r="I339" s="257">
        <f>data!CA69</f>
        <v>17096.46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-29028.41</v>
      </c>
      <c r="E340" s="238">
        <f>-data!BW84</f>
        <v>-7225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1005</v>
      </c>
      <c r="C341" s="238">
        <f>data!BU85</f>
        <v>0</v>
      </c>
      <c r="D341" s="238">
        <f>data!BV85</f>
        <v>2514264.4300000002</v>
      </c>
      <c r="E341" s="238">
        <f>data!BW85</f>
        <v>429984.25</v>
      </c>
      <c r="F341" s="238">
        <f>data!BX85</f>
        <v>0</v>
      </c>
      <c r="G341" s="238">
        <f>data!BY85</f>
        <v>2696847.7499999995</v>
      </c>
      <c r="H341" s="238">
        <f>data!BZ85</f>
        <v>0</v>
      </c>
      <c r="I341" s="238">
        <f>data!CA85</f>
        <v>266725.19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1006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1007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1008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1009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1010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1011</v>
      </c>
      <c r="C348" s="254">
        <f>data!BU90</f>
        <v>0</v>
      </c>
      <c r="D348" s="254">
        <f>data!BV90</f>
        <v>4546</v>
      </c>
      <c r="E348" s="254">
        <f>data!BW90</f>
        <v>1022</v>
      </c>
      <c r="F348" s="254">
        <f>data!BX90</f>
        <v>0</v>
      </c>
      <c r="G348" s="254">
        <f>data!BY90</f>
        <v>920</v>
      </c>
      <c r="H348" s="254">
        <f>data!BZ90</f>
        <v>0</v>
      </c>
      <c r="I348" s="254">
        <f>data!CA90</f>
        <v>1046</v>
      </c>
    </row>
    <row r="349" spans="1:9" ht="20.100000000000001" customHeight="1" x14ac:dyDescent="0.2">
      <c r="A349" s="230">
        <v>23</v>
      </c>
      <c r="B349" s="238" t="s">
        <v>1012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1013</v>
      </c>
      <c r="C350" s="254">
        <f>data!BU92</f>
        <v>0</v>
      </c>
      <c r="D350" s="254">
        <f>data!BV92</f>
        <v>4546</v>
      </c>
      <c r="E350" s="254">
        <f>data!BW92</f>
        <v>1022</v>
      </c>
      <c r="F350" s="254">
        <f>data!BX92</f>
        <v>0</v>
      </c>
      <c r="G350" s="254">
        <f>data!BY92</f>
        <v>920</v>
      </c>
      <c r="H350" s="254">
        <f>data!BZ92</f>
        <v>0</v>
      </c>
      <c r="I350" s="254">
        <f>data!CA92</f>
        <v>1046</v>
      </c>
    </row>
    <row r="351" spans="1:9" ht="20.100000000000001" customHeight="1" x14ac:dyDescent="0.2">
      <c r="A351" s="230">
        <v>25</v>
      </c>
      <c r="B351" s="238" t="s">
        <v>1014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996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1049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Public Hospital District No 1 of Mason County, WA, DBA Mason Health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998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1050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1002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16.314371964969897</v>
      </c>
      <c r="E362" s="260"/>
      <c r="F362" s="248"/>
      <c r="G362" s="248"/>
      <c r="H362" s="248"/>
      <c r="I362" s="261">
        <f>data!CE60</f>
        <v>620.17761389983582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1763493.44</v>
      </c>
      <c r="E363" s="262"/>
      <c r="F363" s="262"/>
      <c r="G363" s="262"/>
      <c r="H363" s="262"/>
      <c r="I363" s="257">
        <f>data!CE61</f>
        <v>63939663.000000015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592560</v>
      </c>
      <c r="E364" s="262"/>
      <c r="F364" s="262"/>
      <c r="G364" s="262"/>
      <c r="H364" s="262"/>
      <c r="I364" s="257">
        <f>data!CE62</f>
        <v>20090476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13190696.940000001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20934.79</v>
      </c>
      <c r="E366" s="262"/>
      <c r="F366" s="262"/>
      <c r="G366" s="262"/>
      <c r="H366" s="262"/>
      <c r="I366" s="257">
        <f>data!CE64</f>
        <v>16377406.57</v>
      </c>
    </row>
    <row r="367" spans="1:9" ht="20.100000000000001" customHeight="1" x14ac:dyDescent="0.2">
      <c r="A367" s="230">
        <v>10</v>
      </c>
      <c r="B367" s="238" t="s">
        <v>519</v>
      </c>
      <c r="C367" s="257">
        <f>data!CB65</f>
        <v>0</v>
      </c>
      <c r="D367" s="257">
        <f>data!CC65</f>
        <v>3427.11</v>
      </c>
      <c r="E367" s="262"/>
      <c r="F367" s="262"/>
      <c r="G367" s="262"/>
      <c r="H367" s="262"/>
      <c r="I367" s="257">
        <f>data!CE65</f>
        <v>1315097.7100000002</v>
      </c>
    </row>
    <row r="368" spans="1:9" ht="20.100000000000001" customHeight="1" x14ac:dyDescent="0.2">
      <c r="A368" s="230">
        <v>11</v>
      </c>
      <c r="B368" s="238" t="s">
        <v>520</v>
      </c>
      <c r="C368" s="257">
        <f>data!CB66</f>
        <v>0</v>
      </c>
      <c r="D368" s="257">
        <f>data!CC66</f>
        <v>1040525.22</v>
      </c>
      <c r="E368" s="262"/>
      <c r="F368" s="262"/>
      <c r="G368" s="262"/>
      <c r="H368" s="262"/>
      <c r="I368" s="257">
        <f>data!CE66</f>
        <v>12291101.23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188874</v>
      </c>
      <c r="E369" s="262"/>
      <c r="F369" s="262"/>
      <c r="G369" s="262"/>
      <c r="H369" s="262"/>
      <c r="I369" s="257">
        <f>data!CE67</f>
        <v>13522641</v>
      </c>
    </row>
    <row r="370" spans="1:9" ht="20.100000000000001" customHeight="1" x14ac:dyDescent="0.2">
      <c r="A370" s="230">
        <v>13</v>
      </c>
      <c r="B370" s="238" t="s">
        <v>1003</v>
      </c>
      <c r="C370" s="257">
        <f>data!CB68</f>
        <v>0</v>
      </c>
      <c r="D370" s="257">
        <f>data!CC68</f>
        <v>2.16</v>
      </c>
      <c r="E370" s="262"/>
      <c r="F370" s="262"/>
      <c r="G370" s="262"/>
      <c r="H370" s="262"/>
      <c r="I370" s="257">
        <f>data!CE68</f>
        <v>329857.10999999987</v>
      </c>
    </row>
    <row r="371" spans="1:9" ht="20.100000000000001" customHeight="1" x14ac:dyDescent="0.2">
      <c r="A371" s="230">
        <v>14</v>
      </c>
      <c r="B371" s="238" t="s">
        <v>1004</v>
      </c>
      <c r="C371" s="257">
        <f>data!CB69</f>
        <v>0</v>
      </c>
      <c r="D371" s="257">
        <f>data!CC69</f>
        <v>41908.89</v>
      </c>
      <c r="E371" s="257">
        <f>data!CD69</f>
        <v>3943778.4099999992</v>
      </c>
      <c r="F371" s="262"/>
      <c r="G371" s="262"/>
      <c r="H371" s="262"/>
      <c r="I371" s="257">
        <f>data!CE69</f>
        <v>6920263.7199999988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-12212264.810000002</v>
      </c>
      <c r="F372" s="248"/>
      <c r="G372" s="248"/>
      <c r="H372" s="248"/>
      <c r="I372" s="238">
        <f>-data!CE84</f>
        <v>-16800633.350000001</v>
      </c>
    </row>
    <row r="373" spans="1:9" ht="20.100000000000001" customHeight="1" x14ac:dyDescent="0.2">
      <c r="A373" s="230">
        <v>16</v>
      </c>
      <c r="B373" s="246" t="s">
        <v>1005</v>
      </c>
      <c r="C373" s="257">
        <f>data!CB85</f>
        <v>0</v>
      </c>
      <c r="D373" s="257">
        <f>data!CC85</f>
        <v>3651725.61</v>
      </c>
      <c r="E373" s="257">
        <f>data!CD85</f>
        <v>-8268486.4000000032</v>
      </c>
      <c r="F373" s="262"/>
      <c r="G373" s="262"/>
      <c r="H373" s="262"/>
      <c r="I373" s="238">
        <f>data!CE85</f>
        <v>131176569.93000004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2497568.17</v>
      </c>
    </row>
    <row r="375" spans="1:9" ht="20.100000000000001" customHeight="1" x14ac:dyDescent="0.2">
      <c r="A375" s="230">
        <v>18</v>
      </c>
      <c r="B375" s="238" t="s">
        <v>1006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1007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83531812.199999973</v>
      </c>
    </row>
    <row r="377" spans="1:9" ht="20.100000000000001" customHeight="1" x14ac:dyDescent="0.2">
      <c r="A377" s="230">
        <v>20</v>
      </c>
      <c r="B377" s="246" t="s">
        <v>1008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281080526.30000001</v>
      </c>
    </row>
    <row r="378" spans="1:9" ht="20.100000000000001" customHeight="1" x14ac:dyDescent="0.2">
      <c r="A378" s="230">
        <v>21</v>
      </c>
      <c r="B378" s="246" t="s">
        <v>1009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364612338.5</v>
      </c>
    </row>
    <row r="379" spans="1:9" ht="20.100000000000001" customHeight="1" x14ac:dyDescent="0.2">
      <c r="A379" s="230" t="s">
        <v>1010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1011</v>
      </c>
      <c r="C380" s="254">
        <f>data!CB90</f>
        <v>0</v>
      </c>
      <c r="D380" s="254">
        <f>data!CC90</f>
        <v>2881</v>
      </c>
      <c r="E380" s="248"/>
      <c r="F380" s="248"/>
      <c r="G380" s="248"/>
      <c r="H380" s="248"/>
      <c r="I380" s="238">
        <f>data!CE90</f>
        <v>227969</v>
      </c>
    </row>
    <row r="381" spans="1:9" ht="20.100000000000001" customHeight="1" x14ac:dyDescent="0.2">
      <c r="A381" s="230">
        <v>23</v>
      </c>
      <c r="B381" s="238" t="s">
        <v>1012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34002.114391143921</v>
      </c>
    </row>
    <row r="382" spans="1:9" ht="20.100000000000001" customHeight="1" x14ac:dyDescent="0.2">
      <c r="A382" s="230">
        <v>24</v>
      </c>
      <c r="B382" s="238" t="s">
        <v>1013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170065</v>
      </c>
    </row>
    <row r="383" spans="1:9" ht="20.100000000000001" customHeight="1" x14ac:dyDescent="0.2">
      <c r="A383" s="230">
        <v>25</v>
      </c>
      <c r="B383" s="238" t="s">
        <v>1014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18993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128.41853643218391</v>
      </c>
    </row>
    <row r="410" ht="15" x14ac:dyDescent="0.2"/>
  </sheetData>
  <pageMargins left="0.7" right="0.7" top="0.75" bottom="0.75" header="0.3" footer="0.3"/>
  <pageSetup scale="59" fitToHeight="0" orientation="portrait" r:id="rId1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43" transitionEvaluation="1" transitionEntry="1" codeName="Sheet1">
    <tabColor rgb="FF92D050"/>
    <pageSetUpPr autoPageBreaks="0" fitToPage="1"/>
  </sheetPr>
  <dimension ref="A1:CF716"/>
  <sheetViews>
    <sheetView topLeftCell="A43" zoomScaleNormal="100" workbookViewId="0">
      <selection activeCell="A39" sqref="A3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1051</v>
      </c>
    </row>
    <row r="6" spans="1:5" x14ac:dyDescent="0.25">
      <c r="A6" s="11" t="s">
        <v>1052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3" x14ac:dyDescent="0.25">
      <c r="A37" s="318" t="s">
        <v>1053</v>
      </c>
      <c r="B37" s="319"/>
      <c r="C37" s="320"/>
      <c r="D37" s="321"/>
      <c r="E37" s="321"/>
      <c r="F37" s="321"/>
      <c r="G37" s="322"/>
    </row>
    <row r="38" spans="1:83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3" x14ac:dyDescent="0.25">
      <c r="A39" s="324" t="s">
        <v>1054</v>
      </c>
      <c r="B39" s="321"/>
      <c r="C39" s="320"/>
      <c r="D39" s="321"/>
      <c r="E39" s="321"/>
      <c r="F39" s="321"/>
      <c r="G39" s="322"/>
    </row>
    <row r="40" spans="1:83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3" x14ac:dyDescent="0.25">
      <c r="C41" s="13"/>
    </row>
    <row r="42" spans="1:83" x14ac:dyDescent="0.25">
      <c r="A42" s="11" t="s">
        <v>32</v>
      </c>
      <c r="C42" s="13"/>
      <c r="F42" s="313" t="s">
        <v>33</v>
      </c>
    </row>
    <row r="43" spans="1:83" x14ac:dyDescent="0.25">
      <c r="A43" s="313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18816586</v>
      </c>
      <c r="C47" s="273">
        <v>707429</v>
      </c>
      <c r="D47" s="273">
        <v>0</v>
      </c>
      <c r="E47" s="273">
        <v>1446107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438044</v>
      </c>
      <c r="Q47" s="273">
        <v>462880</v>
      </c>
      <c r="R47" s="273">
        <v>185176</v>
      </c>
      <c r="S47" s="273">
        <v>0</v>
      </c>
      <c r="T47" s="273">
        <v>0</v>
      </c>
      <c r="U47" s="273">
        <v>768774</v>
      </c>
      <c r="V47" s="273">
        <v>0</v>
      </c>
      <c r="W47" s="273">
        <v>86968</v>
      </c>
      <c r="X47" s="273">
        <v>159514</v>
      </c>
      <c r="Y47" s="273">
        <v>734136</v>
      </c>
      <c r="Z47" s="273">
        <v>0</v>
      </c>
      <c r="AA47" s="273">
        <v>45508</v>
      </c>
      <c r="AB47" s="273">
        <v>581724</v>
      </c>
      <c r="AC47" s="273">
        <v>263760</v>
      </c>
      <c r="AD47" s="273">
        <v>0</v>
      </c>
      <c r="AE47" s="273">
        <v>626038</v>
      </c>
      <c r="AF47" s="273">
        <v>0</v>
      </c>
      <c r="AG47" s="273">
        <v>1023950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5647972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141599</v>
      </c>
      <c r="AW47" s="273">
        <v>0</v>
      </c>
      <c r="AX47" s="273">
        <v>0</v>
      </c>
      <c r="AY47" s="273">
        <v>376415</v>
      </c>
      <c r="AZ47" s="273">
        <v>0</v>
      </c>
      <c r="BA47" s="273">
        <v>41919</v>
      </c>
      <c r="BB47" s="273">
        <v>0</v>
      </c>
      <c r="BC47" s="273">
        <v>0</v>
      </c>
      <c r="BD47" s="273">
        <v>195084</v>
      </c>
      <c r="BE47" s="273">
        <v>322758</v>
      </c>
      <c r="BF47" s="273">
        <v>655254</v>
      </c>
      <c r="BG47" s="273">
        <v>0</v>
      </c>
      <c r="BH47" s="273">
        <v>0</v>
      </c>
      <c r="BI47" s="273">
        <v>0</v>
      </c>
      <c r="BJ47" s="273">
        <v>210598</v>
      </c>
      <c r="BK47" s="273">
        <v>612699</v>
      </c>
      <c r="BL47" s="273">
        <v>554108</v>
      </c>
      <c r="BM47" s="273">
        <v>0</v>
      </c>
      <c r="BN47" s="273">
        <v>542378</v>
      </c>
      <c r="BO47" s="273">
        <v>52055</v>
      </c>
      <c r="BP47" s="273">
        <v>0</v>
      </c>
      <c r="BQ47" s="273">
        <v>0</v>
      </c>
      <c r="BR47" s="273">
        <v>198583</v>
      </c>
      <c r="BS47" s="273">
        <v>0</v>
      </c>
      <c r="BT47" s="273">
        <v>0</v>
      </c>
      <c r="BU47" s="273">
        <v>0</v>
      </c>
      <c r="BV47" s="273">
        <v>608167</v>
      </c>
      <c r="BW47" s="273">
        <v>58613</v>
      </c>
      <c r="BX47" s="273">
        <v>0</v>
      </c>
      <c r="BY47" s="273">
        <v>465919</v>
      </c>
      <c r="BZ47" s="273">
        <v>0</v>
      </c>
      <c r="CA47" s="273">
        <v>28028</v>
      </c>
      <c r="CB47" s="273">
        <v>0</v>
      </c>
      <c r="CC47" s="273">
        <v>574429</v>
      </c>
      <c r="CD47" s="16"/>
      <c r="CE47" s="25">
        <v>18816586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18816586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16" t="s">
        <v>233</v>
      </c>
      <c r="B51" s="273">
        <v>12671902.43</v>
      </c>
      <c r="C51" s="273">
        <v>204619.60680705111</v>
      </c>
      <c r="D51" s="273">
        <v>0</v>
      </c>
      <c r="E51" s="273">
        <v>604421.64347035054</v>
      </c>
      <c r="F51" s="273">
        <v>0</v>
      </c>
      <c r="G51" s="273">
        <v>0</v>
      </c>
      <c r="H51" s="273">
        <v>0</v>
      </c>
      <c r="I51" s="273">
        <v>0</v>
      </c>
      <c r="J51" s="273">
        <v>15132.068410602862</v>
      </c>
      <c r="K51" s="273">
        <v>0</v>
      </c>
      <c r="L51" s="273">
        <v>0</v>
      </c>
      <c r="M51" s="273">
        <v>0</v>
      </c>
      <c r="N51" s="273">
        <v>0</v>
      </c>
      <c r="O51" s="273">
        <v>30604.430208693921</v>
      </c>
      <c r="P51" s="273">
        <v>206106.66379647137</v>
      </c>
      <c r="Q51" s="273">
        <v>227508.73204868101</v>
      </c>
      <c r="R51" s="273">
        <v>9782.1791951288469</v>
      </c>
      <c r="S51" s="273">
        <v>93247.922342706355</v>
      </c>
      <c r="T51" s="273">
        <v>0</v>
      </c>
      <c r="U51" s="273">
        <v>137905.46489853735</v>
      </c>
      <c r="V51" s="273">
        <v>0</v>
      </c>
      <c r="W51" s="273">
        <v>67100.268169224524</v>
      </c>
      <c r="X51" s="273">
        <v>24852.404619260145</v>
      </c>
      <c r="Y51" s="273">
        <v>219500.85011008655</v>
      </c>
      <c r="Z51" s="273">
        <v>0</v>
      </c>
      <c r="AA51" s="273">
        <v>21665.764235134062</v>
      </c>
      <c r="AB51" s="273">
        <v>60347.767463623888</v>
      </c>
      <c r="AC51" s="273">
        <v>25286.561219717874</v>
      </c>
      <c r="AD51" s="273">
        <v>0</v>
      </c>
      <c r="AE51" s="273">
        <v>249914.72857873866</v>
      </c>
      <c r="AF51" s="273">
        <v>0</v>
      </c>
      <c r="AG51" s="273">
        <v>299579.04164845269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2824964.33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8411.2740077109956</v>
      </c>
      <c r="AW51" s="273">
        <v>0</v>
      </c>
      <c r="AX51" s="273">
        <v>0</v>
      </c>
      <c r="AY51" s="273">
        <v>158215.07836434574</v>
      </c>
      <c r="AZ51" s="273">
        <v>0</v>
      </c>
      <c r="BA51" s="273">
        <v>45858.301049504735</v>
      </c>
      <c r="BB51" s="273">
        <v>0</v>
      </c>
      <c r="BC51" s="273">
        <v>0</v>
      </c>
      <c r="BD51" s="273">
        <v>106806.9186456493</v>
      </c>
      <c r="BE51" s="273">
        <v>523777.66490662447</v>
      </c>
      <c r="BF51" s="273">
        <v>72045.509620425219</v>
      </c>
      <c r="BG51" s="273">
        <v>0</v>
      </c>
      <c r="BH51" s="273">
        <v>4933363.3249487402</v>
      </c>
      <c r="BI51" s="273">
        <v>0</v>
      </c>
      <c r="BJ51" s="273">
        <v>84316.278829138377</v>
      </c>
      <c r="BK51" s="273">
        <v>119004.77015557855</v>
      </c>
      <c r="BL51" s="273">
        <v>60335.210512056066</v>
      </c>
      <c r="BM51" s="273">
        <v>0</v>
      </c>
      <c r="BN51" s="273">
        <v>168969.47953461384</v>
      </c>
      <c r="BO51" s="273">
        <v>8766.9496608697827</v>
      </c>
      <c r="BP51" s="273">
        <v>89410.204019788289</v>
      </c>
      <c r="BQ51" s="273">
        <v>0</v>
      </c>
      <c r="BR51" s="273">
        <v>66837.2000338785</v>
      </c>
      <c r="BS51" s="273">
        <v>0</v>
      </c>
      <c r="BT51" s="273">
        <v>0</v>
      </c>
      <c r="BU51" s="273">
        <v>0</v>
      </c>
      <c r="BV51" s="273">
        <v>172708.8850833457</v>
      </c>
      <c r="BW51" s="273">
        <v>32077.988475178787</v>
      </c>
      <c r="BX51" s="273">
        <v>0</v>
      </c>
      <c r="BY51" s="273">
        <v>54327.33703442775</v>
      </c>
      <c r="BZ51" s="273">
        <v>0</v>
      </c>
      <c r="CA51" s="273">
        <v>50163.768349875725</v>
      </c>
      <c r="CB51" s="273">
        <v>0</v>
      </c>
      <c r="CC51" s="273">
        <v>593965.85954578465</v>
      </c>
      <c r="CD51" s="16"/>
      <c r="CE51" s="25">
        <v>12671902.430000002</v>
      </c>
    </row>
    <row r="52" spans="1:83" x14ac:dyDescent="0.25">
      <c r="A52" s="31" t="s">
        <v>234</v>
      </c>
      <c r="B52" s="329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12671902.43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711</v>
      </c>
      <c r="D59" s="273">
        <v>0</v>
      </c>
      <c r="E59" s="273">
        <v>4445</v>
      </c>
      <c r="F59" s="273">
        <v>0</v>
      </c>
      <c r="G59" s="273">
        <v>0</v>
      </c>
      <c r="H59" s="273">
        <v>0</v>
      </c>
      <c r="I59" s="273">
        <v>0</v>
      </c>
      <c r="J59" s="273">
        <v>672</v>
      </c>
      <c r="K59" s="273">
        <v>0</v>
      </c>
      <c r="L59" s="273">
        <v>0</v>
      </c>
      <c r="M59" s="273">
        <v>0</v>
      </c>
      <c r="N59" s="273">
        <v>0</v>
      </c>
      <c r="O59" s="273">
        <v>1257</v>
      </c>
      <c r="P59" s="330">
        <v>0</v>
      </c>
      <c r="Q59" s="331">
        <v>133943</v>
      </c>
      <c r="R59" s="330">
        <v>0</v>
      </c>
      <c r="S59" s="332">
        <v>0</v>
      </c>
      <c r="T59" s="332">
        <v>0</v>
      </c>
      <c r="U59" s="333">
        <v>326130</v>
      </c>
      <c r="V59" s="331">
        <v>0</v>
      </c>
      <c r="W59" s="331">
        <v>2058</v>
      </c>
      <c r="X59" s="331">
        <v>38594</v>
      </c>
      <c r="Y59" s="330">
        <v>0</v>
      </c>
      <c r="Z59" s="331">
        <v>0</v>
      </c>
      <c r="AA59" s="331">
        <v>831</v>
      </c>
      <c r="AB59" s="332">
        <v>0</v>
      </c>
      <c r="AC59" s="331">
        <v>4167</v>
      </c>
      <c r="AD59" s="331">
        <v>0</v>
      </c>
      <c r="AE59" s="331">
        <v>20823</v>
      </c>
      <c r="AF59" s="331">
        <v>0</v>
      </c>
      <c r="AG59" s="331">
        <v>17566</v>
      </c>
      <c r="AH59" s="331">
        <v>0</v>
      </c>
      <c r="AI59" s="331">
        <v>0</v>
      </c>
      <c r="AJ59" s="331">
        <v>0</v>
      </c>
      <c r="AK59" s="331">
        <v>0</v>
      </c>
      <c r="AL59" s="331">
        <v>0</v>
      </c>
      <c r="AM59" s="331">
        <v>0</v>
      </c>
      <c r="AN59" s="331">
        <v>0</v>
      </c>
      <c r="AO59" s="331">
        <v>0</v>
      </c>
      <c r="AP59" s="331">
        <v>90971</v>
      </c>
      <c r="AQ59" s="331">
        <v>0</v>
      </c>
      <c r="AR59" s="331">
        <v>0</v>
      </c>
      <c r="AS59" s="331">
        <v>0</v>
      </c>
      <c r="AT59" s="331">
        <v>0</v>
      </c>
      <c r="AU59" s="331">
        <v>0</v>
      </c>
      <c r="AV59" s="332">
        <v>0</v>
      </c>
      <c r="AW59" s="332">
        <v>0</v>
      </c>
      <c r="AX59" s="332">
        <v>0</v>
      </c>
      <c r="AY59" s="331">
        <v>33431.114391143914</v>
      </c>
      <c r="AZ59" s="331">
        <v>0</v>
      </c>
      <c r="BA59" s="332">
        <v>0</v>
      </c>
      <c r="BB59" s="332">
        <v>0</v>
      </c>
      <c r="BC59" s="332">
        <v>0</v>
      </c>
      <c r="BD59" s="332">
        <v>0</v>
      </c>
      <c r="BE59" s="331">
        <v>227969</v>
      </c>
      <c r="BF59" s="332">
        <v>0</v>
      </c>
      <c r="BG59" s="332">
        <v>0</v>
      </c>
      <c r="BH59" s="332">
        <v>0</v>
      </c>
      <c r="BI59" s="332">
        <v>0</v>
      </c>
      <c r="BJ59" s="332">
        <v>0</v>
      </c>
      <c r="BK59" s="332">
        <v>0</v>
      </c>
      <c r="BL59" s="332">
        <v>0</v>
      </c>
      <c r="BM59" s="332">
        <v>0</v>
      </c>
      <c r="BN59" s="332">
        <v>0</v>
      </c>
      <c r="BO59" s="332">
        <v>0</v>
      </c>
      <c r="BP59" s="332">
        <v>0</v>
      </c>
      <c r="BQ59" s="332">
        <v>0</v>
      </c>
      <c r="BR59" s="332">
        <v>0</v>
      </c>
      <c r="BS59" s="332">
        <v>0</v>
      </c>
      <c r="BT59" s="332">
        <v>0</v>
      </c>
      <c r="BU59" s="332">
        <v>0</v>
      </c>
      <c r="BV59" s="332">
        <v>0</v>
      </c>
      <c r="BW59" s="332">
        <v>0</v>
      </c>
      <c r="BX59" s="332">
        <v>0</v>
      </c>
      <c r="BY59" s="332">
        <v>0</v>
      </c>
      <c r="BZ59" s="332">
        <v>0</v>
      </c>
      <c r="CA59" s="332">
        <v>0</v>
      </c>
      <c r="CB59" s="332">
        <v>0</v>
      </c>
      <c r="CC59" s="332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20.933825525240383</v>
      </c>
      <c r="D60" s="277">
        <v>0</v>
      </c>
      <c r="E60" s="277">
        <v>44.94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334">
        <v>15.722201251826922</v>
      </c>
      <c r="Q60" s="334">
        <v>13.566662338942308</v>
      </c>
      <c r="R60" s="334">
        <v>3.3784388461538457</v>
      </c>
      <c r="S60" s="278">
        <v>0</v>
      </c>
      <c r="T60" s="278">
        <v>0</v>
      </c>
      <c r="U60" s="335">
        <v>31.051268203125002</v>
      </c>
      <c r="V60" s="334">
        <v>0</v>
      </c>
      <c r="W60" s="334">
        <v>2.1101423810096156</v>
      </c>
      <c r="X60" s="334">
        <v>4.4897639242788472</v>
      </c>
      <c r="Y60" s="334">
        <v>23.884224074182693</v>
      </c>
      <c r="Z60" s="334">
        <v>0</v>
      </c>
      <c r="AA60" s="334">
        <v>1.0036760588942306</v>
      </c>
      <c r="AB60" s="278">
        <v>14.716421475961537</v>
      </c>
      <c r="AC60" s="334">
        <v>8.4617263847115396</v>
      </c>
      <c r="AD60" s="334">
        <v>0</v>
      </c>
      <c r="AE60" s="334">
        <v>21.013615494711541</v>
      </c>
      <c r="AF60" s="334">
        <v>0</v>
      </c>
      <c r="AG60" s="334">
        <v>30.768301471634615</v>
      </c>
      <c r="AH60" s="334">
        <v>0</v>
      </c>
      <c r="AI60" s="334">
        <v>0</v>
      </c>
      <c r="AJ60" s="334">
        <v>0</v>
      </c>
      <c r="AK60" s="334">
        <v>0</v>
      </c>
      <c r="AL60" s="334">
        <v>0</v>
      </c>
      <c r="AM60" s="334">
        <v>0</v>
      </c>
      <c r="AN60" s="334">
        <v>0</v>
      </c>
      <c r="AO60" s="334">
        <v>0</v>
      </c>
      <c r="AP60" s="334">
        <v>169.56457440995194</v>
      </c>
      <c r="AQ60" s="334">
        <v>0</v>
      </c>
      <c r="AR60" s="334">
        <v>0</v>
      </c>
      <c r="AS60" s="334">
        <v>0</v>
      </c>
      <c r="AT60" s="334">
        <v>0</v>
      </c>
      <c r="AU60" s="334">
        <v>0</v>
      </c>
      <c r="AV60" s="278">
        <v>4.0644393701923081</v>
      </c>
      <c r="AW60" s="278">
        <v>0</v>
      </c>
      <c r="AX60" s="278">
        <v>0</v>
      </c>
      <c r="AY60" s="334">
        <v>19.414148450721154</v>
      </c>
      <c r="AZ60" s="334">
        <v>0</v>
      </c>
      <c r="BA60" s="278">
        <v>0.99451584735576914</v>
      </c>
      <c r="BB60" s="278">
        <v>0</v>
      </c>
      <c r="BC60" s="278">
        <v>0</v>
      </c>
      <c r="BD60" s="278">
        <v>7.4673485874038459</v>
      </c>
      <c r="BE60" s="334">
        <v>11.454703409855769</v>
      </c>
      <c r="BF60" s="278">
        <v>31.238702013221154</v>
      </c>
      <c r="BG60" s="278">
        <v>0</v>
      </c>
      <c r="BH60" s="278">
        <v>0</v>
      </c>
      <c r="BI60" s="278">
        <v>0</v>
      </c>
      <c r="BJ60" s="278">
        <v>6.6112851923076921</v>
      </c>
      <c r="BK60" s="278">
        <v>23.132513043269231</v>
      </c>
      <c r="BL60" s="278">
        <v>25.186144260817304</v>
      </c>
      <c r="BM60" s="278">
        <v>0</v>
      </c>
      <c r="BN60" s="278">
        <v>10.321640657499998</v>
      </c>
      <c r="BO60" s="278">
        <v>1.9524949399038463</v>
      </c>
      <c r="BP60" s="278">
        <v>0</v>
      </c>
      <c r="BQ60" s="278">
        <v>0</v>
      </c>
      <c r="BR60" s="278">
        <v>6.4288979927884613</v>
      </c>
      <c r="BS60" s="278">
        <v>0</v>
      </c>
      <c r="BT60" s="278">
        <v>0</v>
      </c>
      <c r="BU60" s="278">
        <v>0</v>
      </c>
      <c r="BV60" s="278">
        <v>22.869850711538461</v>
      </c>
      <c r="BW60" s="278">
        <v>2.0065794230769236</v>
      </c>
      <c r="BX60" s="278">
        <v>0</v>
      </c>
      <c r="BY60" s="278">
        <v>13.232125512548075</v>
      </c>
      <c r="BZ60" s="278">
        <v>0</v>
      </c>
      <c r="CA60" s="278">
        <v>1.0547237079326923</v>
      </c>
      <c r="CB60" s="278">
        <v>0</v>
      </c>
      <c r="CC60" s="278">
        <v>16.850000000000001</v>
      </c>
      <c r="CD60" s="209" t="s">
        <v>247</v>
      </c>
      <c r="CE60" s="25">
        <v>609.88495496105782</v>
      </c>
    </row>
    <row r="61" spans="1:83" x14ac:dyDescent="0.25">
      <c r="A61" s="31" t="s">
        <v>262</v>
      </c>
      <c r="B61" s="16"/>
      <c r="C61" s="273">
        <v>2333543.34</v>
      </c>
      <c r="D61" s="273">
        <v>0</v>
      </c>
      <c r="E61" s="273">
        <v>5015175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331">
        <v>1601524.1299999997</v>
      </c>
      <c r="Q61" s="331">
        <v>1574377.7999999998</v>
      </c>
      <c r="R61" s="331">
        <v>912520.38000000012</v>
      </c>
      <c r="S61" s="280">
        <v>0</v>
      </c>
      <c r="T61" s="280">
        <v>0</v>
      </c>
      <c r="U61" s="333">
        <v>2299755.14</v>
      </c>
      <c r="V61" s="331">
        <v>0</v>
      </c>
      <c r="W61" s="331">
        <v>231750.91000000003</v>
      </c>
      <c r="X61" s="331">
        <v>506873.10000000009</v>
      </c>
      <c r="Y61" s="331">
        <v>2110038.1399999997</v>
      </c>
      <c r="Z61" s="331">
        <v>0</v>
      </c>
      <c r="AA61" s="331">
        <v>114302.27</v>
      </c>
      <c r="AB61" s="281">
        <v>1825729.11</v>
      </c>
      <c r="AC61" s="331">
        <v>874950.73999999987</v>
      </c>
      <c r="AD61" s="331">
        <v>0</v>
      </c>
      <c r="AE61" s="331">
        <v>1813447.6799999999</v>
      </c>
      <c r="AF61" s="331">
        <v>0</v>
      </c>
      <c r="AG61" s="331">
        <v>4255892.5600000005</v>
      </c>
      <c r="AH61" s="331">
        <v>0</v>
      </c>
      <c r="AI61" s="331">
        <v>0</v>
      </c>
      <c r="AJ61" s="331">
        <v>0</v>
      </c>
      <c r="AK61" s="331">
        <v>0</v>
      </c>
      <c r="AL61" s="331">
        <v>0</v>
      </c>
      <c r="AM61" s="331">
        <v>0</v>
      </c>
      <c r="AN61" s="331">
        <v>0</v>
      </c>
      <c r="AO61" s="331">
        <v>0</v>
      </c>
      <c r="AP61" s="331">
        <v>19241404.890000001</v>
      </c>
      <c r="AQ61" s="331">
        <v>0</v>
      </c>
      <c r="AR61" s="331">
        <v>0</v>
      </c>
      <c r="AS61" s="331">
        <v>0</v>
      </c>
      <c r="AT61" s="331">
        <v>0</v>
      </c>
      <c r="AU61" s="331">
        <v>0</v>
      </c>
      <c r="AV61" s="280">
        <v>376995.85000000003</v>
      </c>
      <c r="AW61" s="280">
        <v>0</v>
      </c>
      <c r="AX61" s="280">
        <v>0</v>
      </c>
      <c r="AY61" s="331">
        <v>977535.20000000019</v>
      </c>
      <c r="AZ61" s="331">
        <v>0</v>
      </c>
      <c r="BA61" s="280">
        <v>55774.239999999991</v>
      </c>
      <c r="BB61" s="280">
        <v>0</v>
      </c>
      <c r="BC61" s="280">
        <v>0</v>
      </c>
      <c r="BD61" s="280">
        <v>501170.61</v>
      </c>
      <c r="BE61" s="331">
        <v>898094.74000000011</v>
      </c>
      <c r="BF61" s="280">
        <v>1686759.2</v>
      </c>
      <c r="BG61" s="280">
        <v>0</v>
      </c>
      <c r="BH61" s="280">
        <v>0</v>
      </c>
      <c r="BI61" s="280">
        <v>0</v>
      </c>
      <c r="BJ61" s="280">
        <v>627371.11</v>
      </c>
      <c r="BK61" s="280">
        <v>1452355.95</v>
      </c>
      <c r="BL61" s="280">
        <v>1317778.1100000001</v>
      </c>
      <c r="BM61" s="280">
        <v>0</v>
      </c>
      <c r="BN61" s="280">
        <v>2067701.9500000004</v>
      </c>
      <c r="BO61" s="280">
        <v>199223.81</v>
      </c>
      <c r="BP61" s="280">
        <v>0</v>
      </c>
      <c r="BQ61" s="280">
        <v>0</v>
      </c>
      <c r="BR61" s="280">
        <v>710205.14999999991</v>
      </c>
      <c r="BS61" s="280">
        <v>0</v>
      </c>
      <c r="BT61" s="280">
        <v>0</v>
      </c>
      <c r="BU61" s="280">
        <v>0</v>
      </c>
      <c r="BV61" s="280">
        <v>1413227.0999999999</v>
      </c>
      <c r="BW61" s="280">
        <v>167530.35999999999</v>
      </c>
      <c r="BX61" s="280">
        <v>0</v>
      </c>
      <c r="BY61" s="280">
        <v>1810067.6400000001</v>
      </c>
      <c r="BZ61" s="280">
        <v>0</v>
      </c>
      <c r="CA61" s="280">
        <v>85098.34</v>
      </c>
      <c r="CB61" s="280">
        <v>0</v>
      </c>
      <c r="CC61" s="280">
        <v>1796158</v>
      </c>
      <c r="CD61" s="24" t="s">
        <v>247</v>
      </c>
      <c r="CE61" s="25">
        <v>60854332.550000019</v>
      </c>
    </row>
    <row r="62" spans="1:83" x14ac:dyDescent="0.25">
      <c r="A62" s="31" t="s">
        <v>10</v>
      </c>
      <c r="B62" s="16"/>
      <c r="C62" s="25">
        <v>707429</v>
      </c>
      <c r="D62" s="25">
        <v>0</v>
      </c>
      <c r="E62" s="25">
        <v>1446107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438044</v>
      </c>
      <c r="Q62" s="25">
        <v>462880</v>
      </c>
      <c r="R62" s="25">
        <v>185176</v>
      </c>
      <c r="S62" s="25">
        <v>0</v>
      </c>
      <c r="T62" s="25">
        <v>0</v>
      </c>
      <c r="U62" s="25">
        <v>768774</v>
      </c>
      <c r="V62" s="25">
        <v>0</v>
      </c>
      <c r="W62" s="25">
        <v>86968</v>
      </c>
      <c r="X62" s="25">
        <v>159514</v>
      </c>
      <c r="Y62" s="25">
        <v>734136</v>
      </c>
      <c r="Z62" s="25">
        <v>0</v>
      </c>
      <c r="AA62" s="25">
        <v>45508</v>
      </c>
      <c r="AB62" s="25">
        <v>581724</v>
      </c>
      <c r="AC62" s="25">
        <v>263760</v>
      </c>
      <c r="AD62" s="25">
        <v>0</v>
      </c>
      <c r="AE62" s="25">
        <v>626038</v>
      </c>
      <c r="AF62" s="25">
        <v>0</v>
      </c>
      <c r="AG62" s="25">
        <v>1023950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5647972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141599</v>
      </c>
      <c r="AW62" s="25">
        <v>0</v>
      </c>
      <c r="AX62" s="25">
        <v>0</v>
      </c>
      <c r="AY62" s="25">
        <v>376415</v>
      </c>
      <c r="AZ62" s="25">
        <v>0</v>
      </c>
      <c r="BA62" s="25">
        <v>41919</v>
      </c>
      <c r="BB62" s="25">
        <v>0</v>
      </c>
      <c r="BC62" s="25">
        <v>0</v>
      </c>
      <c r="BD62" s="25">
        <v>195084</v>
      </c>
      <c r="BE62" s="25">
        <v>322758</v>
      </c>
      <c r="BF62" s="25">
        <v>655254</v>
      </c>
      <c r="BG62" s="25">
        <v>0</v>
      </c>
      <c r="BH62" s="25">
        <v>0</v>
      </c>
      <c r="BI62" s="25">
        <v>0</v>
      </c>
      <c r="BJ62" s="25">
        <v>210598</v>
      </c>
      <c r="BK62" s="25">
        <v>612699</v>
      </c>
      <c r="BL62" s="25">
        <v>554108</v>
      </c>
      <c r="BM62" s="25">
        <v>0</v>
      </c>
      <c r="BN62" s="25">
        <v>542378</v>
      </c>
      <c r="BO62" s="25">
        <v>52055</v>
      </c>
      <c r="BP62" s="25">
        <v>0</v>
      </c>
      <c r="BQ62" s="25">
        <v>0</v>
      </c>
      <c r="BR62" s="25">
        <v>198583</v>
      </c>
      <c r="BS62" s="25">
        <v>0</v>
      </c>
      <c r="BT62" s="25">
        <v>0</v>
      </c>
      <c r="BU62" s="25">
        <v>0</v>
      </c>
      <c r="BV62" s="25">
        <v>608167</v>
      </c>
      <c r="BW62" s="25">
        <v>58613</v>
      </c>
      <c r="BX62" s="25">
        <v>0</v>
      </c>
      <c r="BY62" s="25">
        <v>465919</v>
      </c>
      <c r="BZ62" s="25">
        <v>0</v>
      </c>
      <c r="CA62" s="25">
        <v>28028</v>
      </c>
      <c r="CB62" s="25">
        <v>0</v>
      </c>
      <c r="CC62" s="25">
        <v>574429</v>
      </c>
      <c r="CD62" s="24" t="s">
        <v>247</v>
      </c>
      <c r="CE62" s="25">
        <v>18816586</v>
      </c>
    </row>
    <row r="63" spans="1:83" x14ac:dyDescent="0.25">
      <c r="A63" s="31" t="s">
        <v>263</v>
      </c>
      <c r="B63" s="16"/>
      <c r="C63" s="273">
        <v>327918.51999999996</v>
      </c>
      <c r="D63" s="273">
        <v>0</v>
      </c>
      <c r="E63" s="273">
        <v>1744557.55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54840</v>
      </c>
      <c r="P63" s="331">
        <v>600305.18000000005</v>
      </c>
      <c r="Q63" s="331">
        <v>0</v>
      </c>
      <c r="R63" s="331">
        <v>226535</v>
      </c>
      <c r="S63" s="280">
        <v>216.27</v>
      </c>
      <c r="T63" s="280">
        <v>0</v>
      </c>
      <c r="U63" s="333">
        <v>621162.79999999993</v>
      </c>
      <c r="V63" s="331">
        <v>0</v>
      </c>
      <c r="W63" s="331">
        <v>0</v>
      </c>
      <c r="X63" s="331">
        <v>0</v>
      </c>
      <c r="Y63" s="331">
        <v>245243.9</v>
      </c>
      <c r="Z63" s="331">
        <v>0</v>
      </c>
      <c r="AA63" s="331">
        <v>0</v>
      </c>
      <c r="AB63" s="281">
        <v>0</v>
      </c>
      <c r="AC63" s="331">
        <v>168126.49999999997</v>
      </c>
      <c r="AD63" s="331">
        <v>0</v>
      </c>
      <c r="AE63" s="331">
        <v>427100.15</v>
      </c>
      <c r="AF63" s="331">
        <v>0</v>
      </c>
      <c r="AG63" s="331">
        <v>3869278.5200000005</v>
      </c>
      <c r="AH63" s="331">
        <v>0</v>
      </c>
      <c r="AI63" s="331">
        <v>0</v>
      </c>
      <c r="AJ63" s="331">
        <v>0</v>
      </c>
      <c r="AK63" s="331">
        <v>0</v>
      </c>
      <c r="AL63" s="331">
        <v>0</v>
      </c>
      <c r="AM63" s="331">
        <v>0</v>
      </c>
      <c r="AN63" s="331">
        <v>0</v>
      </c>
      <c r="AO63" s="331">
        <v>0</v>
      </c>
      <c r="AP63" s="331">
        <v>2466472.66</v>
      </c>
      <c r="AQ63" s="331">
        <v>0</v>
      </c>
      <c r="AR63" s="331">
        <v>0</v>
      </c>
      <c r="AS63" s="331">
        <v>0</v>
      </c>
      <c r="AT63" s="331">
        <v>0</v>
      </c>
      <c r="AU63" s="331">
        <v>0</v>
      </c>
      <c r="AV63" s="280">
        <v>34545</v>
      </c>
      <c r="AW63" s="280">
        <v>0</v>
      </c>
      <c r="AX63" s="280">
        <v>0</v>
      </c>
      <c r="AY63" s="331">
        <v>155.6</v>
      </c>
      <c r="AZ63" s="331">
        <v>0</v>
      </c>
      <c r="BA63" s="280">
        <v>0</v>
      </c>
      <c r="BB63" s="280">
        <v>0</v>
      </c>
      <c r="BC63" s="280">
        <v>0</v>
      </c>
      <c r="BD63" s="280">
        <v>0</v>
      </c>
      <c r="BE63" s="331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103997.91</v>
      </c>
      <c r="BL63" s="280">
        <v>0</v>
      </c>
      <c r="BM63" s="280">
        <v>0</v>
      </c>
      <c r="BN63" s="280">
        <v>261417.92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153457.50000000003</v>
      </c>
      <c r="BW63" s="280">
        <v>8000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312.5</v>
      </c>
      <c r="CD63" s="24" t="s">
        <v>247</v>
      </c>
      <c r="CE63" s="25">
        <v>11313643.48</v>
      </c>
    </row>
    <row r="64" spans="1:83" x14ac:dyDescent="0.25">
      <c r="A64" s="31" t="s">
        <v>264</v>
      </c>
      <c r="B64" s="16"/>
      <c r="C64" s="273">
        <v>228042.65000000002</v>
      </c>
      <c r="D64" s="273">
        <v>0</v>
      </c>
      <c r="E64" s="273">
        <v>241435.65</v>
      </c>
      <c r="F64" s="273">
        <v>0</v>
      </c>
      <c r="G64" s="273">
        <v>0</v>
      </c>
      <c r="H64" s="273">
        <v>0</v>
      </c>
      <c r="I64" s="273">
        <v>0</v>
      </c>
      <c r="J64" s="273">
        <v>27725.269999999997</v>
      </c>
      <c r="K64" s="273">
        <v>0</v>
      </c>
      <c r="L64" s="273">
        <v>0</v>
      </c>
      <c r="M64" s="273">
        <v>0</v>
      </c>
      <c r="N64" s="273">
        <v>0</v>
      </c>
      <c r="O64" s="273">
        <v>94935.689999999988</v>
      </c>
      <c r="P64" s="331">
        <v>923406.10000000009</v>
      </c>
      <c r="Q64" s="331">
        <v>137127.03</v>
      </c>
      <c r="R64" s="331">
        <v>57923.13</v>
      </c>
      <c r="S64" s="280">
        <v>4184486.6300000004</v>
      </c>
      <c r="T64" s="280">
        <v>0</v>
      </c>
      <c r="U64" s="333">
        <v>2109656.91</v>
      </c>
      <c r="V64" s="331">
        <v>0</v>
      </c>
      <c r="W64" s="331">
        <v>13226.84</v>
      </c>
      <c r="X64" s="331">
        <v>129054.95000000001</v>
      </c>
      <c r="Y64" s="331">
        <v>121070.73000000001</v>
      </c>
      <c r="Z64" s="331">
        <v>0</v>
      </c>
      <c r="AA64" s="331">
        <v>53575.08</v>
      </c>
      <c r="AB64" s="281">
        <v>2963224.5199999996</v>
      </c>
      <c r="AC64" s="331">
        <v>132974.59999999998</v>
      </c>
      <c r="AD64" s="331">
        <v>0</v>
      </c>
      <c r="AE64" s="331">
        <v>46571.32</v>
      </c>
      <c r="AF64" s="331">
        <v>0</v>
      </c>
      <c r="AG64" s="331">
        <v>398413.8</v>
      </c>
      <c r="AH64" s="331">
        <v>0</v>
      </c>
      <c r="AI64" s="331">
        <v>0</v>
      </c>
      <c r="AJ64" s="331">
        <v>0</v>
      </c>
      <c r="AK64" s="331">
        <v>0</v>
      </c>
      <c r="AL64" s="331">
        <v>0</v>
      </c>
      <c r="AM64" s="331">
        <v>0</v>
      </c>
      <c r="AN64" s="331">
        <v>0</v>
      </c>
      <c r="AO64" s="331">
        <v>0</v>
      </c>
      <c r="AP64" s="331">
        <v>1326920.57</v>
      </c>
      <c r="AQ64" s="331">
        <v>0</v>
      </c>
      <c r="AR64" s="331">
        <v>0</v>
      </c>
      <c r="AS64" s="331">
        <v>0</v>
      </c>
      <c r="AT64" s="331">
        <v>0</v>
      </c>
      <c r="AU64" s="331">
        <v>0</v>
      </c>
      <c r="AV64" s="280">
        <v>10790.26</v>
      </c>
      <c r="AW64" s="280">
        <v>0</v>
      </c>
      <c r="AX64" s="280">
        <v>0</v>
      </c>
      <c r="AY64" s="331">
        <v>851097.77000000014</v>
      </c>
      <c r="AZ64" s="331">
        <v>0</v>
      </c>
      <c r="BA64" s="280">
        <v>71737.76999999999</v>
      </c>
      <c r="BB64" s="280">
        <v>0</v>
      </c>
      <c r="BC64" s="280">
        <v>0</v>
      </c>
      <c r="BD64" s="280">
        <v>77365.849999999991</v>
      </c>
      <c r="BE64" s="331">
        <v>112079.2</v>
      </c>
      <c r="BF64" s="280">
        <v>179290.02</v>
      </c>
      <c r="BG64" s="280">
        <v>0</v>
      </c>
      <c r="BH64" s="280">
        <v>501187.68</v>
      </c>
      <c r="BI64" s="280">
        <v>0</v>
      </c>
      <c r="BJ64" s="280">
        <v>6221.1</v>
      </c>
      <c r="BK64" s="280">
        <v>18188.919999999998</v>
      </c>
      <c r="BL64" s="280">
        <v>14540.17</v>
      </c>
      <c r="BM64" s="280">
        <v>0</v>
      </c>
      <c r="BN64" s="280">
        <v>52023.07</v>
      </c>
      <c r="BO64" s="280">
        <v>45534.829999999994</v>
      </c>
      <c r="BP64" s="280">
        <v>9027.1200000000008</v>
      </c>
      <c r="BQ64" s="280">
        <v>0</v>
      </c>
      <c r="BR64" s="280">
        <v>16680.84</v>
      </c>
      <c r="BS64" s="280">
        <v>0</v>
      </c>
      <c r="BT64" s="280">
        <v>0</v>
      </c>
      <c r="BU64" s="280">
        <v>0</v>
      </c>
      <c r="BV64" s="280">
        <v>6055.26</v>
      </c>
      <c r="BW64" s="280">
        <v>2156.91</v>
      </c>
      <c r="BX64" s="280">
        <v>0</v>
      </c>
      <c r="BY64" s="280">
        <v>4526.88</v>
      </c>
      <c r="BZ64" s="280">
        <v>0</v>
      </c>
      <c r="CA64" s="280">
        <v>4344.6099999999997</v>
      </c>
      <c r="CB64" s="280">
        <v>0</v>
      </c>
      <c r="CC64" s="280">
        <v>29036</v>
      </c>
      <c r="CD64" s="24" t="s">
        <v>247</v>
      </c>
      <c r="CE64" s="25">
        <v>15201655.729999997</v>
      </c>
    </row>
    <row r="65" spans="1:84" x14ac:dyDescent="0.25">
      <c r="A65" s="31" t="s">
        <v>265</v>
      </c>
      <c r="B65" s="16"/>
      <c r="C65" s="273">
        <v>616.11999999999989</v>
      </c>
      <c r="D65" s="273">
        <v>0</v>
      </c>
      <c r="E65" s="273">
        <v>1040.21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360.82</v>
      </c>
      <c r="P65" s="331">
        <v>616.11999999999989</v>
      </c>
      <c r="Q65" s="331">
        <v>0</v>
      </c>
      <c r="R65" s="331">
        <v>-49.12</v>
      </c>
      <c r="S65" s="280">
        <v>0</v>
      </c>
      <c r="T65" s="280">
        <v>0</v>
      </c>
      <c r="U65" s="333">
        <v>0</v>
      </c>
      <c r="V65" s="331">
        <v>0</v>
      </c>
      <c r="W65" s="331">
        <v>0</v>
      </c>
      <c r="X65" s="331">
        <v>0</v>
      </c>
      <c r="Y65" s="331">
        <v>616.11999999999989</v>
      </c>
      <c r="Z65" s="331">
        <v>0</v>
      </c>
      <c r="AA65" s="331">
        <v>0</v>
      </c>
      <c r="AB65" s="281">
        <v>0</v>
      </c>
      <c r="AC65" s="331">
        <v>0</v>
      </c>
      <c r="AD65" s="331">
        <v>0</v>
      </c>
      <c r="AE65" s="331">
        <v>0</v>
      </c>
      <c r="AF65" s="331">
        <v>0</v>
      </c>
      <c r="AG65" s="331">
        <v>233.59</v>
      </c>
      <c r="AH65" s="331">
        <v>0</v>
      </c>
      <c r="AI65" s="331">
        <v>0</v>
      </c>
      <c r="AJ65" s="331">
        <v>0</v>
      </c>
      <c r="AK65" s="331">
        <v>0</v>
      </c>
      <c r="AL65" s="331">
        <v>0</v>
      </c>
      <c r="AM65" s="331">
        <v>0</v>
      </c>
      <c r="AN65" s="331">
        <v>0</v>
      </c>
      <c r="AO65" s="331">
        <v>0</v>
      </c>
      <c r="AP65" s="331">
        <v>82106.31</v>
      </c>
      <c r="AQ65" s="331">
        <v>0</v>
      </c>
      <c r="AR65" s="331">
        <v>0</v>
      </c>
      <c r="AS65" s="331">
        <v>0</v>
      </c>
      <c r="AT65" s="331">
        <v>0</v>
      </c>
      <c r="AU65" s="331">
        <v>0</v>
      </c>
      <c r="AV65" s="280">
        <v>0</v>
      </c>
      <c r="AW65" s="280">
        <v>0</v>
      </c>
      <c r="AX65" s="280">
        <v>0</v>
      </c>
      <c r="AY65" s="331">
        <v>0</v>
      </c>
      <c r="AZ65" s="331">
        <v>0</v>
      </c>
      <c r="BA65" s="280">
        <v>0</v>
      </c>
      <c r="BB65" s="280">
        <v>0</v>
      </c>
      <c r="BC65" s="280">
        <v>0</v>
      </c>
      <c r="BD65" s="280">
        <v>2474.33</v>
      </c>
      <c r="BE65" s="331">
        <v>761265.10999999987</v>
      </c>
      <c r="BF65" s="280">
        <v>211115.88999999998</v>
      </c>
      <c r="BG65" s="280">
        <v>0</v>
      </c>
      <c r="BH65" s="280">
        <v>245412.47000000003</v>
      </c>
      <c r="BI65" s="280">
        <v>0</v>
      </c>
      <c r="BJ65" s="280">
        <v>360.31000000000006</v>
      </c>
      <c r="BK65" s="280">
        <v>359.81</v>
      </c>
      <c r="BL65" s="280">
        <v>0</v>
      </c>
      <c r="BM65" s="280">
        <v>0</v>
      </c>
      <c r="BN65" s="280">
        <v>786.03</v>
      </c>
      <c r="BO65" s="280">
        <v>1050.93</v>
      </c>
      <c r="BP65" s="280">
        <v>0</v>
      </c>
      <c r="BQ65" s="280">
        <v>0</v>
      </c>
      <c r="BR65" s="280">
        <v>1215.1899999999998</v>
      </c>
      <c r="BS65" s="280">
        <v>0</v>
      </c>
      <c r="BT65" s="280">
        <v>0</v>
      </c>
      <c r="BU65" s="280">
        <v>0</v>
      </c>
      <c r="BV65" s="280">
        <v>511.14</v>
      </c>
      <c r="BW65" s="280">
        <v>0</v>
      </c>
      <c r="BX65" s="280">
        <v>0</v>
      </c>
      <c r="BY65" s="280">
        <v>291.84000000000009</v>
      </c>
      <c r="BZ65" s="280">
        <v>0</v>
      </c>
      <c r="CA65" s="280">
        <v>0</v>
      </c>
      <c r="CB65" s="280">
        <v>0</v>
      </c>
      <c r="CC65" s="280">
        <v>4429.4799999999996</v>
      </c>
      <c r="CD65" s="24" t="s">
        <v>247</v>
      </c>
      <c r="CE65" s="25">
        <v>1314812.6999999997</v>
      </c>
    </row>
    <row r="66" spans="1:84" x14ac:dyDescent="0.25">
      <c r="A66" s="31" t="s">
        <v>266</v>
      </c>
      <c r="B66" s="16"/>
      <c r="C66" s="273">
        <v>15724.69</v>
      </c>
      <c r="D66" s="273">
        <v>0</v>
      </c>
      <c r="E66" s="273">
        <v>59728.22</v>
      </c>
      <c r="F66" s="273">
        <v>0</v>
      </c>
      <c r="G66" s="273">
        <v>0</v>
      </c>
      <c r="H66" s="273">
        <v>0</v>
      </c>
      <c r="I66" s="273">
        <v>0</v>
      </c>
      <c r="J66" s="273">
        <v>2547.14</v>
      </c>
      <c r="K66" s="273">
        <v>0</v>
      </c>
      <c r="L66" s="273">
        <v>0</v>
      </c>
      <c r="M66" s="273">
        <v>0</v>
      </c>
      <c r="N66" s="273">
        <v>0</v>
      </c>
      <c r="O66" s="273">
        <v>7024.7</v>
      </c>
      <c r="P66" s="331">
        <v>370880.14</v>
      </c>
      <c r="Q66" s="331">
        <v>2892.45</v>
      </c>
      <c r="R66" s="331">
        <v>63623.359999999993</v>
      </c>
      <c r="S66" s="280">
        <v>74723.27</v>
      </c>
      <c r="T66" s="280">
        <v>0</v>
      </c>
      <c r="U66" s="333">
        <v>1492886.44</v>
      </c>
      <c r="V66" s="331">
        <v>0</v>
      </c>
      <c r="W66" s="331">
        <v>2507.85</v>
      </c>
      <c r="X66" s="331">
        <v>132149.49999999997</v>
      </c>
      <c r="Y66" s="331">
        <v>661757.93999999994</v>
      </c>
      <c r="Z66" s="331">
        <v>0</v>
      </c>
      <c r="AA66" s="331">
        <v>3804</v>
      </c>
      <c r="AB66" s="281">
        <v>436476.4</v>
      </c>
      <c r="AC66" s="331">
        <v>89900.780000000013</v>
      </c>
      <c r="AD66" s="331">
        <v>0</v>
      </c>
      <c r="AE66" s="331">
        <v>10493.6</v>
      </c>
      <c r="AF66" s="331">
        <v>0</v>
      </c>
      <c r="AG66" s="331">
        <v>398731.57</v>
      </c>
      <c r="AH66" s="331">
        <v>0</v>
      </c>
      <c r="AI66" s="331">
        <v>0</v>
      </c>
      <c r="AJ66" s="331">
        <v>0</v>
      </c>
      <c r="AK66" s="331">
        <v>0</v>
      </c>
      <c r="AL66" s="331">
        <v>0</v>
      </c>
      <c r="AM66" s="331">
        <v>0</v>
      </c>
      <c r="AN66" s="331">
        <v>0</v>
      </c>
      <c r="AO66" s="331">
        <v>0</v>
      </c>
      <c r="AP66" s="331">
        <v>334034.33</v>
      </c>
      <c r="AQ66" s="331">
        <v>0</v>
      </c>
      <c r="AR66" s="331">
        <v>0</v>
      </c>
      <c r="AS66" s="331">
        <v>0</v>
      </c>
      <c r="AT66" s="331">
        <v>0</v>
      </c>
      <c r="AU66" s="331">
        <v>0</v>
      </c>
      <c r="AV66" s="280">
        <v>3894.63</v>
      </c>
      <c r="AW66" s="280">
        <v>0</v>
      </c>
      <c r="AX66" s="280">
        <v>0</v>
      </c>
      <c r="AY66" s="331">
        <v>21793.66</v>
      </c>
      <c r="AZ66" s="331">
        <v>0</v>
      </c>
      <c r="BA66" s="280">
        <v>187510.09999999998</v>
      </c>
      <c r="BB66" s="280">
        <v>0</v>
      </c>
      <c r="BC66" s="280">
        <v>0</v>
      </c>
      <c r="BD66" s="280">
        <v>80210.16</v>
      </c>
      <c r="BE66" s="331">
        <v>704363.37</v>
      </c>
      <c r="BF66" s="280">
        <v>93325.16</v>
      </c>
      <c r="BG66" s="280">
        <v>0</v>
      </c>
      <c r="BH66" s="280">
        <v>5112416.3599999994</v>
      </c>
      <c r="BI66" s="280">
        <v>0</v>
      </c>
      <c r="BJ66" s="280">
        <v>4192.5600000000004</v>
      </c>
      <c r="BK66" s="280">
        <v>305583.56000000006</v>
      </c>
      <c r="BL66" s="280">
        <v>16332.34</v>
      </c>
      <c r="BM66" s="280">
        <v>0</v>
      </c>
      <c r="BN66" s="280">
        <v>437556.82000000007</v>
      </c>
      <c r="BO66" s="280">
        <v>22389.64</v>
      </c>
      <c r="BP66" s="280">
        <v>278768.57</v>
      </c>
      <c r="BQ66" s="280">
        <v>0</v>
      </c>
      <c r="BR66" s="280">
        <v>239164.84000000003</v>
      </c>
      <c r="BS66" s="280">
        <v>0</v>
      </c>
      <c r="BT66" s="280">
        <v>0</v>
      </c>
      <c r="BU66" s="280">
        <v>0</v>
      </c>
      <c r="BV66" s="280">
        <v>8769.7299999999977</v>
      </c>
      <c r="BW66" s="280">
        <v>45601.290000000008</v>
      </c>
      <c r="BX66" s="280">
        <v>0</v>
      </c>
      <c r="BY66" s="280">
        <v>286891.86</v>
      </c>
      <c r="BZ66" s="280">
        <v>0</v>
      </c>
      <c r="CA66" s="280">
        <v>50925.02</v>
      </c>
      <c r="CB66" s="280">
        <v>0</v>
      </c>
      <c r="CC66" s="280">
        <v>989443.92</v>
      </c>
      <c r="CD66" s="24" t="s">
        <v>247</v>
      </c>
      <c r="CE66" s="25">
        <v>13049019.970000001</v>
      </c>
    </row>
    <row r="67" spans="1:84" x14ac:dyDescent="0.25">
      <c r="A67" s="31" t="s">
        <v>15</v>
      </c>
      <c r="B67" s="16"/>
      <c r="C67" s="25">
        <v>204620</v>
      </c>
      <c r="D67" s="25">
        <v>0</v>
      </c>
      <c r="E67" s="25">
        <v>604422</v>
      </c>
      <c r="F67" s="25">
        <v>0</v>
      </c>
      <c r="G67" s="25">
        <v>0</v>
      </c>
      <c r="H67" s="25">
        <v>0</v>
      </c>
      <c r="I67" s="25">
        <v>0</v>
      </c>
      <c r="J67" s="25">
        <v>15132</v>
      </c>
      <c r="K67" s="25">
        <v>0</v>
      </c>
      <c r="L67" s="25">
        <v>0</v>
      </c>
      <c r="M67" s="25">
        <v>0</v>
      </c>
      <c r="N67" s="25">
        <v>0</v>
      </c>
      <c r="O67" s="25">
        <v>30604</v>
      </c>
      <c r="P67" s="25">
        <v>206107</v>
      </c>
      <c r="Q67" s="25">
        <v>227509</v>
      </c>
      <c r="R67" s="25">
        <v>9782</v>
      </c>
      <c r="S67" s="25">
        <v>93248</v>
      </c>
      <c r="T67" s="25">
        <v>0</v>
      </c>
      <c r="U67" s="25">
        <v>137905</v>
      </c>
      <c r="V67" s="25">
        <v>0</v>
      </c>
      <c r="W67" s="25">
        <v>67100</v>
      </c>
      <c r="X67" s="25">
        <v>24852</v>
      </c>
      <c r="Y67" s="25">
        <v>219501</v>
      </c>
      <c r="Z67" s="25">
        <v>0</v>
      </c>
      <c r="AA67" s="25">
        <v>21666</v>
      </c>
      <c r="AB67" s="25">
        <v>60348</v>
      </c>
      <c r="AC67" s="25">
        <v>25287</v>
      </c>
      <c r="AD67" s="25">
        <v>0</v>
      </c>
      <c r="AE67" s="25">
        <v>249915</v>
      </c>
      <c r="AF67" s="25">
        <v>0</v>
      </c>
      <c r="AG67" s="25">
        <v>299579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2824964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8411</v>
      </c>
      <c r="AW67" s="25">
        <v>0</v>
      </c>
      <c r="AX67" s="25">
        <v>0</v>
      </c>
      <c r="AY67" s="25">
        <v>158215</v>
      </c>
      <c r="AZ67" s="25">
        <v>0</v>
      </c>
      <c r="BA67" s="25">
        <v>45858</v>
      </c>
      <c r="BB67" s="25">
        <v>0</v>
      </c>
      <c r="BC67" s="25">
        <v>0</v>
      </c>
      <c r="BD67" s="25">
        <v>106807</v>
      </c>
      <c r="BE67" s="25">
        <v>523778</v>
      </c>
      <c r="BF67" s="25">
        <v>72046</v>
      </c>
      <c r="BG67" s="25">
        <v>0</v>
      </c>
      <c r="BH67" s="25">
        <v>4933363</v>
      </c>
      <c r="BI67" s="25">
        <v>0</v>
      </c>
      <c r="BJ67" s="25">
        <v>84316</v>
      </c>
      <c r="BK67" s="25">
        <v>119005</v>
      </c>
      <c r="BL67" s="25">
        <v>60335</v>
      </c>
      <c r="BM67" s="25">
        <v>0</v>
      </c>
      <c r="BN67" s="25">
        <v>168969</v>
      </c>
      <c r="BO67" s="25">
        <v>8767</v>
      </c>
      <c r="BP67" s="25">
        <v>89410</v>
      </c>
      <c r="BQ67" s="25">
        <v>0</v>
      </c>
      <c r="BR67" s="25">
        <v>66837</v>
      </c>
      <c r="BS67" s="25">
        <v>0</v>
      </c>
      <c r="BT67" s="25">
        <v>0</v>
      </c>
      <c r="BU67" s="25">
        <v>0</v>
      </c>
      <c r="BV67" s="25">
        <v>172709</v>
      </c>
      <c r="BW67" s="25">
        <v>32078</v>
      </c>
      <c r="BX67" s="25">
        <v>0</v>
      </c>
      <c r="BY67" s="25">
        <v>54327</v>
      </c>
      <c r="BZ67" s="25">
        <v>0</v>
      </c>
      <c r="CA67" s="25">
        <v>50164</v>
      </c>
      <c r="CB67" s="25">
        <v>0</v>
      </c>
      <c r="CC67" s="25">
        <v>593966</v>
      </c>
      <c r="CD67" s="24" t="s">
        <v>247</v>
      </c>
      <c r="CE67" s="25">
        <v>12671902</v>
      </c>
    </row>
    <row r="68" spans="1:84" x14ac:dyDescent="0.25">
      <c r="A68" s="31" t="s">
        <v>267</v>
      </c>
      <c r="B68" s="25"/>
      <c r="C68" s="273">
        <v>10835.26</v>
      </c>
      <c r="D68" s="273">
        <v>0</v>
      </c>
      <c r="E68" s="273">
        <v>9651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31">
        <v>61061.22</v>
      </c>
      <c r="Q68" s="331">
        <v>0</v>
      </c>
      <c r="R68" s="331">
        <v>2682.58</v>
      </c>
      <c r="S68" s="280">
        <v>0</v>
      </c>
      <c r="T68" s="280">
        <v>0</v>
      </c>
      <c r="U68" s="333">
        <v>0</v>
      </c>
      <c r="V68" s="331">
        <v>0</v>
      </c>
      <c r="W68" s="331">
        <v>0</v>
      </c>
      <c r="X68" s="331">
        <v>0</v>
      </c>
      <c r="Y68" s="331">
        <v>810.4899999999999</v>
      </c>
      <c r="Z68" s="331">
        <v>0</v>
      </c>
      <c r="AA68" s="331">
        <v>0</v>
      </c>
      <c r="AB68" s="281">
        <v>0</v>
      </c>
      <c r="AC68" s="331">
        <v>11013.88</v>
      </c>
      <c r="AD68" s="331">
        <v>0</v>
      </c>
      <c r="AE68" s="331">
        <v>0</v>
      </c>
      <c r="AF68" s="331">
        <v>0</v>
      </c>
      <c r="AG68" s="331">
        <v>181.45999999999998</v>
      </c>
      <c r="AH68" s="331">
        <v>0</v>
      </c>
      <c r="AI68" s="331">
        <v>0</v>
      </c>
      <c r="AJ68" s="331">
        <v>0</v>
      </c>
      <c r="AK68" s="331">
        <v>0</v>
      </c>
      <c r="AL68" s="331">
        <v>0</v>
      </c>
      <c r="AM68" s="331">
        <v>0</v>
      </c>
      <c r="AN68" s="331">
        <v>0</v>
      </c>
      <c r="AO68" s="331">
        <v>0</v>
      </c>
      <c r="AP68" s="331">
        <v>36467.69</v>
      </c>
      <c r="AQ68" s="331">
        <v>0</v>
      </c>
      <c r="AR68" s="331">
        <v>0</v>
      </c>
      <c r="AS68" s="331">
        <v>0</v>
      </c>
      <c r="AT68" s="331">
        <v>0</v>
      </c>
      <c r="AU68" s="331">
        <v>0</v>
      </c>
      <c r="AV68" s="280">
        <v>0</v>
      </c>
      <c r="AW68" s="280">
        <v>0</v>
      </c>
      <c r="AX68" s="280">
        <v>0</v>
      </c>
      <c r="AY68" s="331">
        <v>0</v>
      </c>
      <c r="AZ68" s="331">
        <v>0</v>
      </c>
      <c r="BA68" s="280">
        <v>0</v>
      </c>
      <c r="BB68" s="280">
        <v>0</v>
      </c>
      <c r="BC68" s="280">
        <v>0</v>
      </c>
      <c r="BD68" s="280">
        <v>-10983.09</v>
      </c>
      <c r="BE68" s="331">
        <v>2651</v>
      </c>
      <c r="BF68" s="280">
        <v>0</v>
      </c>
      <c r="BG68" s="280">
        <v>0</v>
      </c>
      <c r="BH68" s="280">
        <v>177076.07</v>
      </c>
      <c r="BI68" s="280">
        <v>0</v>
      </c>
      <c r="BJ68" s="280">
        <v>54.359999999999992</v>
      </c>
      <c r="BK68" s="280">
        <v>4350.1600000000008</v>
      </c>
      <c r="BL68" s="280">
        <v>0</v>
      </c>
      <c r="BM68" s="280">
        <v>0</v>
      </c>
      <c r="BN68" s="280">
        <v>0</v>
      </c>
      <c r="BO68" s="280">
        <v>0</v>
      </c>
      <c r="BP68" s="280">
        <v>0</v>
      </c>
      <c r="BQ68" s="280">
        <v>0</v>
      </c>
      <c r="BR68" s="280">
        <v>21305.1</v>
      </c>
      <c r="BS68" s="280">
        <v>0</v>
      </c>
      <c r="BT68" s="280">
        <v>0</v>
      </c>
      <c r="BU68" s="280">
        <v>0</v>
      </c>
      <c r="BV68" s="280">
        <v>81.449999999999974</v>
      </c>
      <c r="BW68" s="280">
        <v>1264.95</v>
      </c>
      <c r="BX68" s="280">
        <v>0</v>
      </c>
      <c r="BY68" s="280">
        <v>0</v>
      </c>
      <c r="BZ68" s="280">
        <v>0</v>
      </c>
      <c r="CA68" s="280">
        <v>-4195.2400000000007</v>
      </c>
      <c r="CB68" s="280">
        <v>0</v>
      </c>
      <c r="CC68" s="280">
        <v>61</v>
      </c>
      <c r="CD68" s="24" t="s">
        <v>247</v>
      </c>
      <c r="CE68" s="25">
        <v>324369.34000000003</v>
      </c>
    </row>
    <row r="69" spans="1:84" x14ac:dyDescent="0.25">
      <c r="A69" s="31" t="s">
        <v>268</v>
      </c>
      <c r="B69" s="16"/>
      <c r="C69" s="25">
        <v>648</v>
      </c>
      <c r="D69" s="25">
        <v>0</v>
      </c>
      <c r="E69" s="25">
        <v>4867</v>
      </c>
      <c r="F69" s="25">
        <v>0</v>
      </c>
      <c r="G69" s="25">
        <v>0</v>
      </c>
      <c r="H69" s="25">
        <v>0</v>
      </c>
      <c r="I69" s="25">
        <v>0</v>
      </c>
      <c r="J69" s="25">
        <v>727</v>
      </c>
      <c r="K69" s="25">
        <v>0</v>
      </c>
      <c r="L69" s="25">
        <v>0</v>
      </c>
      <c r="M69" s="25">
        <v>0</v>
      </c>
      <c r="N69" s="25">
        <v>0</v>
      </c>
      <c r="O69" s="25">
        <v>6870.7600000000011</v>
      </c>
      <c r="P69" s="25">
        <v>6008.43</v>
      </c>
      <c r="Q69" s="25">
        <v>3091.1</v>
      </c>
      <c r="R69" s="25">
        <v>14705.819999999998</v>
      </c>
      <c r="S69" s="25">
        <v>66.08</v>
      </c>
      <c r="T69" s="25">
        <v>0</v>
      </c>
      <c r="U69" s="25">
        <v>7052.38</v>
      </c>
      <c r="V69" s="25">
        <v>0</v>
      </c>
      <c r="W69" s="25">
        <v>3430.99</v>
      </c>
      <c r="X69" s="25">
        <v>0</v>
      </c>
      <c r="Y69" s="25">
        <v>2305</v>
      </c>
      <c r="Z69" s="25">
        <v>0</v>
      </c>
      <c r="AA69" s="25">
        <v>6608</v>
      </c>
      <c r="AB69" s="25">
        <v>29071.09</v>
      </c>
      <c r="AC69" s="25">
        <v>1995</v>
      </c>
      <c r="AD69" s="25">
        <v>0</v>
      </c>
      <c r="AE69" s="25">
        <v>15046.15</v>
      </c>
      <c r="AF69" s="25">
        <v>0</v>
      </c>
      <c r="AG69" s="25">
        <v>52675.34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474738.35000000003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6660.8</v>
      </c>
      <c r="AW69" s="25">
        <v>0</v>
      </c>
      <c r="AX69" s="25">
        <v>0</v>
      </c>
      <c r="AY69" s="25">
        <v>18243.140000000003</v>
      </c>
      <c r="AZ69" s="25">
        <v>0</v>
      </c>
      <c r="BA69" s="25">
        <v>0</v>
      </c>
      <c r="BB69" s="25">
        <v>0</v>
      </c>
      <c r="BC69" s="25">
        <v>0</v>
      </c>
      <c r="BD69" s="25">
        <v>21417.720000000005</v>
      </c>
      <c r="BE69" s="25">
        <v>15059.06</v>
      </c>
      <c r="BF69" s="25">
        <v>7599.04</v>
      </c>
      <c r="BG69" s="25">
        <v>0</v>
      </c>
      <c r="BH69" s="25">
        <v>1137455.0899999999</v>
      </c>
      <c r="BI69" s="25">
        <v>0</v>
      </c>
      <c r="BJ69" s="25">
        <v>172929.77</v>
      </c>
      <c r="BK69" s="25">
        <v>7654.8500000000013</v>
      </c>
      <c r="BL69" s="25">
        <v>2944.97</v>
      </c>
      <c r="BM69" s="25">
        <v>0</v>
      </c>
      <c r="BN69" s="25">
        <v>337540.62</v>
      </c>
      <c r="BO69" s="25">
        <v>914.29</v>
      </c>
      <c r="BP69" s="25">
        <v>80351.56</v>
      </c>
      <c r="BQ69" s="25">
        <v>0</v>
      </c>
      <c r="BR69" s="25">
        <v>353570.59000000008</v>
      </c>
      <c r="BS69" s="25">
        <v>0</v>
      </c>
      <c r="BT69" s="25">
        <v>0</v>
      </c>
      <c r="BU69" s="25">
        <v>0</v>
      </c>
      <c r="BV69" s="25">
        <v>8500.27</v>
      </c>
      <c r="BW69" s="25">
        <v>46976.88</v>
      </c>
      <c r="BX69" s="25">
        <v>0</v>
      </c>
      <c r="BY69" s="25">
        <v>20254.939999999999</v>
      </c>
      <c r="BZ69" s="25">
        <v>0</v>
      </c>
      <c r="CA69" s="25">
        <v>25598.62</v>
      </c>
      <c r="CB69" s="25">
        <v>0</v>
      </c>
      <c r="CC69" s="25">
        <v>41506.83</v>
      </c>
      <c r="CD69" s="25">
        <v>3824158.15</v>
      </c>
      <c r="CE69" s="25">
        <v>6759243.6799999997</v>
      </c>
      <c r="CF69" s="336"/>
    </row>
    <row r="70" spans="1:84" x14ac:dyDescent="0.25">
      <c r="A70" s="26" t="s">
        <v>269</v>
      </c>
      <c r="B70" s="33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</row>
    <row r="71" spans="1:84" x14ac:dyDescent="0.25">
      <c r="A71" s="26" t="s">
        <v>270</v>
      </c>
      <c r="B71" s="337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</row>
    <row r="72" spans="1:84" x14ac:dyDescent="0.25">
      <c r="A72" s="26" t="s">
        <v>271</v>
      </c>
      <c r="B72" s="33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</row>
    <row r="73" spans="1:84" x14ac:dyDescent="0.25">
      <c r="A73" s="26" t="s">
        <v>272</v>
      </c>
      <c r="B73" s="33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0</v>
      </c>
    </row>
    <row r="74" spans="1:84" x14ac:dyDescent="0.25">
      <c r="A74" s="26" t="s">
        <v>273</v>
      </c>
      <c r="B74" s="33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4" x14ac:dyDescent="0.25">
      <c r="A75" s="26" t="s">
        <v>274</v>
      </c>
      <c r="B75" s="33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</row>
    <row r="76" spans="1:84" x14ac:dyDescent="0.25">
      <c r="A76" s="26" t="s">
        <v>275</v>
      </c>
      <c r="B76" s="338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4" x14ac:dyDescent="0.25">
      <c r="A77" s="26" t="s">
        <v>276</v>
      </c>
      <c r="B77" s="337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0</v>
      </c>
    </row>
    <row r="80" spans="1:84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</row>
    <row r="83" spans="1:84" x14ac:dyDescent="0.25">
      <c r="A83" s="26" t="s">
        <v>282</v>
      </c>
      <c r="B83" s="16"/>
      <c r="C83" s="273">
        <v>648</v>
      </c>
      <c r="D83" s="273">
        <v>0</v>
      </c>
      <c r="E83" s="331">
        <v>4867</v>
      </c>
      <c r="F83" s="331">
        <v>0</v>
      </c>
      <c r="G83" s="273">
        <v>0</v>
      </c>
      <c r="H83" s="273">
        <v>0</v>
      </c>
      <c r="I83" s="331">
        <v>0</v>
      </c>
      <c r="J83" s="331">
        <v>727</v>
      </c>
      <c r="K83" s="331">
        <v>0</v>
      </c>
      <c r="L83" s="331">
        <v>0</v>
      </c>
      <c r="M83" s="273">
        <v>0</v>
      </c>
      <c r="N83" s="273">
        <v>0</v>
      </c>
      <c r="O83" s="273">
        <v>6870.7600000000011</v>
      </c>
      <c r="P83" s="331">
        <v>6008.43</v>
      </c>
      <c r="Q83" s="331">
        <v>3091.1</v>
      </c>
      <c r="R83" s="333">
        <v>14705.819999999998</v>
      </c>
      <c r="S83" s="331">
        <v>66.08</v>
      </c>
      <c r="T83" s="273">
        <v>0</v>
      </c>
      <c r="U83" s="331">
        <v>7052.38</v>
      </c>
      <c r="V83" s="331">
        <v>0</v>
      </c>
      <c r="W83" s="273">
        <v>3430.99</v>
      </c>
      <c r="X83" s="331">
        <v>0</v>
      </c>
      <c r="Y83" s="331">
        <v>2305</v>
      </c>
      <c r="Z83" s="331">
        <v>0</v>
      </c>
      <c r="AA83" s="331">
        <v>6608</v>
      </c>
      <c r="AB83" s="331">
        <v>29071.09</v>
      </c>
      <c r="AC83" s="331">
        <v>1995</v>
      </c>
      <c r="AD83" s="331">
        <v>0</v>
      </c>
      <c r="AE83" s="331">
        <v>15046.15</v>
      </c>
      <c r="AF83" s="331">
        <v>0</v>
      </c>
      <c r="AG83" s="331">
        <v>52675.34</v>
      </c>
      <c r="AH83" s="331">
        <v>0</v>
      </c>
      <c r="AI83" s="331">
        <v>0</v>
      </c>
      <c r="AJ83" s="331">
        <v>0</v>
      </c>
      <c r="AK83" s="331">
        <v>0</v>
      </c>
      <c r="AL83" s="331">
        <v>0</v>
      </c>
      <c r="AM83" s="331">
        <v>0</v>
      </c>
      <c r="AN83" s="331">
        <v>0</v>
      </c>
      <c r="AO83" s="273">
        <v>0</v>
      </c>
      <c r="AP83" s="331">
        <v>474738.35000000003</v>
      </c>
      <c r="AQ83" s="273">
        <v>0</v>
      </c>
      <c r="AR83" s="273">
        <v>0</v>
      </c>
      <c r="AS83" s="273">
        <v>0</v>
      </c>
      <c r="AT83" s="273">
        <v>0</v>
      </c>
      <c r="AU83" s="331">
        <v>0</v>
      </c>
      <c r="AV83" s="331">
        <v>6660.8</v>
      </c>
      <c r="AW83" s="331">
        <v>0</v>
      </c>
      <c r="AX83" s="331">
        <v>0</v>
      </c>
      <c r="AY83" s="331">
        <v>18243.140000000003</v>
      </c>
      <c r="AZ83" s="331">
        <v>0</v>
      </c>
      <c r="BA83" s="331">
        <v>0</v>
      </c>
      <c r="BB83" s="331">
        <v>0</v>
      </c>
      <c r="BC83" s="331">
        <v>0</v>
      </c>
      <c r="BD83" s="331">
        <v>21417.720000000005</v>
      </c>
      <c r="BE83" s="331">
        <v>15059.06</v>
      </c>
      <c r="BF83" s="331">
        <v>7599.04</v>
      </c>
      <c r="BG83" s="331">
        <v>0</v>
      </c>
      <c r="BH83" s="333">
        <v>1137455.0899999999</v>
      </c>
      <c r="BI83" s="331">
        <v>0</v>
      </c>
      <c r="BJ83" s="331">
        <v>172929.77</v>
      </c>
      <c r="BK83" s="331">
        <v>7654.8500000000013</v>
      </c>
      <c r="BL83" s="331">
        <v>2944.97</v>
      </c>
      <c r="BM83" s="331">
        <v>0</v>
      </c>
      <c r="BN83" s="331">
        <v>337540.62</v>
      </c>
      <c r="BO83" s="331">
        <v>914.29</v>
      </c>
      <c r="BP83" s="331">
        <v>80351.56</v>
      </c>
      <c r="BQ83" s="331">
        <v>0</v>
      </c>
      <c r="BR83" s="331">
        <v>353570.59000000008</v>
      </c>
      <c r="BS83" s="331">
        <v>0</v>
      </c>
      <c r="BT83" s="331">
        <v>0</v>
      </c>
      <c r="BU83" s="331">
        <v>0</v>
      </c>
      <c r="BV83" s="331">
        <v>8500.27</v>
      </c>
      <c r="BW83" s="331">
        <v>46976.88</v>
      </c>
      <c r="BX83" s="331">
        <v>0</v>
      </c>
      <c r="BY83" s="331">
        <v>20254.939999999999</v>
      </c>
      <c r="BZ83" s="331">
        <v>0</v>
      </c>
      <c r="CA83" s="331">
        <v>25598.62</v>
      </c>
      <c r="CB83" s="331">
        <v>0</v>
      </c>
      <c r="CC83" s="331">
        <v>41506.83</v>
      </c>
      <c r="CD83" s="282">
        <v>3824158.15</v>
      </c>
      <c r="CE83" s="25">
        <v>6759243.6799999997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68.540000000000006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3796984.8599999994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79598.23000000001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529834.6100000001</v>
      </c>
      <c r="AZ84" s="273">
        <v>0</v>
      </c>
      <c r="BA84" s="273">
        <v>0</v>
      </c>
      <c r="BB84" s="273">
        <v>0</v>
      </c>
      <c r="BC84" s="273">
        <v>0</v>
      </c>
      <c r="BD84" s="273">
        <v>2479.11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2127.0500000000002</v>
      </c>
      <c r="BL84" s="273">
        <v>0</v>
      </c>
      <c r="BM84" s="273">
        <v>0</v>
      </c>
      <c r="BN84" s="273">
        <v>41665</v>
      </c>
      <c r="BO84" s="273">
        <v>2500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26289.43</v>
      </c>
      <c r="BW84" s="273">
        <v>3700</v>
      </c>
      <c r="BX84" s="273">
        <v>0</v>
      </c>
      <c r="BY84" s="273">
        <v>90000</v>
      </c>
      <c r="BZ84" s="273">
        <v>0</v>
      </c>
      <c r="CA84" s="273">
        <v>0</v>
      </c>
      <c r="CB84" s="273">
        <v>0</v>
      </c>
      <c r="CC84" s="273">
        <v>0</v>
      </c>
      <c r="CD84" s="282">
        <v>7475919.0999999996</v>
      </c>
      <c r="CE84" s="25">
        <v>12051165.93</v>
      </c>
    </row>
    <row r="85" spans="1:84" x14ac:dyDescent="0.25">
      <c r="A85" s="31" t="s">
        <v>284</v>
      </c>
      <c r="B85" s="25"/>
      <c r="C85" s="25">
        <v>3829377.5799999996</v>
      </c>
      <c r="D85" s="25">
        <v>0</v>
      </c>
      <c r="E85" s="25">
        <v>9126983.6300000008</v>
      </c>
      <c r="F85" s="25">
        <v>0</v>
      </c>
      <c r="G85" s="25">
        <v>0</v>
      </c>
      <c r="H85" s="25">
        <v>0</v>
      </c>
      <c r="I85" s="25">
        <v>0</v>
      </c>
      <c r="J85" s="25">
        <v>46131.409999999996</v>
      </c>
      <c r="K85" s="25">
        <v>0</v>
      </c>
      <c r="L85" s="25">
        <v>0</v>
      </c>
      <c r="M85" s="25">
        <v>0</v>
      </c>
      <c r="N85" s="25">
        <v>0</v>
      </c>
      <c r="O85" s="25">
        <v>194635.97000000003</v>
      </c>
      <c r="P85" s="25">
        <v>4207952.3199999994</v>
      </c>
      <c r="Q85" s="25">
        <v>2407877.38</v>
      </c>
      <c r="R85" s="25">
        <v>1472899.1500000001</v>
      </c>
      <c r="S85" s="25">
        <v>4352740.25</v>
      </c>
      <c r="T85" s="25">
        <v>0</v>
      </c>
      <c r="U85" s="25">
        <v>7437124.129999999</v>
      </c>
      <c r="V85" s="25">
        <v>0</v>
      </c>
      <c r="W85" s="25">
        <v>404984.59</v>
      </c>
      <c r="X85" s="25">
        <v>952443.55</v>
      </c>
      <c r="Y85" s="25">
        <v>4095479.32</v>
      </c>
      <c r="Z85" s="25">
        <v>0</v>
      </c>
      <c r="AA85" s="25">
        <v>245463.35000000003</v>
      </c>
      <c r="AB85" s="25">
        <v>2099588.2600000007</v>
      </c>
      <c r="AC85" s="25">
        <v>1568008.4999999998</v>
      </c>
      <c r="AD85" s="25">
        <v>0</v>
      </c>
      <c r="AE85" s="25">
        <v>3188611.8999999994</v>
      </c>
      <c r="AF85" s="25">
        <v>0</v>
      </c>
      <c r="AG85" s="25">
        <v>10298935.840000004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32355482.57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582896.54000000015</v>
      </c>
      <c r="AW85" s="25">
        <v>0</v>
      </c>
      <c r="AX85" s="25">
        <v>0</v>
      </c>
      <c r="AY85" s="25">
        <v>1873620.7600000005</v>
      </c>
      <c r="AZ85" s="25">
        <v>0</v>
      </c>
      <c r="BA85" s="25">
        <v>402799.11</v>
      </c>
      <c r="BB85" s="25">
        <v>0</v>
      </c>
      <c r="BC85" s="25">
        <v>0</v>
      </c>
      <c r="BD85" s="25">
        <v>971067.47</v>
      </c>
      <c r="BE85" s="25">
        <v>3340048.48</v>
      </c>
      <c r="BF85" s="25">
        <v>2905389.3100000005</v>
      </c>
      <c r="BG85" s="25">
        <v>0</v>
      </c>
      <c r="BH85" s="25">
        <v>12106910.67</v>
      </c>
      <c r="BI85" s="25">
        <v>0</v>
      </c>
      <c r="BJ85" s="25">
        <v>1106043.21</v>
      </c>
      <c r="BK85" s="25">
        <v>2622068.1100000003</v>
      </c>
      <c r="BL85" s="25">
        <v>1966038.59</v>
      </c>
      <c r="BM85" s="25">
        <v>0</v>
      </c>
      <c r="BN85" s="25">
        <v>3826708.41</v>
      </c>
      <c r="BO85" s="25">
        <v>327435.5</v>
      </c>
      <c r="BP85" s="25">
        <v>457557.25</v>
      </c>
      <c r="BQ85" s="25">
        <v>0</v>
      </c>
      <c r="BR85" s="25">
        <v>1607561.71</v>
      </c>
      <c r="BS85" s="25">
        <v>0</v>
      </c>
      <c r="BT85" s="25">
        <v>0</v>
      </c>
      <c r="BU85" s="25">
        <v>0</v>
      </c>
      <c r="BV85" s="25">
        <v>2345189.02</v>
      </c>
      <c r="BW85" s="25">
        <v>358521.39</v>
      </c>
      <c r="BX85" s="25">
        <v>0</v>
      </c>
      <c r="BY85" s="25">
        <v>2552279.1599999997</v>
      </c>
      <c r="BZ85" s="25">
        <v>0</v>
      </c>
      <c r="CA85" s="25">
        <v>239963.35</v>
      </c>
      <c r="CB85" s="25">
        <v>0</v>
      </c>
      <c r="CC85" s="25">
        <v>4029342.73</v>
      </c>
      <c r="CD85" s="25">
        <v>-3651760.9499999997</v>
      </c>
      <c r="CE85" s="25">
        <v>128254399.51999998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9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2444828</v>
      </c>
    </row>
    <row r="87" spans="1:84" x14ac:dyDescent="0.25">
      <c r="A87" s="21" t="s">
        <v>286</v>
      </c>
      <c r="B87" s="16"/>
      <c r="C87" s="273">
        <v>11249462.200000001</v>
      </c>
      <c r="D87" s="273">
        <v>0</v>
      </c>
      <c r="E87" s="273">
        <v>23379608.43</v>
      </c>
      <c r="F87" s="273">
        <v>0</v>
      </c>
      <c r="G87" s="273">
        <v>0</v>
      </c>
      <c r="H87" s="273">
        <v>0</v>
      </c>
      <c r="I87" s="273">
        <v>0</v>
      </c>
      <c r="J87" s="273">
        <v>1405796.38</v>
      </c>
      <c r="K87" s="273">
        <v>0</v>
      </c>
      <c r="L87" s="273">
        <v>0</v>
      </c>
      <c r="M87" s="273">
        <v>0</v>
      </c>
      <c r="N87" s="273">
        <v>0</v>
      </c>
      <c r="O87" s="273">
        <v>1152730.6500000001</v>
      </c>
      <c r="P87" s="273">
        <v>4082685.1</v>
      </c>
      <c r="Q87" s="273">
        <v>811380.1</v>
      </c>
      <c r="R87" s="273">
        <v>509993.8</v>
      </c>
      <c r="S87" s="273">
        <v>1819019.4</v>
      </c>
      <c r="T87" s="273">
        <v>0</v>
      </c>
      <c r="U87" s="273">
        <v>5207524.45</v>
      </c>
      <c r="V87" s="273">
        <v>0</v>
      </c>
      <c r="W87" s="273">
        <v>493117.53</v>
      </c>
      <c r="X87" s="273">
        <v>1756884.54</v>
      </c>
      <c r="Y87" s="273">
        <v>1631906.82</v>
      </c>
      <c r="Z87" s="273">
        <v>0</v>
      </c>
      <c r="AA87" s="273">
        <v>55405.4</v>
      </c>
      <c r="AB87" s="273">
        <v>4033529.8000000003</v>
      </c>
      <c r="AC87" s="273">
        <v>5007520.2300000004</v>
      </c>
      <c r="AD87" s="273">
        <v>0</v>
      </c>
      <c r="AE87" s="273">
        <v>627379.19999999995</v>
      </c>
      <c r="AF87" s="273">
        <v>0</v>
      </c>
      <c r="AG87" s="273">
        <v>2916095.65</v>
      </c>
      <c r="AH87" s="273">
        <v>0</v>
      </c>
      <c r="AI87" s="273">
        <v>0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2946611.9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69086651.579999998</v>
      </c>
    </row>
    <row r="88" spans="1:84" x14ac:dyDescent="0.25">
      <c r="A88" s="21" t="s">
        <v>287</v>
      </c>
      <c r="B88" s="16"/>
      <c r="C88" s="273">
        <v>2444017.4</v>
      </c>
      <c r="D88" s="273">
        <v>0</v>
      </c>
      <c r="E88" s="273">
        <v>11680232.899999999</v>
      </c>
      <c r="F88" s="273">
        <v>0</v>
      </c>
      <c r="G88" s="273">
        <v>0</v>
      </c>
      <c r="H88" s="273">
        <v>0</v>
      </c>
      <c r="I88" s="273">
        <v>0</v>
      </c>
      <c r="J88" s="273">
        <v>103277</v>
      </c>
      <c r="K88" s="273">
        <v>0</v>
      </c>
      <c r="L88" s="273">
        <v>0</v>
      </c>
      <c r="M88" s="273">
        <v>0</v>
      </c>
      <c r="N88" s="273">
        <v>0</v>
      </c>
      <c r="O88" s="273">
        <v>344733.3</v>
      </c>
      <c r="P88" s="273">
        <v>18929573.779999997</v>
      </c>
      <c r="Q88" s="273">
        <v>8072912.1200000001</v>
      </c>
      <c r="R88" s="273">
        <v>4861506.32</v>
      </c>
      <c r="S88" s="273">
        <v>7454907.6200000001</v>
      </c>
      <c r="T88" s="273">
        <v>0</v>
      </c>
      <c r="U88" s="273">
        <v>35650354.219999999</v>
      </c>
      <c r="V88" s="273">
        <v>0</v>
      </c>
      <c r="W88" s="273">
        <v>8506181.5</v>
      </c>
      <c r="X88" s="273">
        <v>29466897.330000002</v>
      </c>
      <c r="Y88" s="273">
        <v>23518899</v>
      </c>
      <c r="Z88" s="273">
        <v>0</v>
      </c>
      <c r="AA88" s="273">
        <v>304136.19999999995</v>
      </c>
      <c r="AB88" s="273">
        <v>8943322.5599999987</v>
      </c>
      <c r="AC88" s="273">
        <v>4439397.8999999994</v>
      </c>
      <c r="AD88" s="273">
        <v>0</v>
      </c>
      <c r="AE88" s="273">
        <v>8229203.3000000007</v>
      </c>
      <c r="AF88" s="273">
        <v>0</v>
      </c>
      <c r="AG88" s="273">
        <v>54995511.979999997</v>
      </c>
      <c r="AH88" s="273">
        <v>0</v>
      </c>
      <c r="AI88" s="273">
        <v>0</v>
      </c>
      <c r="AJ88" s="273">
        <v>0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38354574.119999997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433598.7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266733237.25</v>
      </c>
    </row>
    <row r="89" spans="1:84" x14ac:dyDescent="0.25">
      <c r="A89" s="21" t="s">
        <v>288</v>
      </c>
      <c r="B89" s="16"/>
      <c r="C89" s="25">
        <v>13693479.600000001</v>
      </c>
      <c r="D89" s="25">
        <v>0</v>
      </c>
      <c r="E89" s="25">
        <v>35059841.329999998</v>
      </c>
      <c r="F89" s="25">
        <v>0</v>
      </c>
      <c r="G89" s="25">
        <v>0</v>
      </c>
      <c r="H89" s="25">
        <v>0</v>
      </c>
      <c r="I89" s="25">
        <v>0</v>
      </c>
      <c r="J89" s="25">
        <v>1509073.38</v>
      </c>
      <c r="K89" s="25">
        <v>0</v>
      </c>
      <c r="L89" s="25">
        <v>0</v>
      </c>
      <c r="M89" s="25">
        <v>0</v>
      </c>
      <c r="N89" s="25">
        <v>0</v>
      </c>
      <c r="O89" s="25">
        <v>1497463.9500000002</v>
      </c>
      <c r="P89" s="25">
        <v>23012258.879999999</v>
      </c>
      <c r="Q89" s="25">
        <v>8884292.2200000007</v>
      </c>
      <c r="R89" s="25">
        <v>5371500.1200000001</v>
      </c>
      <c r="S89" s="25">
        <v>9273927.0199999996</v>
      </c>
      <c r="T89" s="25">
        <v>0</v>
      </c>
      <c r="U89" s="25">
        <v>40857878.670000002</v>
      </c>
      <c r="V89" s="25">
        <v>0</v>
      </c>
      <c r="W89" s="25">
        <v>8999299.0299999993</v>
      </c>
      <c r="X89" s="25">
        <v>31223781.870000001</v>
      </c>
      <c r="Y89" s="25">
        <v>25150805.82</v>
      </c>
      <c r="Z89" s="25">
        <v>0</v>
      </c>
      <c r="AA89" s="25">
        <v>359541.6</v>
      </c>
      <c r="AB89" s="25">
        <v>12976852.359999999</v>
      </c>
      <c r="AC89" s="25">
        <v>9446918.129999999</v>
      </c>
      <c r="AD89" s="25">
        <v>0</v>
      </c>
      <c r="AE89" s="25">
        <v>8856582.5</v>
      </c>
      <c r="AF89" s="25">
        <v>0</v>
      </c>
      <c r="AG89" s="25">
        <v>57911607.629999995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41301186.019999996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433598.7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335819888.82999998</v>
      </c>
    </row>
    <row r="90" spans="1:84" x14ac:dyDescent="0.25">
      <c r="A90" s="21" t="s">
        <v>289</v>
      </c>
      <c r="B90" s="25"/>
      <c r="C90" s="273">
        <v>6518</v>
      </c>
      <c r="D90" s="273">
        <v>0</v>
      </c>
      <c r="E90" s="273">
        <v>19104</v>
      </c>
      <c r="F90" s="273">
        <v>0</v>
      </c>
      <c r="G90" s="273">
        <v>0</v>
      </c>
      <c r="H90" s="273">
        <v>0</v>
      </c>
      <c r="I90" s="273">
        <v>0</v>
      </c>
      <c r="J90" s="273">
        <v>482</v>
      </c>
      <c r="K90" s="273">
        <v>0</v>
      </c>
      <c r="L90" s="273">
        <v>0</v>
      </c>
      <c r="M90" s="273">
        <v>0</v>
      </c>
      <c r="N90" s="273">
        <v>0</v>
      </c>
      <c r="O90" s="273">
        <v>975</v>
      </c>
      <c r="P90" s="273">
        <v>6566</v>
      </c>
      <c r="Q90" s="273">
        <v>7147</v>
      </c>
      <c r="R90" s="273">
        <v>312</v>
      </c>
      <c r="S90" s="273">
        <v>2970</v>
      </c>
      <c r="T90" s="273">
        <v>0</v>
      </c>
      <c r="U90" s="273">
        <v>4393</v>
      </c>
      <c r="V90" s="273">
        <v>0</v>
      </c>
      <c r="W90" s="273">
        <v>2137</v>
      </c>
      <c r="X90" s="273">
        <v>792</v>
      </c>
      <c r="Y90" s="273">
        <v>7380</v>
      </c>
      <c r="Z90" s="273">
        <v>0</v>
      </c>
      <c r="AA90" s="273">
        <v>690</v>
      </c>
      <c r="AB90" s="273">
        <v>3833</v>
      </c>
      <c r="AC90" s="273">
        <v>806</v>
      </c>
      <c r="AD90" s="273">
        <v>0</v>
      </c>
      <c r="AE90" s="273">
        <v>8054</v>
      </c>
      <c r="AF90" s="273">
        <v>0</v>
      </c>
      <c r="AG90" s="273">
        <v>9543</v>
      </c>
      <c r="AH90" s="273">
        <v>0</v>
      </c>
      <c r="AI90" s="273">
        <v>0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63978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268</v>
      </c>
      <c r="AW90" s="273">
        <v>0</v>
      </c>
      <c r="AX90" s="273">
        <v>0</v>
      </c>
      <c r="AY90" s="273">
        <v>5040</v>
      </c>
      <c r="AZ90" s="273">
        <v>0</v>
      </c>
      <c r="BA90" s="273">
        <v>1461</v>
      </c>
      <c r="BB90" s="273">
        <v>0</v>
      </c>
      <c r="BC90" s="273">
        <v>0</v>
      </c>
      <c r="BD90" s="273">
        <v>3402</v>
      </c>
      <c r="BE90" s="273">
        <v>29694</v>
      </c>
      <c r="BF90" s="273">
        <v>2016</v>
      </c>
      <c r="BG90" s="273">
        <v>0</v>
      </c>
      <c r="BH90" s="273">
        <v>8501</v>
      </c>
      <c r="BI90" s="273">
        <v>0</v>
      </c>
      <c r="BJ90" s="273">
        <v>0</v>
      </c>
      <c r="BK90" s="273">
        <v>2927</v>
      </c>
      <c r="BL90" s="273">
        <v>3694</v>
      </c>
      <c r="BM90" s="273">
        <v>0</v>
      </c>
      <c r="BN90" s="273">
        <v>9757</v>
      </c>
      <c r="BO90" s="273">
        <v>137</v>
      </c>
      <c r="BP90" s="273">
        <v>2848</v>
      </c>
      <c r="BQ90" s="273">
        <v>0</v>
      </c>
      <c r="BR90" s="273">
        <v>2129</v>
      </c>
      <c r="BS90" s="273">
        <v>0</v>
      </c>
      <c r="BT90" s="273">
        <v>0</v>
      </c>
      <c r="BU90" s="273">
        <v>0</v>
      </c>
      <c r="BV90" s="273">
        <v>4546</v>
      </c>
      <c r="BW90" s="273">
        <v>1022</v>
      </c>
      <c r="BX90" s="273">
        <v>0</v>
      </c>
      <c r="BY90" s="273">
        <v>920</v>
      </c>
      <c r="BZ90" s="273">
        <v>0</v>
      </c>
      <c r="CA90" s="273">
        <v>1046</v>
      </c>
      <c r="CB90" s="273">
        <v>0</v>
      </c>
      <c r="CC90" s="273">
        <v>2881</v>
      </c>
      <c r="CD90" s="224" t="s">
        <v>247</v>
      </c>
      <c r="CE90" s="25">
        <v>227969</v>
      </c>
      <c r="CF90" s="11">
        <v>0</v>
      </c>
    </row>
    <row r="91" spans="1:84" x14ac:dyDescent="0.25">
      <c r="A91" s="21" t="s">
        <v>290</v>
      </c>
      <c r="B91" s="16"/>
      <c r="C91" s="273">
        <v>5444.763328209513</v>
      </c>
      <c r="D91" s="273">
        <v>0</v>
      </c>
      <c r="E91" s="273">
        <v>26616.799107835017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326.08379883318639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1043.4681562661965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/>
      <c r="AY91" s="264"/>
      <c r="AZ91" s="273">
        <v>0</v>
      </c>
      <c r="BA91" s="273">
        <v>0</v>
      </c>
      <c r="BB91" s="273">
        <v>0</v>
      </c>
      <c r="BC91" s="273">
        <v>0</v>
      </c>
      <c r="BD91" s="24"/>
      <c r="BE91" s="24"/>
      <c r="BF91" s="273">
        <v>0</v>
      </c>
      <c r="BG91" s="24"/>
      <c r="BH91" s="273">
        <v>0</v>
      </c>
      <c r="BI91" s="273">
        <v>0</v>
      </c>
      <c r="BJ91" s="24"/>
      <c r="BK91" s="273">
        <v>0</v>
      </c>
      <c r="BL91" s="273">
        <v>0</v>
      </c>
      <c r="BM91" s="273">
        <v>0</v>
      </c>
      <c r="BN91" s="24"/>
      <c r="BO91" s="24"/>
      <c r="BP91" s="24"/>
      <c r="BQ91" s="24"/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33431.114391143914</v>
      </c>
      <c r="CF91" s="25">
        <v>0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0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0</v>
      </c>
      <c r="Q92" s="273">
        <v>0</v>
      </c>
      <c r="R92" s="273">
        <v>0</v>
      </c>
      <c r="S92" s="273">
        <v>0</v>
      </c>
      <c r="T92" s="273">
        <v>0</v>
      </c>
      <c r="U92" s="273">
        <v>0</v>
      </c>
      <c r="V92" s="273">
        <v>0</v>
      </c>
      <c r="W92" s="273">
        <v>0</v>
      </c>
      <c r="X92" s="273">
        <v>0</v>
      </c>
      <c r="Y92" s="273">
        <v>0</v>
      </c>
      <c r="Z92" s="273">
        <v>0</v>
      </c>
      <c r="AA92" s="273">
        <v>0</v>
      </c>
      <c r="AB92" s="273">
        <v>0</v>
      </c>
      <c r="AC92" s="273">
        <v>0</v>
      </c>
      <c r="AD92" s="273">
        <v>0</v>
      </c>
      <c r="AE92" s="273">
        <v>0</v>
      </c>
      <c r="AF92" s="273">
        <v>0</v>
      </c>
      <c r="AG92" s="273">
        <v>0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73">
        <v>0</v>
      </c>
      <c r="AY92" s="273">
        <v>0</v>
      </c>
      <c r="AZ92" s="273">
        <v>0</v>
      </c>
      <c r="BA92" s="273">
        <v>0</v>
      </c>
      <c r="BB92" s="273">
        <v>0</v>
      </c>
      <c r="BC92" s="273">
        <v>0</v>
      </c>
      <c r="BD92" s="273">
        <v>0</v>
      </c>
      <c r="BE92" s="273">
        <v>0</v>
      </c>
      <c r="BF92" s="273">
        <v>0</v>
      </c>
      <c r="BG92" s="273">
        <v>0</v>
      </c>
      <c r="BH92" s="273">
        <v>0</v>
      </c>
      <c r="BI92" s="273">
        <v>0</v>
      </c>
      <c r="BJ92" s="273">
        <v>0</v>
      </c>
      <c r="BK92" s="273">
        <v>0</v>
      </c>
      <c r="BL92" s="273">
        <v>0</v>
      </c>
      <c r="BM92" s="273">
        <v>0</v>
      </c>
      <c r="BN92" s="273">
        <v>0</v>
      </c>
      <c r="BO92" s="273">
        <v>0</v>
      </c>
      <c r="BP92" s="273">
        <v>0</v>
      </c>
      <c r="BQ92" s="273">
        <v>0</v>
      </c>
      <c r="BR92" s="273">
        <v>0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0</v>
      </c>
      <c r="CF92" s="16"/>
    </row>
    <row r="93" spans="1:84" x14ac:dyDescent="0.25">
      <c r="A93" s="21" t="s">
        <v>292</v>
      </c>
      <c r="B93" s="16"/>
      <c r="C93" s="273">
        <v>21528</v>
      </c>
      <c r="D93" s="273">
        <v>0</v>
      </c>
      <c r="E93" s="273">
        <v>46731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24643</v>
      </c>
      <c r="P93" s="273">
        <v>26728</v>
      </c>
      <c r="Q93" s="273">
        <v>21285</v>
      </c>
      <c r="R93" s="273">
        <v>0</v>
      </c>
      <c r="S93" s="273">
        <v>0</v>
      </c>
      <c r="T93" s="273">
        <v>0</v>
      </c>
      <c r="U93" s="273">
        <v>361</v>
      </c>
      <c r="V93" s="273">
        <v>0</v>
      </c>
      <c r="W93" s="273">
        <v>0</v>
      </c>
      <c r="X93" s="273">
        <v>0</v>
      </c>
      <c r="Y93" s="273">
        <v>24432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1732</v>
      </c>
      <c r="AF93" s="273">
        <v>0</v>
      </c>
      <c r="AG93" s="273">
        <v>60858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228298</v>
      </c>
      <c r="CF93" s="25">
        <v>0</v>
      </c>
    </row>
    <row r="94" spans="1:84" x14ac:dyDescent="0.25">
      <c r="A94" s="21" t="s">
        <v>293</v>
      </c>
      <c r="B94" s="16"/>
      <c r="C94" s="277">
        <v>20.933825525240383</v>
      </c>
      <c r="D94" s="277">
        <v>0</v>
      </c>
      <c r="E94" s="277">
        <v>44.935095931490387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4">
        <v>15.722201251826922</v>
      </c>
      <c r="Q94" s="334">
        <v>13.566662338942308</v>
      </c>
      <c r="R94" s="334">
        <v>3.3784388461538457</v>
      </c>
      <c r="S94" s="278">
        <v>0</v>
      </c>
      <c r="T94" s="278">
        <v>0</v>
      </c>
      <c r="U94" s="335">
        <v>0</v>
      </c>
      <c r="V94" s="334">
        <v>0</v>
      </c>
      <c r="W94" s="334">
        <v>0</v>
      </c>
      <c r="X94" s="334">
        <v>0</v>
      </c>
      <c r="Y94" s="334">
        <v>0</v>
      </c>
      <c r="Z94" s="334">
        <v>0</v>
      </c>
      <c r="AA94" s="334">
        <v>0</v>
      </c>
      <c r="AB94" s="278">
        <v>0</v>
      </c>
      <c r="AC94" s="334">
        <v>0</v>
      </c>
      <c r="AD94" s="334">
        <v>0</v>
      </c>
      <c r="AE94" s="334">
        <v>0</v>
      </c>
      <c r="AF94" s="334">
        <v>0</v>
      </c>
      <c r="AG94" s="334">
        <v>30.768301471634615</v>
      </c>
      <c r="AH94" s="334">
        <v>0</v>
      </c>
      <c r="AI94" s="334">
        <v>0</v>
      </c>
      <c r="AJ94" s="334">
        <v>0</v>
      </c>
      <c r="AK94" s="334">
        <v>0</v>
      </c>
      <c r="AL94" s="334">
        <v>0</v>
      </c>
      <c r="AM94" s="334">
        <v>0</v>
      </c>
      <c r="AN94" s="334">
        <v>0</v>
      </c>
      <c r="AO94" s="334">
        <v>0</v>
      </c>
      <c r="AP94" s="334">
        <v>0</v>
      </c>
      <c r="AQ94" s="334">
        <v>0</v>
      </c>
      <c r="AR94" s="334">
        <v>0</v>
      </c>
      <c r="AS94" s="334">
        <v>0</v>
      </c>
      <c r="AT94" s="334">
        <v>0</v>
      </c>
      <c r="AU94" s="33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5">
        <v>129.30452536528844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1055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98584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297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297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297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>
        <v>3604327721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>
        <v>3604271921</v>
      </c>
      <c r="D108" s="284" t="s">
        <v>297</v>
      </c>
      <c r="E108" s="285" t="s">
        <v>297</v>
      </c>
      <c r="F108" s="12"/>
    </row>
    <row r="109" spans="1:6" x14ac:dyDescent="0.25">
      <c r="A109" s="33" t="s">
        <v>317</v>
      </c>
      <c r="B109" s="32" t="s">
        <v>299</v>
      </c>
      <c r="C109" s="340" t="s">
        <v>1056</v>
      </c>
      <c r="D109" s="284" t="s">
        <v>297</v>
      </c>
      <c r="E109" s="285" t="s">
        <v>297</v>
      </c>
      <c r="F109" s="12"/>
    </row>
    <row r="110" spans="1:6" x14ac:dyDescent="0.25">
      <c r="A110" s="33" t="s">
        <v>318</v>
      </c>
      <c r="B110" s="32" t="s">
        <v>299</v>
      </c>
      <c r="C110" s="341" t="s">
        <v>1057</v>
      </c>
      <c r="D110" s="284" t="s">
        <v>297</v>
      </c>
      <c r="E110" s="285" t="s">
        <v>297</v>
      </c>
      <c r="F110" s="12"/>
    </row>
    <row r="111" spans="1:6" x14ac:dyDescent="0.25">
      <c r="A111" s="30" t="s">
        <v>319</v>
      </c>
      <c r="B111" s="30"/>
      <c r="C111" s="30"/>
      <c r="D111" s="30"/>
      <c r="E111" s="30"/>
    </row>
    <row r="112" spans="1:6" x14ac:dyDescent="0.25">
      <c r="A112" s="34" t="s">
        <v>320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321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322</v>
      </c>
      <c r="B116" s="34"/>
      <c r="C116" s="34"/>
      <c r="D116" s="34"/>
      <c r="E116" s="34"/>
    </row>
    <row r="117" spans="1:5" x14ac:dyDescent="0.25">
      <c r="A117" s="16" t="s">
        <v>323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324</v>
      </c>
      <c r="B119" s="34"/>
      <c r="C119" s="34"/>
      <c r="D119" s="34"/>
      <c r="E119" s="34"/>
    </row>
    <row r="120" spans="1:5" x14ac:dyDescent="0.25">
      <c r="A120" s="16" t="s">
        <v>325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326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327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328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329</v>
      </c>
      <c r="B126" s="16"/>
      <c r="C126" s="17" t="s">
        <v>330</v>
      </c>
      <c r="D126" s="18" t="s">
        <v>241</v>
      </c>
      <c r="E126" s="16"/>
    </row>
    <row r="127" spans="1:5" x14ac:dyDescent="0.25">
      <c r="A127" s="16" t="s">
        <v>331</v>
      </c>
      <c r="B127" s="35" t="s">
        <v>299</v>
      </c>
      <c r="C127" s="292">
        <v>1504</v>
      </c>
      <c r="D127" s="295">
        <v>5156</v>
      </c>
      <c r="E127" s="16"/>
    </row>
    <row r="128" spans="1:5" x14ac:dyDescent="0.25">
      <c r="A128" s="16" t="s">
        <v>332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333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334</v>
      </c>
      <c r="B130" s="35" t="s">
        <v>299</v>
      </c>
      <c r="C130" s="292">
        <v>374</v>
      </c>
      <c r="D130" s="295">
        <v>672</v>
      </c>
      <c r="E130" s="16"/>
    </row>
    <row r="131" spans="1:5" x14ac:dyDescent="0.25">
      <c r="A131" s="21" t="s">
        <v>335</v>
      </c>
      <c r="B131" s="16"/>
      <c r="C131" s="17" t="s">
        <v>193</v>
      </c>
      <c r="D131" s="16"/>
      <c r="E131" s="16"/>
    </row>
    <row r="132" spans="1:5" x14ac:dyDescent="0.25">
      <c r="A132" s="16" t="s">
        <v>336</v>
      </c>
      <c r="B132" s="35" t="s">
        <v>299</v>
      </c>
      <c r="C132" s="292">
        <v>7</v>
      </c>
      <c r="D132" s="16"/>
      <c r="E132" s="16"/>
    </row>
    <row r="133" spans="1:5" x14ac:dyDescent="0.25">
      <c r="A133" s="16" t="s">
        <v>337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338</v>
      </c>
      <c r="B134" s="35" t="s">
        <v>299</v>
      </c>
      <c r="C134" s="292">
        <v>16</v>
      </c>
      <c r="D134" s="16"/>
      <c r="E134" s="16"/>
    </row>
    <row r="135" spans="1:5" x14ac:dyDescent="0.25">
      <c r="A135" s="16" t="s">
        <v>339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340</v>
      </c>
      <c r="B136" s="35" t="s">
        <v>299</v>
      </c>
      <c r="C136" s="292">
        <v>2</v>
      </c>
      <c r="D136" s="16"/>
      <c r="E136" s="16"/>
    </row>
    <row r="137" spans="1:5" x14ac:dyDescent="0.25">
      <c r="A137" s="16" t="s">
        <v>341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342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343</v>
      </c>
      <c r="B140" s="35"/>
      <c r="C140" s="292">
        <v>0</v>
      </c>
      <c r="D140" s="16"/>
      <c r="E140" s="16"/>
    </row>
    <row r="141" spans="1:5" x14ac:dyDescent="0.25">
      <c r="A141" s="16" t="s">
        <v>333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344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345</v>
      </c>
      <c r="B143" s="16"/>
      <c r="C143" s="22"/>
      <c r="D143" s="16"/>
      <c r="E143" s="25">
        <v>25</v>
      </c>
    </row>
    <row r="144" spans="1:5" x14ac:dyDescent="0.25">
      <c r="A144" s="16" t="s">
        <v>346</v>
      </c>
      <c r="B144" s="35" t="s">
        <v>299</v>
      </c>
      <c r="C144" s="292">
        <v>68</v>
      </c>
      <c r="D144" s="16"/>
      <c r="E144" s="16"/>
    </row>
    <row r="145" spans="1:6" x14ac:dyDescent="0.25">
      <c r="A145" s="16" t="s">
        <v>347</v>
      </c>
      <c r="B145" s="35" t="s">
        <v>299</v>
      </c>
      <c r="C145" s="292">
        <v>6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348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349</v>
      </c>
      <c r="B152" s="37"/>
      <c r="C152" s="37"/>
      <c r="D152" s="37"/>
      <c r="E152" s="37"/>
    </row>
    <row r="153" spans="1:6" x14ac:dyDescent="0.25">
      <c r="A153" s="38" t="s">
        <v>350</v>
      </c>
      <c r="B153" s="39" t="s">
        <v>351</v>
      </c>
      <c r="C153" s="40" t="s">
        <v>352</v>
      </c>
      <c r="D153" s="39" t="s">
        <v>158</v>
      </c>
      <c r="E153" s="39" t="s">
        <v>229</v>
      </c>
    </row>
    <row r="154" spans="1:6" x14ac:dyDescent="0.25">
      <c r="A154" s="16" t="s">
        <v>330</v>
      </c>
      <c r="B154" s="295">
        <v>800</v>
      </c>
      <c r="C154" s="295">
        <v>439</v>
      </c>
      <c r="D154" s="272">
        <v>265</v>
      </c>
      <c r="E154" s="25">
        <v>1504</v>
      </c>
    </row>
    <row r="155" spans="1:6" x14ac:dyDescent="0.25">
      <c r="A155" s="16" t="s">
        <v>241</v>
      </c>
      <c r="B155" s="295">
        <v>3232</v>
      </c>
      <c r="C155" s="295">
        <v>1136</v>
      </c>
      <c r="D155" s="272">
        <v>788</v>
      </c>
      <c r="E155" s="25">
        <v>5156</v>
      </c>
    </row>
    <row r="156" spans="1:6" x14ac:dyDescent="0.25">
      <c r="A156" s="16" t="s">
        <v>353</v>
      </c>
      <c r="B156" s="295">
        <v>66646</v>
      </c>
      <c r="C156" s="295">
        <v>62866</v>
      </c>
      <c r="D156" s="295">
        <v>66120</v>
      </c>
      <c r="E156" s="25">
        <v>195632</v>
      </c>
    </row>
    <row r="157" spans="1:6" x14ac:dyDescent="0.25">
      <c r="A157" s="16" t="s">
        <v>286</v>
      </c>
      <c r="B157" s="295">
        <v>36037320</v>
      </c>
      <c r="C157" s="295">
        <v>20781370</v>
      </c>
      <c r="D157" s="295">
        <v>12267962</v>
      </c>
      <c r="E157" s="25">
        <v>69086652</v>
      </c>
      <c r="F157" s="14"/>
    </row>
    <row r="158" spans="1:6" x14ac:dyDescent="0.25">
      <c r="A158" s="16" t="s">
        <v>287</v>
      </c>
      <c r="B158" s="295">
        <v>115582716</v>
      </c>
      <c r="C158" s="295">
        <v>75838575</v>
      </c>
      <c r="D158" s="295">
        <v>75311946</v>
      </c>
      <c r="E158" s="25">
        <v>266733237</v>
      </c>
      <c r="F158" s="14"/>
    </row>
    <row r="159" spans="1:6" x14ac:dyDescent="0.25">
      <c r="A159" s="38" t="s">
        <v>354</v>
      </c>
      <c r="B159" s="39" t="s">
        <v>351</v>
      </c>
      <c r="C159" s="40" t="s">
        <v>352</v>
      </c>
      <c r="D159" s="39" t="s">
        <v>158</v>
      </c>
      <c r="E159" s="39" t="s">
        <v>229</v>
      </c>
    </row>
    <row r="160" spans="1:6" x14ac:dyDescent="0.25">
      <c r="A160" s="16" t="s">
        <v>330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353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355</v>
      </c>
      <c r="B165" s="39" t="s">
        <v>351</v>
      </c>
      <c r="C165" s="40" t="s">
        <v>352</v>
      </c>
      <c r="D165" s="39" t="s">
        <v>158</v>
      </c>
      <c r="E165" s="39" t="s">
        <v>229</v>
      </c>
    </row>
    <row r="166" spans="1:5" x14ac:dyDescent="0.25">
      <c r="A166" s="16" t="s">
        <v>330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353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356</v>
      </c>
      <c r="B172" s="39" t="s">
        <v>357</v>
      </c>
      <c r="C172" s="40" t="s">
        <v>358</v>
      </c>
      <c r="D172" s="16"/>
      <c r="E172" s="16"/>
    </row>
    <row r="173" spans="1:5" x14ac:dyDescent="0.25">
      <c r="A173" s="20" t="s">
        <v>359</v>
      </c>
      <c r="B173" s="295">
        <v>2711139</v>
      </c>
      <c r="C173" s="295">
        <v>1725622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360</v>
      </c>
      <c r="B179" s="30"/>
      <c r="C179" s="30"/>
      <c r="D179" s="30"/>
      <c r="E179" s="30"/>
    </row>
    <row r="180" spans="1:5" x14ac:dyDescent="0.25">
      <c r="A180" s="34" t="s">
        <v>361</v>
      </c>
      <c r="B180" s="34"/>
      <c r="C180" s="34"/>
      <c r="D180" s="34"/>
      <c r="E180" s="34"/>
    </row>
    <row r="181" spans="1:5" x14ac:dyDescent="0.25">
      <c r="A181" s="16" t="s">
        <v>362</v>
      </c>
      <c r="B181" s="35" t="s">
        <v>299</v>
      </c>
      <c r="C181" s="342">
        <v>4212095.1500000004</v>
      </c>
      <c r="D181" s="16"/>
      <c r="E181" s="16"/>
    </row>
    <row r="182" spans="1:5" x14ac:dyDescent="0.25">
      <c r="A182" s="16" t="s">
        <v>363</v>
      </c>
      <c r="B182" s="35" t="s">
        <v>299</v>
      </c>
      <c r="C182" s="342">
        <v>65223.21</v>
      </c>
      <c r="D182" s="16"/>
      <c r="E182" s="16"/>
    </row>
    <row r="183" spans="1:5" x14ac:dyDescent="0.25">
      <c r="A183" s="20" t="s">
        <v>364</v>
      </c>
      <c r="B183" s="35" t="s">
        <v>299</v>
      </c>
      <c r="C183" s="342">
        <v>524066.14</v>
      </c>
      <c r="D183" s="16"/>
      <c r="E183" s="16"/>
    </row>
    <row r="184" spans="1:5" x14ac:dyDescent="0.25">
      <c r="A184" s="16" t="s">
        <v>365</v>
      </c>
      <c r="B184" s="35" t="s">
        <v>299</v>
      </c>
      <c r="C184" s="342">
        <v>10507233.75</v>
      </c>
      <c r="D184" s="16"/>
      <c r="E184" s="16"/>
    </row>
    <row r="185" spans="1:5" x14ac:dyDescent="0.25">
      <c r="A185" s="16" t="s">
        <v>366</v>
      </c>
      <c r="B185" s="35" t="s">
        <v>299</v>
      </c>
      <c r="C185" s="342">
        <v>31996.98</v>
      </c>
      <c r="D185" s="16"/>
      <c r="E185" s="16"/>
    </row>
    <row r="186" spans="1:5" x14ac:dyDescent="0.25">
      <c r="A186" s="16" t="s">
        <v>367</v>
      </c>
      <c r="B186" s="35" t="s">
        <v>299</v>
      </c>
      <c r="C186" s="342">
        <v>3223736.83</v>
      </c>
      <c r="D186" s="16"/>
      <c r="E186" s="16"/>
    </row>
    <row r="187" spans="1:5" x14ac:dyDescent="0.25">
      <c r="A187" s="16" t="s">
        <v>368</v>
      </c>
      <c r="B187" s="35" t="s">
        <v>299</v>
      </c>
      <c r="C187" s="342">
        <v>252234.09000000003</v>
      </c>
      <c r="D187" s="16"/>
      <c r="E187" s="16"/>
    </row>
    <row r="188" spans="1:5" x14ac:dyDescent="0.25">
      <c r="A188" s="16" t="s">
        <v>368</v>
      </c>
      <c r="B188" s="35" t="s">
        <v>299</v>
      </c>
      <c r="C188" s="34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18816586.150000002</v>
      </c>
      <c r="E189" s="16"/>
    </row>
    <row r="190" spans="1:5" x14ac:dyDescent="0.25">
      <c r="A190" s="34" t="s">
        <v>369</v>
      </c>
      <c r="B190" s="34"/>
      <c r="C190" s="34"/>
      <c r="D190" s="34"/>
      <c r="E190" s="34"/>
    </row>
    <row r="191" spans="1:5" x14ac:dyDescent="0.25">
      <c r="A191" s="16" t="s">
        <v>370</v>
      </c>
      <c r="B191" s="35" t="s">
        <v>299</v>
      </c>
      <c r="C191" s="343">
        <v>22336.51</v>
      </c>
      <c r="D191" s="16"/>
      <c r="E191" s="16"/>
    </row>
    <row r="192" spans="1:5" x14ac:dyDescent="0.25">
      <c r="A192" s="16" t="s">
        <v>371</v>
      </c>
      <c r="B192" s="35" t="s">
        <v>299</v>
      </c>
      <c r="C192" s="343">
        <v>302032.92000000004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324369.43000000005</v>
      </c>
      <c r="E193" s="16"/>
    </row>
    <row r="194" spans="1:5" x14ac:dyDescent="0.25">
      <c r="A194" s="34" t="s">
        <v>372</v>
      </c>
      <c r="B194" s="34"/>
      <c r="C194" s="34"/>
      <c r="D194" s="34"/>
      <c r="E194" s="34"/>
    </row>
    <row r="195" spans="1:5" x14ac:dyDescent="0.25">
      <c r="A195" s="16" t="s">
        <v>373</v>
      </c>
      <c r="B195" s="35" t="s">
        <v>299</v>
      </c>
      <c r="C195" s="343">
        <v>583227.43999999994</v>
      </c>
      <c r="D195" s="16"/>
      <c r="E195" s="16"/>
    </row>
    <row r="196" spans="1:5" x14ac:dyDescent="0.25">
      <c r="A196" s="16" t="s">
        <v>374</v>
      </c>
      <c r="B196" s="35" t="s">
        <v>299</v>
      </c>
      <c r="C196" s="343">
        <v>679535.24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1262762.68</v>
      </c>
      <c r="E197" s="16"/>
    </row>
    <row r="198" spans="1:5" x14ac:dyDescent="0.25">
      <c r="A198" s="34" t="s">
        <v>375</v>
      </c>
      <c r="B198" s="34"/>
      <c r="C198" s="34"/>
      <c r="D198" s="34"/>
      <c r="E198" s="34"/>
    </row>
    <row r="199" spans="1:5" x14ac:dyDescent="0.25">
      <c r="A199" s="16" t="s">
        <v>376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377</v>
      </c>
      <c r="B200" s="35" t="s">
        <v>299</v>
      </c>
      <c r="C200" s="343">
        <v>683332.67999999993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683332.67999999993</v>
      </c>
      <c r="E202" s="16"/>
    </row>
    <row r="203" spans="1:5" x14ac:dyDescent="0.25">
      <c r="A203" s="34" t="s">
        <v>378</v>
      </c>
      <c r="B203" s="34"/>
      <c r="C203" s="34"/>
      <c r="D203" s="34"/>
      <c r="E203" s="34"/>
    </row>
    <row r="204" spans="1:5" x14ac:dyDescent="0.25">
      <c r="A204" s="16" t="s">
        <v>379</v>
      </c>
      <c r="B204" s="35" t="s">
        <v>299</v>
      </c>
      <c r="C204" s="343">
        <v>0</v>
      </c>
      <c r="D204" s="16"/>
      <c r="E204" s="16"/>
    </row>
    <row r="205" spans="1:5" x14ac:dyDescent="0.25">
      <c r="A205" s="16" t="s">
        <v>380</v>
      </c>
      <c r="B205" s="35" t="s">
        <v>299</v>
      </c>
      <c r="C205" s="292">
        <v>3187322.1199999996</v>
      </c>
      <c r="D205" s="16"/>
      <c r="E205" s="16"/>
    </row>
    <row r="206" spans="1:5" x14ac:dyDescent="0.25">
      <c r="A206" s="16" t="s">
        <v>229</v>
      </c>
      <c r="B206" s="16"/>
      <c r="C206" s="22"/>
      <c r="D206" s="16">
        <v>3187322.1199999996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381</v>
      </c>
      <c r="B208" s="30"/>
      <c r="C208" s="30"/>
      <c r="D208" s="30"/>
      <c r="E208" s="30"/>
    </row>
    <row r="209" spans="1:5" x14ac:dyDescent="0.25">
      <c r="A209" s="37" t="s">
        <v>382</v>
      </c>
      <c r="B209" s="30"/>
      <c r="C209" s="30"/>
      <c r="D209" s="30"/>
      <c r="E209" s="30"/>
    </row>
    <row r="210" spans="1:5" x14ac:dyDescent="0.25">
      <c r="A210" s="21"/>
      <c r="B210" s="18" t="s">
        <v>383</v>
      </c>
      <c r="C210" s="17" t="s">
        <v>384</v>
      </c>
      <c r="D210" s="18" t="s">
        <v>385</v>
      </c>
      <c r="E210" s="18" t="s">
        <v>386</v>
      </c>
    </row>
    <row r="211" spans="1:5" x14ac:dyDescent="0.25">
      <c r="A211" s="16" t="s">
        <v>387</v>
      </c>
      <c r="B211" s="295">
        <v>2015497.22</v>
      </c>
      <c r="C211" s="292">
        <v>802054.85</v>
      </c>
      <c r="D211" s="295">
        <v>0</v>
      </c>
      <c r="E211" s="25">
        <v>2817552.07</v>
      </c>
    </row>
    <row r="212" spans="1:5" x14ac:dyDescent="0.25">
      <c r="A212" s="16" t="s">
        <v>388</v>
      </c>
      <c r="B212" s="295">
        <v>11111246.290000001</v>
      </c>
      <c r="C212" s="292">
        <v>0</v>
      </c>
      <c r="D212" s="295">
        <v>0</v>
      </c>
      <c r="E212" s="25">
        <v>11111246.290000001</v>
      </c>
    </row>
    <row r="213" spans="1:5" x14ac:dyDescent="0.25">
      <c r="A213" s="16" t="s">
        <v>389</v>
      </c>
      <c r="B213" s="295">
        <v>59943438.190000005</v>
      </c>
      <c r="C213" s="292">
        <v>252857</v>
      </c>
      <c r="D213" s="295">
        <v>0</v>
      </c>
      <c r="E213" s="25">
        <v>60196295.190000005</v>
      </c>
    </row>
    <row r="214" spans="1:5" x14ac:dyDescent="0.25">
      <c r="A214" s="16" t="s">
        <v>391</v>
      </c>
      <c r="B214" s="295">
        <v>33411007.440000001</v>
      </c>
      <c r="C214" s="292">
        <v>1079577</v>
      </c>
      <c r="D214" s="295">
        <v>0</v>
      </c>
      <c r="E214" s="25">
        <v>34490584.439999998</v>
      </c>
    </row>
    <row r="215" spans="1:5" x14ac:dyDescent="0.25">
      <c r="A215" s="16" t="s">
        <v>392</v>
      </c>
      <c r="B215" s="295">
        <v>0</v>
      </c>
      <c r="C215" s="292">
        <v>55441125.560000002</v>
      </c>
      <c r="D215" s="295">
        <v>0</v>
      </c>
      <c r="E215" s="25">
        <v>55441125.560000002</v>
      </c>
    </row>
    <row r="216" spans="1:5" x14ac:dyDescent="0.25">
      <c r="A216" s="16" t="s">
        <v>393</v>
      </c>
      <c r="B216" s="295">
        <v>43227995.780000001</v>
      </c>
      <c r="C216" s="292">
        <v>3751628</v>
      </c>
      <c r="D216" s="295">
        <v>494490</v>
      </c>
      <c r="E216" s="25">
        <v>46485133.780000001</v>
      </c>
    </row>
    <row r="217" spans="1:5" x14ac:dyDescent="0.25">
      <c r="A217" s="16" t="s">
        <v>394</v>
      </c>
      <c r="B217" s="295">
        <v>640218</v>
      </c>
      <c r="C217" s="292">
        <v>1730358</v>
      </c>
      <c r="D217" s="295">
        <v>0</v>
      </c>
      <c r="E217" s="25">
        <v>2370576</v>
      </c>
    </row>
    <row r="218" spans="1:5" x14ac:dyDescent="0.25">
      <c r="A218" s="16" t="s">
        <v>395</v>
      </c>
      <c r="B218" s="295">
        <v>1174052.3700000001</v>
      </c>
      <c r="C218" s="292">
        <v>0</v>
      </c>
      <c r="D218" s="295">
        <v>0</v>
      </c>
      <c r="E218" s="25">
        <v>1174052.3700000001</v>
      </c>
    </row>
    <row r="219" spans="1:5" x14ac:dyDescent="0.25">
      <c r="A219" s="16" t="s">
        <v>396</v>
      </c>
      <c r="B219" s="295">
        <v>2874056.01</v>
      </c>
      <c r="C219" s="292">
        <v>475909</v>
      </c>
      <c r="D219" s="292">
        <v>0</v>
      </c>
      <c r="E219" s="25">
        <v>3349965.01</v>
      </c>
    </row>
    <row r="220" spans="1:5" x14ac:dyDescent="0.25">
      <c r="A220" s="16" t="s">
        <v>229</v>
      </c>
      <c r="B220" s="225">
        <v>154397511.30000001</v>
      </c>
      <c r="C220" s="225">
        <v>63533509.410000004</v>
      </c>
      <c r="D220" s="25">
        <v>494490</v>
      </c>
      <c r="E220" s="25">
        <v>217436530.71000001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383</v>
      </c>
      <c r="C223" s="17" t="s">
        <v>384</v>
      </c>
      <c r="D223" s="18" t="s">
        <v>385</v>
      </c>
      <c r="E223" s="18" t="s">
        <v>386</v>
      </c>
    </row>
    <row r="224" spans="1:5" x14ac:dyDescent="0.25">
      <c r="A224" s="16" t="s">
        <v>387</v>
      </c>
      <c r="B224" s="42"/>
      <c r="C224" s="41"/>
      <c r="D224" s="42"/>
      <c r="E224" s="25"/>
    </row>
    <row r="225" spans="1:8" x14ac:dyDescent="0.25">
      <c r="A225" s="16" t="s">
        <v>388</v>
      </c>
      <c r="B225" s="295">
        <v>4231007.92</v>
      </c>
      <c r="C225" s="292">
        <v>718556.88</v>
      </c>
      <c r="D225" s="295">
        <v>0</v>
      </c>
      <c r="E225" s="25">
        <v>4949564.8</v>
      </c>
    </row>
    <row r="226" spans="1:8" x14ac:dyDescent="0.25">
      <c r="A226" s="16" t="s">
        <v>389</v>
      </c>
      <c r="B226" s="295">
        <v>26993366.239999998</v>
      </c>
      <c r="C226" s="292">
        <v>1807451.2800000012</v>
      </c>
      <c r="D226" s="295">
        <v>0</v>
      </c>
      <c r="E226" s="25">
        <v>28800817.52</v>
      </c>
    </row>
    <row r="227" spans="1:8" x14ac:dyDescent="0.25">
      <c r="A227" s="16" t="s">
        <v>391</v>
      </c>
      <c r="B227" s="295">
        <v>15895318.149999999</v>
      </c>
      <c r="C227" s="292">
        <v>1680374.98</v>
      </c>
      <c r="D227" s="295">
        <v>0</v>
      </c>
      <c r="E227" s="25">
        <v>17575693.129999999</v>
      </c>
      <c r="H227" s="336"/>
    </row>
    <row r="228" spans="1:8" x14ac:dyDescent="0.25">
      <c r="A228" s="16" t="s">
        <v>392</v>
      </c>
      <c r="B228" s="295">
        <v>0</v>
      </c>
      <c r="C228" s="292">
        <v>17777374</v>
      </c>
      <c r="D228" s="295">
        <v>0</v>
      </c>
      <c r="E228" s="25">
        <v>17777374</v>
      </c>
    </row>
    <row r="229" spans="1:8" x14ac:dyDescent="0.25">
      <c r="A229" s="16" t="s">
        <v>393</v>
      </c>
      <c r="B229" s="295">
        <v>34189298.379999995</v>
      </c>
      <c r="C229" s="292">
        <v>2641685.2100000009</v>
      </c>
      <c r="D229" s="295">
        <v>480821</v>
      </c>
      <c r="E229" s="25">
        <v>36350162.589999996</v>
      </c>
      <c r="F229" s="60"/>
    </row>
    <row r="230" spans="1:8" x14ac:dyDescent="0.25">
      <c r="A230" s="16" t="s">
        <v>394</v>
      </c>
      <c r="B230" s="295">
        <v>213406</v>
      </c>
      <c r="C230" s="292">
        <v>1073020.33</v>
      </c>
      <c r="D230" s="295">
        <v>0</v>
      </c>
      <c r="E230" s="25">
        <v>1286426.33</v>
      </c>
    </row>
    <row r="231" spans="1:8" x14ac:dyDescent="0.25">
      <c r="A231" s="16" t="s">
        <v>395</v>
      </c>
      <c r="B231" s="295">
        <v>820288.89</v>
      </c>
      <c r="C231" s="292">
        <v>113959.56000000006</v>
      </c>
      <c r="D231" s="295">
        <v>0</v>
      </c>
      <c r="E231" s="25">
        <v>934248.45000000007</v>
      </c>
    </row>
    <row r="232" spans="1:8" x14ac:dyDescent="0.25">
      <c r="A232" s="16" t="s">
        <v>396</v>
      </c>
      <c r="B232" s="295">
        <v>0</v>
      </c>
      <c r="C232" s="292">
        <v>0</v>
      </c>
      <c r="D232" s="295">
        <v>0</v>
      </c>
      <c r="E232" s="25">
        <v>0</v>
      </c>
    </row>
    <row r="233" spans="1:8" x14ac:dyDescent="0.25">
      <c r="A233" s="16" t="s">
        <v>229</v>
      </c>
      <c r="B233" s="25">
        <v>82342685.579999998</v>
      </c>
      <c r="C233" s="225">
        <v>25812422.239999998</v>
      </c>
      <c r="D233" s="25">
        <v>480821</v>
      </c>
      <c r="E233" s="25">
        <v>107674286.81999999</v>
      </c>
    </row>
    <row r="234" spans="1:8" x14ac:dyDescent="0.25">
      <c r="A234" s="16"/>
      <c r="B234" s="16"/>
      <c r="C234" s="22"/>
      <c r="D234" s="16"/>
      <c r="E234" s="16"/>
      <c r="F234" s="11">
        <v>109762243.89000002</v>
      </c>
    </row>
    <row r="235" spans="1:8" x14ac:dyDescent="0.25">
      <c r="A235" s="30" t="s">
        <v>398</v>
      </c>
      <c r="B235" s="30"/>
      <c r="C235" s="30"/>
      <c r="D235" s="30"/>
      <c r="E235" s="30"/>
    </row>
    <row r="236" spans="1:8" x14ac:dyDescent="0.25">
      <c r="A236" s="30"/>
      <c r="B236" s="348" t="s">
        <v>399</v>
      </c>
      <c r="C236" s="348"/>
      <c r="D236" s="30"/>
      <c r="E236" s="30"/>
    </row>
    <row r="237" spans="1:8" x14ac:dyDescent="0.25">
      <c r="A237" s="43" t="s">
        <v>399</v>
      </c>
      <c r="B237" s="30"/>
      <c r="C237" s="343">
        <v>2040032.9900000002</v>
      </c>
      <c r="D237" s="32">
        <v>2040032.9900000002</v>
      </c>
      <c r="E237" s="30"/>
    </row>
    <row r="238" spans="1:8" x14ac:dyDescent="0.25">
      <c r="A238" s="34" t="s">
        <v>400</v>
      </c>
      <c r="B238" s="34"/>
      <c r="C238" s="34"/>
      <c r="D238" s="34"/>
      <c r="E238" s="34"/>
    </row>
    <row r="239" spans="1:8" x14ac:dyDescent="0.25">
      <c r="A239" s="16" t="s">
        <v>401</v>
      </c>
      <c r="B239" s="35" t="s">
        <v>299</v>
      </c>
      <c r="C239" s="343">
        <v>90565597.150000006</v>
      </c>
      <c r="D239" s="16"/>
      <c r="E239" s="16"/>
    </row>
    <row r="240" spans="1:8" x14ac:dyDescent="0.25">
      <c r="A240" s="16" t="s">
        <v>402</v>
      </c>
      <c r="B240" s="35" t="s">
        <v>299</v>
      </c>
      <c r="C240" s="343">
        <v>58642866.079999998</v>
      </c>
      <c r="D240" s="16"/>
      <c r="E240" s="16"/>
    </row>
    <row r="241" spans="1:5" x14ac:dyDescent="0.25">
      <c r="A241" s="16" t="s">
        <v>403</v>
      </c>
      <c r="B241" s="35" t="s">
        <v>299</v>
      </c>
      <c r="C241" s="343">
        <v>9223881.7999999989</v>
      </c>
      <c r="D241" s="16"/>
      <c r="E241" s="16"/>
    </row>
    <row r="242" spans="1:5" x14ac:dyDescent="0.25">
      <c r="A242" s="16" t="s">
        <v>404</v>
      </c>
      <c r="B242" s="35" t="s">
        <v>299</v>
      </c>
      <c r="C242" s="343">
        <v>0</v>
      </c>
      <c r="D242" s="16"/>
      <c r="E242" s="16"/>
    </row>
    <row r="243" spans="1:5" x14ac:dyDescent="0.25">
      <c r="A243" s="16" t="s">
        <v>405</v>
      </c>
      <c r="B243" s="35" t="s">
        <v>299</v>
      </c>
      <c r="C243" s="343">
        <v>27488734.609999999</v>
      </c>
      <c r="D243" s="16"/>
      <c r="E243" s="16"/>
    </row>
    <row r="244" spans="1:5" x14ac:dyDescent="0.25">
      <c r="A244" s="16" t="s">
        <v>406</v>
      </c>
      <c r="B244" s="35" t="s">
        <v>299</v>
      </c>
      <c r="C244" s="343">
        <v>0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v>185921079.64000005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2">
        <v>1727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292">
        <v>467361</v>
      </c>
      <c r="D249" s="16"/>
      <c r="E249" s="16"/>
    </row>
    <row r="250" spans="1:5" x14ac:dyDescent="0.25">
      <c r="A250" s="21" t="s">
        <v>411</v>
      </c>
      <c r="B250" s="35" t="s">
        <v>299</v>
      </c>
      <c r="C250" s="292">
        <v>4430472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v>4897833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343">
        <v>5769987.7800000003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415</v>
      </c>
      <c r="B256" s="16"/>
      <c r="C256" s="22"/>
      <c r="D256" s="25">
        <v>5769987.7800000003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16">
        <v>198628933.41000006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343">
        <v>99584319.890000001</v>
      </c>
      <c r="D266" s="16"/>
      <c r="E266" s="16"/>
    </row>
    <row r="267" spans="1:5" x14ac:dyDescent="0.25">
      <c r="A267" s="16" t="s">
        <v>420</v>
      </c>
      <c r="B267" s="35" t="s">
        <v>299</v>
      </c>
      <c r="C267" s="343">
        <v>0</v>
      </c>
      <c r="D267" s="16"/>
      <c r="E267" s="16"/>
    </row>
    <row r="268" spans="1:5" x14ac:dyDescent="0.25">
      <c r="A268" s="16" t="s">
        <v>421</v>
      </c>
      <c r="B268" s="35" t="s">
        <v>299</v>
      </c>
      <c r="C268" s="343">
        <v>45587003.270000003</v>
      </c>
      <c r="D268" s="16"/>
      <c r="E268" s="16"/>
    </row>
    <row r="269" spans="1:5" x14ac:dyDescent="0.25">
      <c r="A269" s="16" t="s">
        <v>422</v>
      </c>
      <c r="B269" s="35" t="s">
        <v>299</v>
      </c>
      <c r="C269" s="343">
        <v>27766671.010000002</v>
      </c>
      <c r="D269" s="16"/>
      <c r="E269" s="16"/>
    </row>
    <row r="270" spans="1:5" x14ac:dyDescent="0.25">
      <c r="A270" s="16" t="s">
        <v>423</v>
      </c>
      <c r="B270" s="35" t="s">
        <v>299</v>
      </c>
      <c r="C270" s="343">
        <v>0</v>
      </c>
      <c r="D270" s="16"/>
      <c r="E270" s="16"/>
    </row>
    <row r="271" spans="1:5" x14ac:dyDescent="0.25">
      <c r="A271" s="16" t="s">
        <v>424</v>
      </c>
      <c r="B271" s="35" t="s">
        <v>299</v>
      </c>
      <c r="C271" s="343">
        <v>603187.49</v>
      </c>
      <c r="D271" s="16"/>
      <c r="E271" s="16"/>
    </row>
    <row r="272" spans="1:5" x14ac:dyDescent="0.25">
      <c r="A272" s="16" t="s">
        <v>425</v>
      </c>
      <c r="B272" s="35" t="s">
        <v>299</v>
      </c>
      <c r="C272" s="343">
        <v>0</v>
      </c>
      <c r="D272" s="16"/>
      <c r="E272" s="16"/>
    </row>
    <row r="273" spans="1:5" x14ac:dyDescent="0.25">
      <c r="A273" s="16" t="s">
        <v>426</v>
      </c>
      <c r="B273" s="35" t="s">
        <v>299</v>
      </c>
      <c r="C273" s="343">
        <v>2096970.79</v>
      </c>
      <c r="D273" s="16"/>
      <c r="E273" s="16"/>
    </row>
    <row r="274" spans="1:5" x14ac:dyDescent="0.25">
      <c r="A274" s="16" t="s">
        <v>427</v>
      </c>
      <c r="B274" s="35" t="s">
        <v>299</v>
      </c>
      <c r="C274" s="343">
        <v>2332512.87</v>
      </c>
      <c r="D274" s="16"/>
      <c r="E274" s="16"/>
    </row>
    <row r="275" spans="1:5" x14ac:dyDescent="0.25">
      <c r="A275" s="16" t="s">
        <v>428</v>
      </c>
      <c r="B275" s="35" t="s">
        <v>299</v>
      </c>
      <c r="C275" s="343">
        <v>0</v>
      </c>
      <c r="D275" s="16"/>
      <c r="E275" s="16"/>
    </row>
    <row r="276" spans="1:5" x14ac:dyDescent="0.25">
      <c r="A276" s="16" t="s">
        <v>429</v>
      </c>
      <c r="B276" s="16"/>
      <c r="C276" s="22"/>
      <c r="D276" s="25">
        <v>122437323.3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343">
        <v>84131.139999999854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431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432</v>
      </c>
      <c r="B281" s="16"/>
      <c r="C281" s="22"/>
      <c r="D281" s="25">
        <v>84131.139999999854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387</v>
      </c>
      <c r="B283" s="35" t="s">
        <v>299</v>
      </c>
      <c r="C283" s="343">
        <v>2817552.07</v>
      </c>
      <c r="D283" s="16"/>
      <c r="E283" s="16"/>
    </row>
    <row r="284" spans="1:5" x14ac:dyDescent="0.25">
      <c r="A284" s="16" t="s">
        <v>388</v>
      </c>
      <c r="B284" s="35" t="s">
        <v>299</v>
      </c>
      <c r="C284" s="343">
        <v>11111246.33</v>
      </c>
      <c r="D284" s="16"/>
      <c r="E284" s="16"/>
    </row>
    <row r="285" spans="1:5" x14ac:dyDescent="0.25">
      <c r="A285" s="16" t="s">
        <v>389</v>
      </c>
      <c r="B285" s="35" t="s">
        <v>299</v>
      </c>
      <c r="C285" s="343">
        <v>60196294.75</v>
      </c>
      <c r="D285" s="16"/>
      <c r="E285" s="16"/>
    </row>
    <row r="286" spans="1:5" x14ac:dyDescent="0.25">
      <c r="A286" s="16" t="s">
        <v>434</v>
      </c>
      <c r="B286" s="35" t="s">
        <v>299</v>
      </c>
      <c r="C286" s="343">
        <v>34490584.100000001</v>
      </c>
      <c r="D286" s="16"/>
      <c r="E286" s="16"/>
    </row>
    <row r="287" spans="1:5" x14ac:dyDescent="0.25">
      <c r="A287" s="16" t="s">
        <v>435</v>
      </c>
      <c r="B287" s="35" t="s">
        <v>299</v>
      </c>
      <c r="C287" s="343">
        <v>0</v>
      </c>
      <c r="D287" s="16"/>
      <c r="E287" s="16"/>
    </row>
    <row r="288" spans="1:5" x14ac:dyDescent="0.25">
      <c r="A288" s="16" t="s">
        <v>436</v>
      </c>
      <c r="B288" s="35" t="s">
        <v>299</v>
      </c>
      <c r="C288" s="343">
        <v>104296835.83</v>
      </c>
      <c r="D288" s="16"/>
      <c r="E288" s="16"/>
    </row>
    <row r="289" spans="1:5" x14ac:dyDescent="0.25">
      <c r="A289" s="16" t="s">
        <v>395</v>
      </c>
      <c r="B289" s="35" t="s">
        <v>299</v>
      </c>
      <c r="C289" s="343">
        <v>1174052.3700000001</v>
      </c>
      <c r="D289" s="16"/>
      <c r="E289" s="16"/>
    </row>
    <row r="290" spans="1:5" x14ac:dyDescent="0.25">
      <c r="A290" s="16" t="s">
        <v>396</v>
      </c>
      <c r="B290" s="35" t="s">
        <v>299</v>
      </c>
      <c r="C290" s="343">
        <v>3349965.08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v>217436530.53</v>
      </c>
      <c r="E291" s="16"/>
    </row>
    <row r="292" spans="1:5" x14ac:dyDescent="0.25">
      <c r="A292" s="16" t="s">
        <v>438</v>
      </c>
      <c r="B292" s="35" t="s">
        <v>299</v>
      </c>
      <c r="C292" s="343">
        <v>107674286.33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v>109762244.2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442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443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431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444</v>
      </c>
      <c r="B299" s="16"/>
      <c r="C299" s="22"/>
      <c r="D299" s="25"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447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448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449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450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16">
        <v>232283698.63999999</v>
      </c>
      <c r="E308" s="16"/>
    </row>
    <row r="309" spans="1:6" x14ac:dyDescent="0.25">
      <c r="A309" s="16"/>
      <c r="B309" s="16"/>
      <c r="C309" s="22"/>
      <c r="D309" s="16"/>
      <c r="E309" s="16"/>
      <c r="F309" s="11">
        <v>232283698.63999999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343">
        <v>0</v>
      </c>
      <c r="D314" s="16"/>
      <c r="E314" s="16"/>
    </row>
    <row r="315" spans="1:6" x14ac:dyDescent="0.25">
      <c r="A315" s="16" t="s">
        <v>455</v>
      </c>
      <c r="B315" s="35" t="s">
        <v>299</v>
      </c>
      <c r="C315" s="343">
        <v>5034244.93</v>
      </c>
      <c r="D315" s="16"/>
      <c r="E315" s="16"/>
    </row>
    <row r="316" spans="1:6" x14ac:dyDescent="0.25">
      <c r="A316" s="16" t="s">
        <v>456</v>
      </c>
      <c r="B316" s="35" t="s">
        <v>299</v>
      </c>
      <c r="C316" s="343">
        <v>10254973.85</v>
      </c>
      <c r="D316" s="16"/>
      <c r="E316" s="16"/>
    </row>
    <row r="317" spans="1:6" x14ac:dyDescent="0.25">
      <c r="A317" s="16" t="s">
        <v>457</v>
      </c>
      <c r="B317" s="35" t="s">
        <v>299</v>
      </c>
      <c r="C317" s="343">
        <v>98071.65</v>
      </c>
      <c r="D317" s="16"/>
      <c r="E317" s="16"/>
    </row>
    <row r="318" spans="1:6" x14ac:dyDescent="0.25">
      <c r="A318" s="16" t="s">
        <v>458</v>
      </c>
      <c r="B318" s="35" t="s">
        <v>299</v>
      </c>
      <c r="C318" s="343">
        <v>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343">
        <v>2272612.7199999997</v>
      </c>
      <c r="D319" s="16"/>
      <c r="E319" s="16"/>
    </row>
    <row r="320" spans="1:6" x14ac:dyDescent="0.25">
      <c r="A320" s="16" t="s">
        <v>460</v>
      </c>
      <c r="B320" s="35" t="s">
        <v>299</v>
      </c>
      <c r="C320" s="343">
        <v>0</v>
      </c>
      <c r="D320" s="16"/>
      <c r="E320" s="16"/>
    </row>
    <row r="321" spans="1:5" x14ac:dyDescent="0.25">
      <c r="A321" s="16" t="s">
        <v>461</v>
      </c>
      <c r="B321" s="35" t="s">
        <v>299</v>
      </c>
      <c r="C321" s="343">
        <v>0</v>
      </c>
      <c r="D321" s="16"/>
      <c r="E321" s="16"/>
    </row>
    <row r="322" spans="1:5" x14ac:dyDescent="0.25">
      <c r="A322" s="16" t="s">
        <v>462</v>
      </c>
      <c r="B322" s="35" t="s">
        <v>299</v>
      </c>
      <c r="C322" s="343">
        <v>204997.23</v>
      </c>
      <c r="D322" s="16"/>
      <c r="E322" s="16"/>
    </row>
    <row r="323" spans="1:5" x14ac:dyDescent="0.25">
      <c r="A323" s="16" t="s">
        <v>463</v>
      </c>
      <c r="B323" s="35" t="s">
        <v>299</v>
      </c>
      <c r="C323" s="343">
        <v>6600928.2200000007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v>24465828.600000001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467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468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469</v>
      </c>
      <c r="B329" s="16"/>
      <c r="C329" s="22"/>
      <c r="D329" s="25">
        <v>0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472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473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474</v>
      </c>
      <c r="B334" s="35" t="s">
        <v>299</v>
      </c>
      <c r="C334" s="343">
        <v>37092186.359999999</v>
      </c>
      <c r="D334" s="16"/>
      <c r="E334" s="16"/>
    </row>
    <row r="335" spans="1:5" x14ac:dyDescent="0.25">
      <c r="A335" s="16" t="s">
        <v>475</v>
      </c>
      <c r="B335" s="35" t="s">
        <v>299</v>
      </c>
      <c r="C335" s="343">
        <v>62378791.049999997</v>
      </c>
      <c r="D335" s="16"/>
      <c r="E335" s="16"/>
    </row>
    <row r="336" spans="1:5" x14ac:dyDescent="0.25">
      <c r="A336" s="21" t="s">
        <v>476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477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478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99470977.409999996</v>
      </c>
      <c r="E339" s="16"/>
    </row>
    <row r="340" spans="1:5" x14ac:dyDescent="0.25">
      <c r="A340" s="16" t="s">
        <v>479</v>
      </c>
      <c r="B340" s="16"/>
      <c r="C340" s="22"/>
      <c r="D340" s="25">
        <v>6600928.2200000007</v>
      </c>
      <c r="E340" s="16"/>
    </row>
    <row r="341" spans="1:5" x14ac:dyDescent="0.25">
      <c r="A341" s="16" t="s">
        <v>480</v>
      </c>
      <c r="B341" s="16"/>
      <c r="C341" s="22"/>
      <c r="D341" s="25">
        <v>92870049.189999998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344">
        <v>114947820.8499999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483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484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485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486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487</v>
      </c>
      <c r="B350" s="16"/>
      <c r="C350" s="22"/>
      <c r="D350" s="25">
        <v>232283698.6399999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v>232283698.63999999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343">
        <v>69086651.879999995</v>
      </c>
      <c r="D358" s="16"/>
      <c r="E358" s="16"/>
    </row>
    <row r="359" spans="1:5" x14ac:dyDescent="0.25">
      <c r="A359" s="16" t="s">
        <v>492</v>
      </c>
      <c r="B359" s="35" t="s">
        <v>299</v>
      </c>
      <c r="C359" s="343">
        <v>266733237.40000001</v>
      </c>
      <c r="D359" s="16"/>
      <c r="E359" s="16"/>
    </row>
    <row r="360" spans="1:5" x14ac:dyDescent="0.25">
      <c r="A360" s="16" t="s">
        <v>493</v>
      </c>
      <c r="B360" s="16"/>
      <c r="C360" s="22"/>
      <c r="D360" s="16">
        <v>335819889.27999997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343">
        <v>2040032.9900000002</v>
      </c>
      <c r="D362" s="16"/>
      <c r="E362" s="34"/>
    </row>
    <row r="363" spans="1:5" x14ac:dyDescent="0.25">
      <c r="A363" s="16" t="s">
        <v>495</v>
      </c>
      <c r="B363" s="35" t="s">
        <v>299</v>
      </c>
      <c r="C363" s="343">
        <v>185921079.64000002</v>
      </c>
      <c r="D363" s="16"/>
      <c r="E363" s="16"/>
    </row>
    <row r="364" spans="1:5" x14ac:dyDescent="0.25">
      <c r="A364" s="16" t="s">
        <v>496</v>
      </c>
      <c r="B364" s="35" t="s">
        <v>299</v>
      </c>
      <c r="C364" s="343">
        <v>4897833.38</v>
      </c>
      <c r="D364" s="16"/>
      <c r="E364" s="16"/>
    </row>
    <row r="365" spans="1:5" x14ac:dyDescent="0.25">
      <c r="A365" s="16" t="s">
        <v>497</v>
      </c>
      <c r="B365" s="35" t="s">
        <v>299</v>
      </c>
      <c r="C365" s="343">
        <v>5769987.7800000003</v>
      </c>
      <c r="D365" s="16"/>
      <c r="E365" s="16"/>
    </row>
    <row r="366" spans="1:5" x14ac:dyDescent="0.25">
      <c r="A366" s="16" t="s">
        <v>416</v>
      </c>
      <c r="B366" s="16"/>
      <c r="C366" s="22"/>
      <c r="D366" s="16">
        <v>198628933.79000002</v>
      </c>
      <c r="E366" s="16"/>
    </row>
    <row r="367" spans="1:5" x14ac:dyDescent="0.25">
      <c r="A367" s="16" t="s">
        <v>498</v>
      </c>
      <c r="B367" s="16"/>
      <c r="C367" s="22"/>
      <c r="D367" s="16">
        <v>137190955.48999995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343">
        <v>4690606.6399999997</v>
      </c>
      <c r="D380" s="25">
        <v>0</v>
      </c>
      <c r="E380" s="204" t="s">
        <v>1058</v>
      </c>
      <c r="F380" s="47"/>
    </row>
    <row r="381" spans="1:6" x14ac:dyDescent="0.25">
      <c r="A381" s="48" t="s">
        <v>512</v>
      </c>
      <c r="B381" s="35"/>
      <c r="C381" s="35"/>
      <c r="D381" s="25">
        <v>4690606.6399999997</v>
      </c>
      <c r="E381" s="25"/>
      <c r="F381" s="47"/>
    </row>
    <row r="382" spans="1:6" x14ac:dyDescent="0.25">
      <c r="A382" s="43" t="s">
        <v>513</v>
      </c>
      <c r="B382" s="35" t="s">
        <v>299</v>
      </c>
      <c r="C382" s="343">
        <v>2444827.8200000003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v>7135434.46</v>
      </c>
      <c r="E383" s="16"/>
    </row>
    <row r="384" spans="1:6" x14ac:dyDescent="0.25">
      <c r="A384" s="16" t="s">
        <v>515</v>
      </c>
      <c r="B384" s="16"/>
      <c r="C384" s="22"/>
      <c r="D384" s="25">
        <v>144326389.94999996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343">
        <v>60854332.469999999</v>
      </c>
      <c r="D389" s="16"/>
      <c r="E389" s="16"/>
    </row>
    <row r="390" spans="1:5" x14ac:dyDescent="0.25">
      <c r="A390" s="16" t="s">
        <v>10</v>
      </c>
      <c r="B390" s="35" t="s">
        <v>299</v>
      </c>
      <c r="C390" s="343">
        <v>18816586.150000002</v>
      </c>
      <c r="D390" s="16"/>
      <c r="E390" s="16"/>
    </row>
    <row r="391" spans="1:5" x14ac:dyDescent="0.25">
      <c r="A391" s="16" t="s">
        <v>263</v>
      </c>
      <c r="B391" s="35" t="s">
        <v>299</v>
      </c>
      <c r="C391" s="343">
        <v>11313643.48</v>
      </c>
      <c r="D391" s="16"/>
      <c r="E391" s="16"/>
    </row>
    <row r="392" spans="1:5" x14ac:dyDescent="0.25">
      <c r="A392" s="16" t="s">
        <v>518</v>
      </c>
      <c r="B392" s="35" t="s">
        <v>299</v>
      </c>
      <c r="C392" s="343">
        <v>15201655.91</v>
      </c>
      <c r="D392" s="16"/>
      <c r="E392" s="16"/>
    </row>
    <row r="393" spans="1:5" x14ac:dyDescent="0.25">
      <c r="A393" s="16" t="s">
        <v>519</v>
      </c>
      <c r="B393" s="35" t="s">
        <v>299</v>
      </c>
      <c r="C393" s="343">
        <v>1314812.7</v>
      </c>
      <c r="D393" s="16"/>
      <c r="E393" s="16"/>
    </row>
    <row r="394" spans="1:5" x14ac:dyDescent="0.25">
      <c r="A394" s="16" t="s">
        <v>520</v>
      </c>
      <c r="B394" s="35" t="s">
        <v>299</v>
      </c>
      <c r="C394" s="343">
        <v>13049019.969999999</v>
      </c>
      <c r="D394" s="16"/>
      <c r="E394" s="16"/>
    </row>
    <row r="395" spans="1:5" x14ac:dyDescent="0.25">
      <c r="A395" s="16" t="s">
        <v>15</v>
      </c>
      <c r="B395" s="35" t="s">
        <v>299</v>
      </c>
      <c r="C395" s="343">
        <v>12671902.43</v>
      </c>
      <c r="D395" s="16"/>
      <c r="E395" s="16"/>
    </row>
    <row r="396" spans="1:5" x14ac:dyDescent="0.25">
      <c r="A396" s="16" t="s">
        <v>521</v>
      </c>
      <c r="B396" s="35" t="s">
        <v>299</v>
      </c>
      <c r="C396" s="343">
        <v>324369.43000000005</v>
      </c>
      <c r="D396" s="16"/>
      <c r="E396" s="16"/>
    </row>
    <row r="397" spans="1:5" x14ac:dyDescent="0.25">
      <c r="A397" s="16" t="s">
        <v>522</v>
      </c>
      <c r="B397" s="35" t="s">
        <v>299</v>
      </c>
      <c r="C397" s="343">
        <v>1262762.68</v>
      </c>
      <c r="D397" s="16"/>
      <c r="E397" s="16"/>
    </row>
    <row r="398" spans="1:5" x14ac:dyDescent="0.25">
      <c r="A398" s="16" t="s">
        <v>523</v>
      </c>
      <c r="B398" s="35" t="s">
        <v>299</v>
      </c>
      <c r="C398" s="343">
        <v>683332.67999999993</v>
      </c>
      <c r="D398" s="16"/>
      <c r="E398" s="16"/>
    </row>
    <row r="399" spans="1:5" x14ac:dyDescent="0.25">
      <c r="A399" s="16" t="s">
        <v>524</v>
      </c>
      <c r="B399" s="35" t="s">
        <v>299</v>
      </c>
      <c r="C399" s="343">
        <v>3187322.12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343">
        <v>1625825.3</v>
      </c>
      <c r="D414" s="25">
        <v>0</v>
      </c>
      <c r="E414" s="204" t="s">
        <v>1058</v>
      </c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v>1625825.3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v>140305565.32000005</v>
      </c>
      <c r="E416" s="25"/>
    </row>
    <row r="417" spans="1:13" x14ac:dyDescent="0.25">
      <c r="A417" s="25" t="s">
        <v>529</v>
      </c>
      <c r="B417" s="16"/>
      <c r="C417" s="22"/>
      <c r="D417" s="25">
        <v>4020824.6299999058</v>
      </c>
      <c r="E417" s="25"/>
    </row>
    <row r="418" spans="1:13" x14ac:dyDescent="0.25">
      <c r="A418" s="25" t="s">
        <v>530</v>
      </c>
      <c r="B418" s="16"/>
      <c r="C418" s="343">
        <v>7360559.2899999991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v>7360559.2899999991</v>
      </c>
      <c r="E420" s="25"/>
      <c r="F420" s="11">
        <v>4173237.169999999</v>
      </c>
    </row>
    <row r="421" spans="1:13" x14ac:dyDescent="0.25">
      <c r="A421" s="25" t="s">
        <v>533</v>
      </c>
      <c r="B421" s="16"/>
      <c r="C421" s="22"/>
      <c r="D421" s="25">
        <v>11381383.919999905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16">
        <v>11381383.919999905</v>
      </c>
      <c r="E424" s="16"/>
    </row>
    <row r="426" spans="1:13" ht="29.1" customHeight="1" x14ac:dyDescent="0.25">
      <c r="A426" s="350" t="s">
        <v>537</v>
      </c>
      <c r="B426" s="350"/>
      <c r="C426" s="350"/>
      <c r="D426" s="350"/>
      <c r="E426" s="350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198275</v>
      </c>
      <c r="E612" s="219">
        <f>SUM(C624:D647)+SUM(C668:D713)</f>
        <v>118859093.79976508</v>
      </c>
      <c r="F612" s="219">
        <f>CE64-(AX64+BD64+BE64+BG64+BJ64+BN64+BP64+BQ64+CB64+CC64+CD64)</f>
        <v>14915903.389999997</v>
      </c>
      <c r="G612" s="217">
        <f>CE91-(AX91+AY91+BD91+BE91+BG91+BJ91+BN91+BP91+BQ91+CB91+CC91+CD91)</f>
        <v>33431.114391143914</v>
      </c>
      <c r="H612" s="222">
        <f>CE60-(AX60+AY60+AZ60+BD60+BE60+BG60+BJ60+BN60+BO60+BP60+BQ60+BR60+CB60+CC60+CD60)</f>
        <v>529.38443573057702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228298</v>
      </c>
      <c r="K612" s="217">
        <f>CE89-(AW89+AX89+AY89+AZ89+BA89+BB89+BC89+BD89+BE89+BF89+BG89+BH89+BI89+BJ89+BK89+BL89+BM89+BN89+BO89+BP89+BQ89+BR89+BS89+BT89+BU89+BV89+BW89+BX89+CB89+CC89+CD89)</f>
        <v>335819888.82999998</v>
      </c>
      <c r="L612" s="223">
        <f>CE94-(AW94+AX94+AY94+AZ94+BA94+BB94+BC94+BD94+BE94+BF94+BG94+BH94+BI94+BJ94+BK94+BL94+BM94+BN94+BO94+BP94+BQ94+BR94+BS94+BT94+BU94+BV94+BW94+BX94+BY94+BZ94+CA94+CB94+CC94+CD94)</f>
        <v>129.30452536528844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3340048.48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-3651760.9499999997</v>
      </c>
      <c r="D615" s="217">
        <f>SUM(C614:C615)</f>
        <v>-311712.46999999974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1106043.21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3826708.41</v>
      </c>
      <c r="D619" s="217">
        <f>(D615/D612)*BN90</f>
        <v>-15339.193391955605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4029342.73</v>
      </c>
      <c r="D620" s="217">
        <f>(D615/D612)*CC90</f>
        <v>-4529.2831979321609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457557.25</v>
      </c>
      <c r="D621" s="217">
        <f>(D615/D612)*BP90</f>
        <v>-4477.4031751859757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0</v>
      </c>
      <c r="D623" s="217">
        <f>(D615/D612)*BQ90</f>
        <v>0</v>
      </c>
      <c r="E623" s="219">
        <f>SUM(C616:D623)</f>
        <v>9395305.7202349268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971067.47</v>
      </c>
      <c r="D624" s="217">
        <f>(D615/D612)*BD90</f>
        <v>-5348.3587085613372</v>
      </c>
      <c r="E624" s="219">
        <f>(E623/E612)*SUM(C624:D624)</f>
        <v>76335.987431822199</v>
      </c>
      <c r="F624" s="219">
        <f>SUM(C624:E624)</f>
        <v>1042055.0987232609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1873620.7600000005</v>
      </c>
      <c r="D625" s="217">
        <f>(D615/D612)*AY90</f>
        <v>-7923.4943830538323</v>
      </c>
      <c r="E625" s="219">
        <f>(E623/E612)*SUM(C625:D625)</f>
        <v>147475.43188750278</v>
      </c>
      <c r="F625" s="219">
        <f>(F624/F612)*AY64</f>
        <v>59459.407020233964</v>
      </c>
      <c r="G625" s="217">
        <f>SUM(C625:F625)</f>
        <v>2072632.1045246834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1607561.71</v>
      </c>
      <c r="D626" s="217">
        <f>(D615/D612)*BR90</f>
        <v>-3347.0475280796845</v>
      </c>
      <c r="E626" s="219">
        <f>(E623/E612)*SUM(C626:D626)</f>
        <v>126806.34449559436</v>
      </c>
      <c r="F626" s="219">
        <f>(F624/F612)*BR64</f>
        <v>1165.3571304732702</v>
      </c>
      <c r="G626" s="217">
        <f>(G625/G612)*BR91</f>
        <v>0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327435.5</v>
      </c>
      <c r="D627" s="217">
        <f>(D615/D612)*BO90</f>
        <v>-215.38070049174109</v>
      </c>
      <c r="E627" s="219">
        <f>(E623/E612)*SUM(C627:D627)</f>
        <v>25865.35838654275</v>
      </c>
      <c r="F627" s="219">
        <f>(F624/F612)*BO64</f>
        <v>3181.1550752473004</v>
      </c>
      <c r="G627" s="217">
        <f>(G625/G612)*BO91</f>
        <v>0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2088452.996859286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2905389.3100000005</v>
      </c>
      <c r="D629" s="217">
        <f>(D615/D612)*BF90</f>
        <v>-3169.3977532215331</v>
      </c>
      <c r="E629" s="219">
        <f>(E623/E612)*SUM(C629:D629)</f>
        <v>229408.13757883254</v>
      </c>
      <c r="F629" s="219">
        <f>(F624/F612)*BF64</f>
        <v>12525.562455469582</v>
      </c>
      <c r="G629" s="217">
        <f>(G625/G612)*BF91</f>
        <v>0</v>
      </c>
      <c r="H629" s="219">
        <f>(H628/H612)*BF60</f>
        <v>123238.53221614023</v>
      </c>
      <c r="I629" s="217">
        <f>SUM(C629:H629)</f>
        <v>3267392.1444972213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402799.11</v>
      </c>
      <c r="D630" s="217">
        <f>(D615/D612)*BA90</f>
        <v>-2296.8700979447717</v>
      </c>
      <c r="E630" s="219">
        <f>(E623/E612)*SUM(C630:D630)</f>
        <v>31657.998266903476</v>
      </c>
      <c r="F630" s="219">
        <f>(F624/F612)*BA64</f>
        <v>5011.7453194054642</v>
      </c>
      <c r="G630" s="217">
        <f>(G625/G612)*BA91</f>
        <v>0</v>
      </c>
      <c r="H630" s="219">
        <f>(H628/H612)*BA60</f>
        <v>3923.4240027624628</v>
      </c>
      <c r="I630" s="217" t="e">
        <f>(I629/I612)*BA92</f>
        <v>#DIV/0!</v>
      </c>
      <c r="J630" s="217" t="e">
        <f>SUM(C630:I630)</f>
        <v>#DIV/0!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 t="e">
        <f>(I629/I612)*AW92</f>
        <v>#DIV/0!</v>
      </c>
      <c r="J631" s="217" t="e">
        <f>(J630/J612)*AW93</f>
        <v>#DIV/0!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 t="e">
        <f>(I629/I612)*BB92</f>
        <v>#DIV/0!</v>
      </c>
      <c r="J632" s="217" t="e">
        <f>(J630/J612)*BB93</f>
        <v>#DIV/0!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 t="e">
        <f>(I629/I612)*BC92</f>
        <v>#DIV/0!</v>
      </c>
      <c r="J633" s="217" t="e">
        <f>(J630/J612)*BC93</f>
        <v>#DIV/0!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 t="e">
        <f>(I629/I612)*BI92</f>
        <v>#DIV/0!</v>
      </c>
      <c r="J634" s="217" t="e">
        <f>(J630/J612)*BI93</f>
        <v>#DIV/0!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2622068.1100000003</v>
      </c>
      <c r="D635" s="217">
        <f>(D615/D612)*BK90</f>
        <v>-4601.6008053965415</v>
      </c>
      <c r="E635" s="219">
        <f>(E623/E612)*SUM(C635:D635)</f>
        <v>206899.59245178101</v>
      </c>
      <c r="F635" s="219">
        <f>(F624/F612)*BK64</f>
        <v>1270.7146413254893</v>
      </c>
      <c r="G635" s="217">
        <f>(G625/G612)*BK91</f>
        <v>0</v>
      </c>
      <c r="H635" s="219">
        <f>(H628/H612)*BK60</f>
        <v>91259.135949908159</v>
      </c>
      <c r="I635" s="217" t="e">
        <f>(I629/I612)*BK92</f>
        <v>#DIV/0!</v>
      </c>
      <c r="J635" s="217" t="e">
        <f>(J630/J612)*BK93</f>
        <v>#DIV/0!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12106910.67</v>
      </c>
      <c r="D636" s="217">
        <f>(D615/D612)*BH90</f>
        <v>-13364.608283797745</v>
      </c>
      <c r="E636" s="219">
        <f>(E623/E612)*SUM(C636:D636)</f>
        <v>955943.36839703703</v>
      </c>
      <c r="F636" s="219">
        <f>(F624/F612)*BH64</f>
        <v>35013.982305049125</v>
      </c>
      <c r="G636" s="217">
        <f>(G625/G612)*BH91</f>
        <v>0</v>
      </c>
      <c r="H636" s="219">
        <f>(H628/H612)*BH60</f>
        <v>0</v>
      </c>
      <c r="I636" s="217" t="e">
        <f>(I629/I612)*BH92</f>
        <v>#DIV/0!</v>
      </c>
      <c r="J636" s="217" t="e">
        <f>(J630/J612)*BH93</f>
        <v>#DIV/0!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1966038.59</v>
      </c>
      <c r="D637" s="217">
        <f>(D615/D612)*BL90</f>
        <v>-5807.4183037700113</v>
      </c>
      <c r="E637" s="219">
        <f>(E623/E612)*SUM(C637:D637)</f>
        <v>154947.93500147655</v>
      </c>
      <c r="F637" s="219">
        <f>(F624/F612)*BL64</f>
        <v>1015.8056061801162</v>
      </c>
      <c r="G637" s="217">
        <f>(G625/G612)*BL91</f>
        <v>0</v>
      </c>
      <c r="H637" s="219">
        <f>(H628/H612)*BL60</f>
        <v>99360.832904434501</v>
      </c>
      <c r="I637" s="217" t="e">
        <f>(I629/I612)*BL92</f>
        <v>#DIV/0!</v>
      </c>
      <c r="J637" s="217" t="e">
        <f>(J630/J612)*BL93</f>
        <v>#DIV/0!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 t="e">
        <f>(I629/I612)*BM92</f>
        <v>#DIV/0!</v>
      </c>
      <c r="J638" s="217" t="e">
        <f>(J630/J612)*BM93</f>
        <v>#DIV/0!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 t="e">
        <f>(I629/I612)*BS92</f>
        <v>#DIV/0!</v>
      </c>
      <c r="J639" s="217" t="e">
        <f>(J630/J612)*BS93</f>
        <v>#DIV/0!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 t="e">
        <f>(I629/I612)*BT92</f>
        <v>#DIV/0!</v>
      </c>
      <c r="J640" s="217" t="e">
        <f>(J630/J612)*BT93</f>
        <v>#DIV/0!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 t="e">
        <f>(I629/I612)*BU92</f>
        <v>#DIV/0!</v>
      </c>
      <c r="J641" s="217" t="e">
        <f>(J630/J612)*BU93</f>
        <v>#DIV/0!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2345189.02</v>
      </c>
      <c r="D642" s="217">
        <f>(D615/D612)*BV90</f>
        <v>-7146.8661637624455</v>
      </c>
      <c r="E642" s="219">
        <f>(E623/E612)*SUM(C642:D642)</f>
        <v>184812.28587434685</v>
      </c>
      <c r="F642" s="219">
        <f>(F624/F612)*BV64</f>
        <v>423.03267808273296</v>
      </c>
      <c r="G642" s="217">
        <f>(G625/G612)*BV91</f>
        <v>0</v>
      </c>
      <c r="H642" s="219">
        <f>(H628/H612)*BV60</f>
        <v>90222.917472672169</v>
      </c>
      <c r="I642" s="217" t="e">
        <f>(I629/I612)*BV92</f>
        <v>#DIV/0!</v>
      </c>
      <c r="J642" s="217" t="e">
        <f>(J630/J612)*BV93</f>
        <v>#DIV/0!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358521.39</v>
      </c>
      <c r="D643" s="217">
        <f>(D615/D612)*BW90</f>
        <v>-1606.7085832303605</v>
      </c>
      <c r="E643" s="219">
        <f>(E623/E612)*SUM(C643:D643)</f>
        <v>28212.587196735214</v>
      </c>
      <c r="F643" s="219">
        <f>(F624/F612)*BW64</f>
        <v>150.6860834519785</v>
      </c>
      <c r="G643" s="217">
        <f>(G625/G612)*BW91</f>
        <v>0</v>
      </c>
      <c r="H643" s="219">
        <f>(H628/H612)*BW60</f>
        <v>7916.074834685829</v>
      </c>
      <c r="I643" s="217" t="e">
        <f>(I629/I612)*BW92</f>
        <v>#DIV/0!</v>
      </c>
      <c r="J643" s="217" t="e">
        <f>(J630/J612)*BW93</f>
        <v>#DIV/0!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2552279.1599999997</v>
      </c>
      <c r="D645" s="217">
        <f>(D615/D612)*BY90</f>
        <v>-1446.3521492876043</v>
      </c>
      <c r="E645" s="219">
        <f>(E623/E612)*SUM(C645:D645)</f>
        <v>201632.48183043173</v>
      </c>
      <c r="F645" s="219">
        <f>(F624/F612)*BY64</f>
        <v>316.25696828198329</v>
      </c>
      <c r="G645" s="217">
        <f>(G625/G612)*BY91</f>
        <v>0</v>
      </c>
      <c r="H645" s="219">
        <f>(H628/H612)*BY60</f>
        <v>52201.519947147695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239963.35</v>
      </c>
      <c r="D647" s="217">
        <f>(D615/D612)*CA90</f>
        <v>-1644.4395088639501</v>
      </c>
      <c r="E647" s="219">
        <f>(E623/E612)*SUM(C647:D647)</f>
        <v>18838.096029484885</v>
      </c>
      <c r="F647" s="219">
        <f>(F624/F612)*CA64</f>
        <v>303.52321841259038</v>
      </c>
      <c r="G647" s="217">
        <f>(G625/G612)*CA91</f>
        <v>0</v>
      </c>
      <c r="H647" s="219">
        <f>(H628/H612)*CA60</f>
        <v>4160.9475836792917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39386783.280000009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336</v>
      </c>
      <c r="C668" s="217">
        <f>C85</f>
        <v>3829377.5799999996</v>
      </c>
      <c r="D668" s="217">
        <f>(D615/D612)*C90</f>
        <v>-10247.090553322398</v>
      </c>
      <c r="E668" s="219">
        <f>(E623/E612)*SUM(C668:D668)</f>
        <v>301886.01802963519</v>
      </c>
      <c r="F668" s="219">
        <f>(F624/F612)*C64</f>
        <v>15931.51952956328</v>
      </c>
      <c r="G668" s="217">
        <f>(G625/G612)*C91</f>
        <v>337559.53042878996</v>
      </c>
      <c r="H668" s="219">
        <f>(H628/H612)*C60</f>
        <v>82585.183286665502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337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9126983.6300000008</v>
      </c>
      <c r="D670" s="217">
        <f>(D615/D612)*E90</f>
        <v>-30033.816804337384</v>
      </c>
      <c r="E670" s="219">
        <f>(E623/E612)*SUM(C670:D670)</f>
        <v>719075.18292703142</v>
      </c>
      <c r="F670" s="219">
        <f>(F624/F612)*E64</f>
        <v>16867.181525507636</v>
      </c>
      <c r="G670" s="217">
        <f>(G625/G612)*E91</f>
        <v>1650164.3261164159</v>
      </c>
      <c r="H670" s="219">
        <f>(H628/H612)*E60</f>
        <v>177290.96540084635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46131.409999999996</v>
      </c>
      <c r="D675" s="217">
        <f>(D615/D612)*J90</f>
        <v>-757.76275647459272</v>
      </c>
      <c r="E675" s="219">
        <f>(E623/E612)*SUM(C675:D675)</f>
        <v>3586.5937882142803</v>
      </c>
      <c r="F675" s="219">
        <f>(F624/F612)*J64</f>
        <v>1936.9432887550413</v>
      </c>
      <c r="G675" s="217">
        <f>(G625/G612)*J91</f>
        <v>0</v>
      </c>
      <c r="H675" s="219">
        <f>(H628/H612)*J60</f>
        <v>0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342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343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194635.97000000003</v>
      </c>
      <c r="D680" s="217">
        <f>(D615/D612)*O90</f>
        <v>-1532.8188538645807</v>
      </c>
      <c r="E680" s="219">
        <f>(E623/E612)*SUM(C680:D680)</f>
        <v>15263.982607969889</v>
      </c>
      <c r="F680" s="219">
        <f>(F624/F612)*O64</f>
        <v>6632.3988047304529</v>
      </c>
      <c r="G680" s="217">
        <f>(G625/G612)*O91</f>
        <v>0</v>
      </c>
      <c r="H680" s="219">
        <f>(H628/H612)*O60</f>
        <v>0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4207952.3199999994</v>
      </c>
      <c r="D681" s="217">
        <f>(D615/D612)*P90</f>
        <v>-10322.552404589576</v>
      </c>
      <c r="E681" s="219">
        <f>(E623/E612)*SUM(C681:D681)</f>
        <v>331804.77577387943</v>
      </c>
      <c r="F681" s="219">
        <f>(F624/F612)*P64</f>
        <v>64511.012812155372</v>
      </c>
      <c r="G681" s="217">
        <f>(G625/G612)*P91</f>
        <v>20216.249518923229</v>
      </c>
      <c r="H681" s="219">
        <f>(H628/H612)*P60</f>
        <v>62025.016425518254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2407877.38</v>
      </c>
      <c r="D682" s="217">
        <f>(D615/D612)*Q90</f>
        <v>-11235.955229302726</v>
      </c>
      <c r="E682" s="219">
        <f>(E623/E612)*SUM(C682:D682)</f>
        <v>189444.30895151765</v>
      </c>
      <c r="F682" s="219">
        <f>(F624/F612)*Q64</f>
        <v>9579.9709241933888</v>
      </c>
      <c r="G682" s="217">
        <f>(G625/G612)*Q91</f>
        <v>0</v>
      </c>
      <c r="H682" s="219">
        <f>(H628/H612)*Q60</f>
        <v>53521.287568722437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1472899.1500000001</v>
      </c>
      <c r="D683" s="217">
        <f>(D615/D612)*R90</f>
        <v>-490.50203323666585</v>
      </c>
      <c r="E683" s="219">
        <f>(E623/E612)*SUM(C683:D683)</f>
        <v>116387.63977176519</v>
      </c>
      <c r="F683" s="219">
        <f>(F624/F612)*R64</f>
        <v>4046.6267025419702</v>
      </c>
      <c r="G683" s="217">
        <f>(G625/G612)*R91</f>
        <v>0</v>
      </c>
      <c r="H683" s="219">
        <f>(H628/H612)*R60</f>
        <v>13328.141623995034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4352740.25</v>
      </c>
      <c r="D684" s="217">
        <f>(D615/D612)*S90</f>
        <v>-4669.202047156723</v>
      </c>
      <c r="E684" s="219">
        <f>(E623/E612)*SUM(C684:D684)</f>
        <v>343696.51898607996</v>
      </c>
      <c r="F684" s="219">
        <f>(F624/F612)*S64</f>
        <v>292336.676788493</v>
      </c>
      <c r="G684" s="217">
        <f>(G625/G612)*S91</f>
        <v>0</v>
      </c>
      <c r="H684" s="219">
        <f>(H628/H612)*S60</f>
        <v>0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7437124.129999999</v>
      </c>
      <c r="D686" s="217">
        <f>(D615/D612)*U90</f>
        <v>-6906.3315128483109</v>
      </c>
      <c r="E686" s="219">
        <f>(E623/E612)*SUM(C686:D686)</f>
        <v>587327.10769544553</v>
      </c>
      <c r="F686" s="219">
        <f>(F624/F612)*U64</f>
        <v>147384.88726711043</v>
      </c>
      <c r="G686" s="217">
        <f>(G625/G612)*U91</f>
        <v>0</v>
      </c>
      <c r="H686" s="219">
        <f>(H628/H612)*U60</f>
        <v>122499.09471857223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404984.59</v>
      </c>
      <c r="D688" s="217">
        <f>(D615/D612)*W90</f>
        <v>-3359.624503290881</v>
      </c>
      <c r="E688" s="219">
        <f>(E623/E612)*SUM(C688:D688)</f>
        <v>31746.744948915675</v>
      </c>
      <c r="F688" s="219">
        <f>(F624/F612)*W64</f>
        <v>924.05372317155911</v>
      </c>
      <c r="G688" s="217">
        <f>(G625/G612)*W91</f>
        <v>0</v>
      </c>
      <c r="H688" s="219">
        <f>(H628/H612)*W60</f>
        <v>8324.6368460711019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952443.55</v>
      </c>
      <c r="D689" s="217">
        <f>(D615/D612)*X90</f>
        <v>-1245.1205459084595</v>
      </c>
      <c r="E689" s="219">
        <f>(E623/E612)*SUM(C689:D689)</f>
        <v>75188.189305765743</v>
      </c>
      <c r="F689" s="219">
        <f>(F624/F612)*X64</f>
        <v>9016.0391326438839</v>
      </c>
      <c r="G689" s="217">
        <f>(G625/G612)*X91</f>
        <v>0</v>
      </c>
      <c r="H689" s="219">
        <f>(H628/H612)*X60</f>
        <v>17712.384970122148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4095479.32</v>
      </c>
      <c r="D690" s="217">
        <f>(D615/D612)*Y90</f>
        <v>-11602.259632328827</v>
      </c>
      <c r="E690" s="219">
        <f>(E623/E612)*SUM(C690:D690)</f>
        <v>322813.1081888192</v>
      </c>
      <c r="F690" s="219">
        <f>(F624/F612)*Y64</f>
        <v>8458.2454179228444</v>
      </c>
      <c r="G690" s="217">
        <f>(G625/G612)*Y91</f>
        <v>0</v>
      </c>
      <c r="H690" s="219">
        <f>(H628/H612)*Y60</f>
        <v>94224.680551001031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245463.35000000003</v>
      </c>
      <c r="D692" s="217">
        <f>(D615/D612)*AA90</f>
        <v>-1084.7641119657033</v>
      </c>
      <c r="E692" s="219">
        <f>(E623/E612)*SUM(C692:D692)</f>
        <v>19317.087590830255</v>
      </c>
      <c r="F692" s="219">
        <f>(F624/F612)*AA64</f>
        <v>3742.8631587903187</v>
      </c>
      <c r="G692" s="217">
        <f>(G625/G612)*AA91</f>
        <v>0</v>
      </c>
      <c r="H692" s="219">
        <f>(H628/H612)*AA60</f>
        <v>3959.5615805757652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2099588.2600000007</v>
      </c>
      <c r="D693" s="217">
        <f>(D615/D612)*AB90</f>
        <v>-6025.9432480645519</v>
      </c>
      <c r="E693" s="219">
        <f>(E623/E612)*SUM(C693:D693)</f>
        <v>165487.19480718966</v>
      </c>
      <c r="F693" s="219">
        <f>(F624/F612)*AB64</f>
        <v>207016.84229182903</v>
      </c>
      <c r="G693" s="217">
        <f>(G625/G612)*AB91</f>
        <v>0</v>
      </c>
      <c r="H693" s="219">
        <f>(H628/H612)*AB60</f>
        <v>58057.155556719394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1568008.4999999998</v>
      </c>
      <c r="D694" s="217">
        <f>(D615/D612)*AC90</f>
        <v>-1267.1302525280535</v>
      </c>
      <c r="E694" s="219">
        <f>(E623/E612)*SUM(C694:D694)</f>
        <v>123844.24012280513</v>
      </c>
      <c r="F694" s="219">
        <f>(F624/F612)*AC64</f>
        <v>9289.8737882403348</v>
      </c>
      <c r="G694" s="217">
        <f>(G625/G612)*AC91</f>
        <v>0</v>
      </c>
      <c r="H694" s="219">
        <f>(H628/H612)*AC60</f>
        <v>33382.012454457552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3188611.8999999994</v>
      </c>
      <c r="D696" s="217">
        <f>(D615/D612)*AE90</f>
        <v>-12661.869793872136</v>
      </c>
      <c r="E696" s="219">
        <f>(E623/E612)*SUM(C696:D696)</f>
        <v>251045.33891402502</v>
      </c>
      <c r="F696" s="219">
        <f>(F624/F612)*AE64</f>
        <v>3253.5663574227929</v>
      </c>
      <c r="G696" s="217">
        <f>(G625/G612)*AE91</f>
        <v>0</v>
      </c>
      <c r="H696" s="219">
        <f>(H628/H612)*AE60</f>
        <v>82899.95944858907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10298935.840000004</v>
      </c>
      <c r="D698" s="217">
        <f>(D615/D612)*AG90</f>
        <v>-15002.759305056095</v>
      </c>
      <c r="E698" s="219">
        <f>(E623/E612)*SUM(C698:D698)</f>
        <v>812901.1606157592</v>
      </c>
      <c r="F698" s="219">
        <f>(F624/F612)*AG64</f>
        <v>27833.991735964821</v>
      </c>
      <c r="G698" s="217">
        <f>(G625/G612)*AG91</f>
        <v>64691.998460554336</v>
      </c>
      <c r="H698" s="219">
        <f>(H628/H612)*AG60</f>
        <v>121382.77418002633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>
        <f>(D615/D612)*AJ90</f>
        <v>0</v>
      </c>
      <c r="E701" s="219">
        <f>(E623/E612)*SUM(C701:D701)</f>
        <v>0</v>
      </c>
      <c r="F701" s="219">
        <f>(F624/F612)*AJ64</f>
        <v>0</v>
      </c>
      <c r="G701" s="217">
        <f>(G625/G612)*AJ91</f>
        <v>0</v>
      </c>
      <c r="H701" s="219">
        <f>(H628/H612)*AJ60</f>
        <v>0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32355482.57</v>
      </c>
      <c r="D707" s="217">
        <f>(D615/D612)*AP90</f>
        <v>-100581.21500774169</v>
      </c>
      <c r="E707" s="219">
        <f>(E623/E612)*SUM(C707:D707)</f>
        <v>2549612.7348631276</v>
      </c>
      <c r="F707" s="219">
        <f>(F624/F612)*AP64</f>
        <v>92701.347643233574</v>
      </c>
      <c r="G707" s="217">
        <f>(G625/G612)*AP91</f>
        <v>0</v>
      </c>
      <c r="H707" s="219">
        <f>(H628/H612)*AP60</f>
        <v>668942.30295781116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582896.54000000015</v>
      </c>
      <c r="D713" s="217">
        <f>(D615/D612)*AV90</f>
        <v>-421.32866957508475</v>
      </c>
      <c r="E713" s="219">
        <f>(E623/E612)*SUM(C713:D713)</f>
        <v>46042.187517658887</v>
      </c>
      <c r="F713" s="219">
        <f>(F624/F612)*AV64</f>
        <v>753.82932937792759</v>
      </c>
      <c r="G713" s="217">
        <f>(G625/G612)*AV91</f>
        <v>0</v>
      </c>
      <c r="H713" s="219">
        <f>(H628/H612)*AV60</f>
        <v>16034.454378162045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128254399.52000001</v>
      </c>
      <c r="D715" s="202">
        <f>SUM(D616:D647)+SUM(D668:D713)</f>
        <v>-311712.46999999968</v>
      </c>
      <c r="E715" s="202">
        <f>SUM(E624:E647)+SUM(E668:E713)</f>
        <v>9395305.7202349268</v>
      </c>
      <c r="F715" s="202">
        <f>SUM(F625:F648)+SUM(F668:F713)</f>
        <v>1042055.0987232613</v>
      </c>
      <c r="G715" s="202">
        <f>SUM(G626:G647)+SUM(G668:G713)</f>
        <v>2072632.1045246834</v>
      </c>
      <c r="H715" s="202">
        <f>SUM(H629:H647)+SUM(H668:H713)</f>
        <v>2088452.9968592857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692</v>
      </c>
    </row>
    <row r="716" spans="1:14" s="202" customFormat="1" ht="12.6" customHeight="1" x14ac:dyDescent="0.2">
      <c r="C716" s="214">
        <f>CE85</f>
        <v>128254399.51999998</v>
      </c>
      <c r="D716" s="202">
        <f>D615</f>
        <v>-311712.46999999974</v>
      </c>
      <c r="E716" s="202">
        <f>E623</f>
        <v>9395305.7202349268</v>
      </c>
      <c r="F716" s="202">
        <f>F624</f>
        <v>1042055.0987232609</v>
      </c>
      <c r="G716" s="202">
        <f>G625</f>
        <v>2072632.1045246834</v>
      </c>
      <c r="H716" s="202">
        <f>H628</f>
        <v>2088452.996859286</v>
      </c>
      <c r="I716" s="202">
        <f>I629</f>
        <v>3267392.1444972213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39386783.280000009</v>
      </c>
      <c r="N716" s="211" t="s">
        <v>693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10" orientation="portrait" r:id="rId9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152</v>
      </c>
      <c r="C2" s="11" t="str">
        <f>SUBSTITUTE(LEFT(data!C98,49),",","")</f>
        <v>Public Hospital District No 1 of Mason County WA</v>
      </c>
      <c r="D2" s="11" t="str">
        <f>LEFT(data!C99, 49)</f>
        <v>901 Mountain View Drive</v>
      </c>
      <c r="E2" s="11" t="str">
        <f>LEFT(data!C100, 100)</f>
        <v>Shelton</v>
      </c>
      <c r="F2" s="11" t="str">
        <f>LEFT(data!C101, 2)</f>
        <v>WA</v>
      </c>
      <c r="G2" s="11" t="str">
        <f>LEFT(data!C102, 100)</f>
        <v>98584</v>
      </c>
      <c r="H2" s="11" t="str">
        <f>LEFT(data!C103, 100)</f>
        <v>Mason</v>
      </c>
      <c r="I2" s="11" t="str">
        <f>LEFT(data!C104, 49)</f>
        <v/>
      </c>
      <c r="J2" s="11" t="str">
        <f>LEFT(data!C105, 49)</f>
        <v/>
      </c>
      <c r="K2" s="11" t="str">
        <f>LEFT(data!C107, 49)</f>
        <v>3604327721</v>
      </c>
      <c r="L2" s="11" t="str">
        <f>LEFT(data!C108, 49)</f>
        <v>3604271921</v>
      </c>
      <c r="M2" s="11" t="str">
        <f>LEFT(data!C109, 49)</f>
        <v>Jon Hornburg</v>
      </c>
      <c r="N2" s="11" t="str">
        <f>LEFT(data!C110, 49)</f>
        <v>jhornburg@masongeneral.com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1073</v>
      </c>
      <c r="B1" s="12" t="s">
        <v>1074</v>
      </c>
      <c r="C1" s="12" t="s">
        <v>1075</v>
      </c>
      <c r="D1" s="12" t="s">
        <v>1076</v>
      </c>
      <c r="E1" s="12" t="s">
        <v>1077</v>
      </c>
      <c r="F1" s="12" t="s">
        <v>1078</v>
      </c>
      <c r="G1" s="12" t="s">
        <v>1079</v>
      </c>
      <c r="H1" s="12" t="s">
        <v>1080</v>
      </c>
      <c r="I1" s="12" t="s">
        <v>1081</v>
      </c>
      <c r="J1" s="12" t="s">
        <v>1082</v>
      </c>
      <c r="K1" s="12" t="s">
        <v>1083</v>
      </c>
      <c r="L1" s="12" t="s">
        <v>1084</v>
      </c>
      <c r="M1" s="12" t="s">
        <v>1085</v>
      </c>
      <c r="N1" s="12" t="s">
        <v>1086</v>
      </c>
      <c r="O1" s="12" t="s">
        <v>1087</v>
      </c>
      <c r="P1" s="12" t="s">
        <v>1088</v>
      </c>
      <c r="Q1" s="12" t="s">
        <v>1089</v>
      </c>
      <c r="R1" s="12" t="s">
        <v>1090</v>
      </c>
      <c r="S1" s="12" t="s">
        <v>1091</v>
      </c>
      <c r="T1" s="12" t="s">
        <v>1092</v>
      </c>
      <c r="U1" s="12" t="s">
        <v>1093</v>
      </c>
      <c r="V1" s="12" t="s">
        <v>1094</v>
      </c>
      <c r="W1" s="12" t="s">
        <v>1095</v>
      </c>
      <c r="X1" s="12" t="s">
        <v>1096</v>
      </c>
      <c r="Y1" s="12" t="s">
        <v>1097</v>
      </c>
      <c r="Z1" s="12" t="s">
        <v>1098</v>
      </c>
      <c r="AA1" s="12" t="s">
        <v>1099</v>
      </c>
      <c r="AB1" s="12" t="s">
        <v>1100</v>
      </c>
      <c r="AC1" s="12" t="s">
        <v>1101</v>
      </c>
      <c r="AD1" s="12" t="s">
        <v>1102</v>
      </c>
      <c r="AE1" s="12" t="s">
        <v>1103</v>
      </c>
      <c r="AF1" s="12" t="s">
        <v>1104</v>
      </c>
      <c r="AG1" s="12" t="s">
        <v>1105</v>
      </c>
      <c r="AH1" s="12" t="s">
        <v>1106</v>
      </c>
      <c r="AI1" s="12" t="s">
        <v>1107</v>
      </c>
      <c r="AJ1" s="12" t="s">
        <v>1108</v>
      </c>
      <c r="AK1" s="12" t="s">
        <v>1109</v>
      </c>
      <c r="AL1" s="12" t="s">
        <v>1110</v>
      </c>
      <c r="AM1" s="12" t="s">
        <v>1111</v>
      </c>
      <c r="AN1" s="12" t="s">
        <v>1112</v>
      </c>
      <c r="AO1" s="12" t="s">
        <v>1113</v>
      </c>
      <c r="AP1" s="12" t="s">
        <v>1114</v>
      </c>
      <c r="AQ1" s="12" t="s">
        <v>1115</v>
      </c>
      <c r="AR1" s="12" t="s">
        <v>1116</v>
      </c>
      <c r="AS1" s="12" t="s">
        <v>1117</v>
      </c>
      <c r="AT1" s="12" t="s">
        <v>1118</v>
      </c>
      <c r="AU1" s="12" t="s">
        <v>1119</v>
      </c>
      <c r="AV1" s="12" t="s">
        <v>1120</v>
      </c>
      <c r="AW1" s="12" t="s">
        <v>1121</v>
      </c>
      <c r="AX1" s="12" t="s">
        <v>1122</v>
      </c>
      <c r="AY1" s="12" t="s">
        <v>1123</v>
      </c>
      <c r="AZ1" s="12" t="s">
        <v>1124</v>
      </c>
      <c r="BA1" s="12" t="s">
        <v>1125</v>
      </c>
      <c r="BB1" s="12" t="s">
        <v>1126</v>
      </c>
      <c r="BC1" s="12" t="s">
        <v>1127</v>
      </c>
      <c r="BD1" s="12" t="s">
        <v>1128</v>
      </c>
      <c r="BE1" s="12" t="s">
        <v>1129</v>
      </c>
      <c r="BF1" s="12" t="s">
        <v>1130</v>
      </c>
      <c r="BG1" s="12" t="s">
        <v>1131</v>
      </c>
      <c r="BH1" s="12" t="s">
        <v>1132</v>
      </c>
      <c r="BI1" s="12" t="s">
        <v>1133</v>
      </c>
      <c r="BJ1" s="12" t="s">
        <v>1134</v>
      </c>
      <c r="BK1" s="12" t="s">
        <v>1135</v>
      </c>
      <c r="BL1" s="12" t="s">
        <v>1136</v>
      </c>
      <c r="BM1" s="12" t="s">
        <v>1137</v>
      </c>
      <c r="BN1" s="12" t="s">
        <v>1138</v>
      </c>
      <c r="BO1" s="12" t="s">
        <v>1139</v>
      </c>
      <c r="BP1" s="12" t="s">
        <v>1140</v>
      </c>
      <c r="BQ1" s="12" t="s">
        <v>1141</v>
      </c>
      <c r="BR1" s="12" t="s">
        <v>1142</v>
      </c>
      <c r="BS1" s="12" t="s">
        <v>1143</v>
      </c>
      <c r="BT1" s="12" t="s">
        <v>1144</v>
      </c>
      <c r="BU1" s="12" t="s">
        <v>1145</v>
      </c>
      <c r="BV1" s="12" t="s">
        <v>1146</v>
      </c>
      <c r="BW1" s="12" t="s">
        <v>1147</v>
      </c>
      <c r="BX1" s="12" t="s">
        <v>1148</v>
      </c>
      <c r="BY1" s="12" t="s">
        <v>1149</v>
      </c>
      <c r="BZ1" s="12" t="s">
        <v>1150</v>
      </c>
      <c r="CA1" s="12" t="s">
        <v>1151</v>
      </c>
      <c r="CB1" s="12" t="s">
        <v>1152</v>
      </c>
      <c r="CC1" s="12" t="s">
        <v>1153</v>
      </c>
      <c r="CD1" s="12" t="s">
        <v>1154</v>
      </c>
      <c r="CE1" s="12" t="s">
        <v>1155</v>
      </c>
      <c r="CF1" s="12" t="s">
        <v>1156</v>
      </c>
    </row>
    <row r="2" spans="1:84" s="169" customFormat="1" ht="12.6" customHeight="1" x14ac:dyDescent="0.25">
      <c r="A2" s="12" t="str">
        <f>RIGHT(data!C97,3)</f>
        <v>152</v>
      </c>
      <c r="B2" s="200" t="str">
        <f>RIGHT(data!C96,4)</f>
        <v>2024</v>
      </c>
      <c r="C2" s="12" t="s">
        <v>1157</v>
      </c>
      <c r="D2" s="199">
        <f>ROUND(N(data!C181),0)</f>
        <v>4457334</v>
      </c>
      <c r="E2" s="199">
        <f>ROUND(N(data!C182),0)</f>
        <v>71080</v>
      </c>
      <c r="F2" s="199">
        <f>ROUND(N(data!C183),0)</f>
        <v>668332</v>
      </c>
      <c r="G2" s="199">
        <f>ROUND(N(data!C184),0)</f>
        <v>11087079</v>
      </c>
      <c r="H2" s="199">
        <f>ROUND(N(data!C185),0)</f>
        <v>32364</v>
      </c>
      <c r="I2" s="199">
        <f>ROUND(N(data!C186),0)</f>
        <v>3519066</v>
      </c>
      <c r="J2" s="199">
        <f>ROUND(N(data!C187)+N(data!C188),0)</f>
        <v>255223</v>
      </c>
      <c r="K2" s="199">
        <f>ROUND(N(data!C191),0)</f>
        <v>29364</v>
      </c>
      <c r="L2" s="199">
        <f>ROUND(N(data!C192),0)</f>
        <v>300493</v>
      </c>
      <c r="M2" s="199">
        <f>ROUND(N(data!C195),0)</f>
        <v>588493</v>
      </c>
      <c r="N2" s="199">
        <f>ROUND(N(data!C196),0)</f>
        <v>780015</v>
      </c>
      <c r="O2" s="199">
        <f>ROUND(N(data!C199),0)</f>
        <v>0</v>
      </c>
      <c r="P2" s="199">
        <f>ROUND(N(data!C200),0)</f>
        <v>728382</v>
      </c>
      <c r="Q2" s="199">
        <f>ROUND(N(data!C201),0)</f>
        <v>0</v>
      </c>
      <c r="R2" s="199">
        <f>ROUND(N(data!C204),0)</f>
        <v>0</v>
      </c>
      <c r="S2" s="199">
        <f>ROUND(N(data!C205),0)</f>
        <v>3025399</v>
      </c>
      <c r="T2" s="199">
        <f>ROUND(N(data!B211),0)</f>
        <v>2817552</v>
      </c>
      <c r="U2" s="199">
        <f>ROUND(N(data!C211),0)</f>
        <v>0</v>
      </c>
      <c r="V2" s="199">
        <f>ROUND(N(data!D211),0)</f>
        <v>0</v>
      </c>
      <c r="W2" s="199">
        <f>ROUND(N(data!B212),0)</f>
        <v>11111246</v>
      </c>
      <c r="X2" s="199">
        <f>ROUND(N(data!C212),0)</f>
        <v>47596</v>
      </c>
      <c r="Y2" s="199">
        <f>ROUND(N(data!D212),0)</f>
        <v>0</v>
      </c>
      <c r="Z2" s="199">
        <f>ROUND(N(data!B213),0)</f>
        <v>60196295</v>
      </c>
      <c r="AA2" s="199">
        <f>ROUND(N(data!C213),0)</f>
        <v>765555</v>
      </c>
      <c r="AB2" s="199">
        <f>ROUND(N(data!D213),0)</f>
        <v>0</v>
      </c>
      <c r="AC2" s="199">
        <f>ROUND(N(data!B214),0)</f>
        <v>34490584</v>
      </c>
      <c r="AD2" s="199">
        <f>ROUND(N(data!C214),0)</f>
        <v>3603865</v>
      </c>
      <c r="AE2" s="199">
        <f>ROUND(N(data!D214),0)</f>
        <v>0</v>
      </c>
      <c r="AF2" s="199">
        <f>ROUND(N(data!B215),0)</f>
        <v>57811701</v>
      </c>
      <c r="AG2" s="199">
        <f>ROUND(N(data!C215),0)</f>
        <v>0</v>
      </c>
      <c r="AH2" s="199">
        <f>ROUND(N(data!D215),0)</f>
        <v>12217505</v>
      </c>
      <c r="AI2" s="199">
        <f>ROUND(N(data!B216),0)</f>
        <v>46485134</v>
      </c>
      <c r="AJ2" s="199">
        <f>ROUND(N(data!C216),0)</f>
        <v>3073713</v>
      </c>
      <c r="AK2" s="199">
        <f>ROUND(N(data!D216),0)</f>
        <v>1038711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1174052</v>
      </c>
      <c r="AP2" s="199">
        <f>ROUND(N(data!C218),0)</f>
        <v>0</v>
      </c>
      <c r="AQ2" s="199">
        <f>ROUND(N(data!D218),0)</f>
        <v>0</v>
      </c>
      <c r="AR2" s="199">
        <f>ROUND(N(data!B219),0)</f>
        <v>3349965</v>
      </c>
      <c r="AS2" s="199">
        <f>ROUND(N(data!C219),0)</f>
        <v>1799046</v>
      </c>
      <c r="AT2" s="199">
        <f>ROUND(N(data!D219),0)</f>
        <v>3909038</v>
      </c>
      <c r="AU2" s="199">
        <v>0</v>
      </c>
      <c r="AV2" s="199">
        <v>0</v>
      </c>
      <c r="AW2" s="199">
        <v>0</v>
      </c>
      <c r="AX2" s="199">
        <f>ROUND(N(data!B225),0)</f>
        <v>4949565</v>
      </c>
      <c r="AY2" s="199">
        <f>ROUND(N(data!C225),0)</f>
        <v>703690</v>
      </c>
      <c r="AZ2" s="199">
        <f>ROUND(N(data!D225),0)</f>
        <v>0</v>
      </c>
      <c r="BA2" s="199">
        <f>ROUND(N(data!B226),0)</f>
        <v>28800818</v>
      </c>
      <c r="BB2" s="199">
        <f>ROUND(N(data!C226),0)</f>
        <v>2454177</v>
      </c>
      <c r="BC2" s="199">
        <f>ROUND(N(data!D226),0)</f>
        <v>0</v>
      </c>
      <c r="BD2" s="199">
        <f>ROUND(N(data!B227),0)</f>
        <v>17575693</v>
      </c>
      <c r="BE2" s="199">
        <f>ROUND(N(data!C227),0)</f>
        <v>1837148</v>
      </c>
      <c r="BF2" s="199">
        <f>ROUND(N(data!D227),0)</f>
        <v>0</v>
      </c>
      <c r="BG2" s="199">
        <f>ROUND(N(data!B228),0)</f>
        <v>19063800</v>
      </c>
      <c r="BH2" s="199">
        <f>ROUND(N(data!C228),0)</f>
        <v>5778924</v>
      </c>
      <c r="BI2" s="199">
        <f>ROUND(N(data!D228),0)</f>
        <v>17616009</v>
      </c>
      <c r="BJ2" s="199">
        <f>ROUND(N(data!B229),0)</f>
        <v>36350162</v>
      </c>
      <c r="BK2" s="199">
        <f>ROUND(N(data!C229),0)</f>
        <v>2697162</v>
      </c>
      <c r="BL2" s="199">
        <f>ROUND(N(data!D229),0)</f>
        <v>1001209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934249</v>
      </c>
      <c r="BQ2" s="199">
        <f>ROUND(N(data!C231),0)</f>
        <v>51540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104444634</v>
      </c>
      <c r="BW2" s="199">
        <f>ROUND(N(data!C240),0)</f>
        <v>59154482</v>
      </c>
      <c r="BX2" s="199">
        <f>ROUND(N(data!C241),0)</f>
        <v>10732582</v>
      </c>
      <c r="BY2" s="199">
        <f>ROUND(N(data!C242),0)</f>
        <v>0</v>
      </c>
      <c r="BZ2" s="199">
        <f>ROUND(N(data!C243),0)</f>
        <v>31931230</v>
      </c>
      <c r="CA2" s="199">
        <f>ROUND(N(data!C244),0)</f>
        <v>0</v>
      </c>
      <c r="CB2" s="199">
        <f>ROUND(N(data!C247),0)</f>
        <v>2104</v>
      </c>
      <c r="CC2" s="199">
        <f>ROUND(N(data!C249),0)</f>
        <v>324339</v>
      </c>
      <c r="CD2" s="199">
        <f>ROUND(N(data!C250),0)</f>
        <v>5520312</v>
      </c>
      <c r="CE2" s="199">
        <f>ROUND(N(data!C254)+N(data!C255),0)</f>
        <v>5077494</v>
      </c>
      <c r="CF2" s="199">
        <f>ROUND(N(data!D237),0)</f>
        <v>5374297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69" customFormat="1" ht="12.6" customHeight="1" x14ac:dyDescent="0.25">
      <c r="A2" s="12" t="str">
        <f>RIGHT(data!C97,3)</f>
        <v>152</v>
      </c>
      <c r="B2" s="12" t="str">
        <f>RIGHT(data!C96,4)</f>
        <v>2024</v>
      </c>
      <c r="C2" s="12" t="s">
        <v>1157</v>
      </c>
      <c r="D2" s="198">
        <f>ROUND(N(data!C127),0)</f>
        <v>1612</v>
      </c>
      <c r="E2" s="198">
        <f>ROUND(N(data!C128),0)</f>
        <v>0</v>
      </c>
      <c r="F2" s="198">
        <f>ROUND(N(data!C129),0)</f>
        <v>0</v>
      </c>
      <c r="G2" s="198">
        <f>ROUND(N(data!C130),0)</f>
        <v>352</v>
      </c>
      <c r="H2" s="198">
        <f>ROUND(N(data!D127),0)</f>
        <v>5825</v>
      </c>
      <c r="I2" s="198">
        <f>ROUND(N(data!D128),0)</f>
        <v>0</v>
      </c>
      <c r="J2" s="198">
        <f>ROUND(N(data!D129),0)</f>
        <v>0</v>
      </c>
      <c r="K2" s="198">
        <f>ROUND(N(data!D130),0)</f>
        <v>658</v>
      </c>
      <c r="L2" s="198">
        <f>ROUND(N(data!C132),0)</f>
        <v>7</v>
      </c>
      <c r="M2" s="198">
        <f>ROUND(N(data!C133),0)</f>
        <v>0</v>
      </c>
      <c r="N2" s="198">
        <f>ROUND(N(data!C134),0)</f>
        <v>16</v>
      </c>
      <c r="O2" s="198">
        <f>ROUND(N(data!C135),0)</f>
        <v>0</v>
      </c>
      <c r="P2" s="198">
        <f>ROUND(N(data!C136),0)</f>
        <v>2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68</v>
      </c>
      <c r="X2" s="198">
        <f>ROUND(N(data!C145),0)</f>
        <v>6</v>
      </c>
      <c r="Y2" s="198">
        <f>ROUND(N(data!B154),0)</f>
        <v>886</v>
      </c>
      <c r="Z2" s="198">
        <f>ROUND(N(data!B155),0)</f>
        <v>3766</v>
      </c>
      <c r="AA2" s="198">
        <f>ROUND(N(data!B156),0)</f>
        <v>81633</v>
      </c>
      <c r="AB2" s="198">
        <f>ROUND(N(data!B157),0)</f>
        <v>47271022</v>
      </c>
      <c r="AC2" s="198">
        <f>ROUND(N(data!B158),0)</f>
        <v>121787433</v>
      </c>
      <c r="AD2" s="198">
        <f>ROUND(N(data!C154),0)</f>
        <v>431</v>
      </c>
      <c r="AE2" s="198">
        <f>ROUND(N(data!C155),0)</f>
        <v>1128</v>
      </c>
      <c r="AF2" s="198">
        <f>ROUND(N(data!C156),0)</f>
        <v>56515</v>
      </c>
      <c r="AG2" s="198">
        <f>ROUND(N(data!C157),0)</f>
        <v>20943662</v>
      </c>
      <c r="AH2" s="198">
        <f>ROUND(N(data!C158),0)</f>
        <v>74923404</v>
      </c>
      <c r="AI2" s="198">
        <f>ROUND(N(data!D154),0)</f>
        <v>295</v>
      </c>
      <c r="AJ2" s="198">
        <f>ROUND(N(data!D155),0)</f>
        <v>931</v>
      </c>
      <c r="AK2" s="198">
        <f>ROUND(N(data!D156),0)</f>
        <v>66325</v>
      </c>
      <c r="AL2" s="198">
        <f>ROUND(N(data!D157),0)</f>
        <v>15338835</v>
      </c>
      <c r="AM2" s="198">
        <f>ROUND(N(data!D158),0)</f>
        <v>84494371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2916354</v>
      </c>
      <c r="BS2" s="198">
        <f>ROUND(N(data!C173),0)</f>
        <v>1031403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197" t="s">
        <v>1323</v>
      </c>
      <c r="CR1" s="197" t="s">
        <v>1324</v>
      </c>
      <c r="CS1" s="197" t="s">
        <v>1325</v>
      </c>
      <c r="CT1" s="197" t="s">
        <v>1326</v>
      </c>
      <c r="CU1" s="197" t="s">
        <v>1327</v>
      </c>
      <c r="CV1" s="197" t="s">
        <v>1328</v>
      </c>
      <c r="CW1" s="197" t="s">
        <v>1329</v>
      </c>
      <c r="CX1" s="197" t="s">
        <v>1330</v>
      </c>
      <c r="CY1" s="197" t="s">
        <v>1331</v>
      </c>
      <c r="CZ1" s="197" t="s">
        <v>1332</v>
      </c>
      <c r="DA1" s="197" t="s">
        <v>1333</v>
      </c>
      <c r="DB1" s="197" t="s">
        <v>1334</v>
      </c>
      <c r="DC1" s="197" t="s">
        <v>1335</v>
      </c>
      <c r="DD1" s="197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69" customFormat="1" ht="12.6" customHeight="1" x14ac:dyDescent="0.25">
      <c r="A2" s="199" t="str">
        <f>RIGHT(data!C97,3)</f>
        <v>152</v>
      </c>
      <c r="B2" s="200" t="str">
        <f>RIGHT(data!C96,4)</f>
        <v>2024</v>
      </c>
      <c r="C2" s="12" t="s">
        <v>1157</v>
      </c>
      <c r="D2" s="198">
        <f>ROUND(N(data!C266),0)</f>
        <v>100873230</v>
      </c>
      <c r="E2" s="198">
        <f>ROUND(N(data!C267),0)</f>
        <v>0</v>
      </c>
      <c r="F2" s="198">
        <f>ROUND(N(data!C268),0)</f>
        <v>69226684</v>
      </c>
      <c r="G2" s="198">
        <f>ROUND(N(data!C269),0)</f>
        <v>42817773</v>
      </c>
      <c r="H2" s="198">
        <f>ROUND(N(data!C270),0)</f>
        <v>0</v>
      </c>
      <c r="I2" s="198">
        <f>ROUND(N(data!C271),0)</f>
        <v>-7141</v>
      </c>
      <c r="J2" s="198">
        <f>ROUND(N(data!C272),0)</f>
        <v>0</v>
      </c>
      <c r="K2" s="198">
        <f>ROUND(N(data!C273),0)</f>
        <v>2027678</v>
      </c>
      <c r="L2" s="198">
        <f>ROUND(N(data!C274),0)</f>
        <v>3014343</v>
      </c>
      <c r="M2" s="198">
        <f>ROUND(N(data!C275),0)</f>
        <v>0</v>
      </c>
      <c r="N2" s="198">
        <f>ROUND(N(data!C278),0)</f>
        <v>88891</v>
      </c>
      <c r="O2" s="198">
        <f>ROUND(N(data!C279),0)</f>
        <v>0</v>
      </c>
      <c r="P2" s="198">
        <f>ROUND(N(data!C280),0)</f>
        <v>0</v>
      </c>
      <c r="Q2" s="198">
        <f>ROUND(N(data!C283),0)</f>
        <v>2817552</v>
      </c>
      <c r="R2" s="198">
        <f>ROUND(N(data!C284),0)</f>
        <v>11158843</v>
      </c>
      <c r="S2" s="198">
        <f>ROUND(N(data!C285),0)</f>
        <v>60961849</v>
      </c>
      <c r="T2" s="198">
        <f>ROUND(N(data!C286),0)</f>
        <v>38094448</v>
      </c>
      <c r="U2" s="198">
        <f>ROUND(N(data!C287),0)</f>
        <v>0</v>
      </c>
      <c r="V2" s="198">
        <f>ROUND(N(data!C288),0)</f>
        <v>94114333</v>
      </c>
      <c r="W2" s="198">
        <f>ROUND(N(data!C289),0)</f>
        <v>1174052</v>
      </c>
      <c r="X2" s="198">
        <f>ROUND(N(data!C290),0)</f>
        <v>1239973</v>
      </c>
      <c r="Y2" s="198">
        <f>ROUND(N(data!C291),0)</f>
        <v>0</v>
      </c>
      <c r="Z2" s="198">
        <f>ROUND(N(data!C292),0)</f>
        <v>102579710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4557572</v>
      </c>
      <c r="AK2" s="198">
        <f>ROUND(N(data!C316),0)</f>
        <v>9092855</v>
      </c>
      <c r="AL2" s="198">
        <f>ROUND(N(data!C317),0)</f>
        <v>90450</v>
      </c>
      <c r="AM2" s="198">
        <f>ROUND(N(data!C318),0)</f>
        <v>0</v>
      </c>
      <c r="AN2" s="198">
        <f>ROUND(N(data!C319),0)</f>
        <v>1934186</v>
      </c>
      <c r="AO2" s="198">
        <f>ROUND(N(data!C320),0)</f>
        <v>0</v>
      </c>
      <c r="AP2" s="198">
        <f>ROUND(N(data!C321),0)</f>
        <v>0</v>
      </c>
      <c r="AQ2" s="198">
        <f>ROUND(N(data!C322),0)</f>
        <v>210033</v>
      </c>
      <c r="AR2" s="198">
        <f>ROUND(N(data!C323),0)</f>
        <v>7325759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33582904</v>
      </c>
      <c r="AZ2" s="198">
        <f>ROUND(N(data!C335),0)</f>
        <v>61451428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128467825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620.17999999999995</v>
      </c>
      <c r="BL2" s="198">
        <f>ROUND(N(data!C358),0)</f>
        <v>83553520</v>
      </c>
      <c r="BM2" s="198">
        <f>ROUND(N(data!C359),0)</f>
        <v>281205209</v>
      </c>
      <c r="BN2" s="198">
        <f>ROUND(N(data!C363),0)</f>
        <v>206262928</v>
      </c>
      <c r="BO2" s="198">
        <f>ROUND(N(data!C364),0)</f>
        <v>5844651</v>
      </c>
      <c r="BP2" s="198">
        <f>ROUND(N(data!C365),0)</f>
        <v>5077494</v>
      </c>
      <c r="BQ2" s="198">
        <f>ROUND(N(data!D381),0)</f>
        <v>4092983</v>
      </c>
      <c r="BR2" s="198">
        <f>ROUND(N(data!C370),0)</f>
        <v>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0</v>
      </c>
      <c r="CB2" s="198">
        <f>ROUND(N(data!C380),0)</f>
        <v>4092983</v>
      </c>
      <c r="CC2" s="198">
        <f>ROUND(N(data!C382),0)</f>
        <v>2497568</v>
      </c>
      <c r="CD2" s="198">
        <f>ROUND(N(data!C389),0)</f>
        <v>63939663</v>
      </c>
      <c r="CE2" s="198">
        <f>ROUND(N(data!C390),0)</f>
        <v>20090477</v>
      </c>
      <c r="CF2" s="198">
        <f>ROUND(N(data!C391),0)</f>
        <v>13190697</v>
      </c>
      <c r="CG2" s="198">
        <f>ROUND(N(data!C392),0)</f>
        <v>16377759</v>
      </c>
      <c r="CH2" s="198">
        <f>ROUND(N(data!C393),0)</f>
        <v>1315098</v>
      </c>
      <c r="CI2" s="198">
        <f>ROUND(N(data!C394),0)</f>
        <v>12291101</v>
      </c>
      <c r="CJ2" s="198">
        <f>ROUND(N(data!C395),0)</f>
        <v>13522642</v>
      </c>
      <c r="CK2" s="198">
        <f>ROUND(N(data!C396),0)</f>
        <v>329857</v>
      </c>
      <c r="CL2" s="198">
        <f>ROUND(N(data!C397),0)</f>
        <v>1368508</v>
      </c>
      <c r="CM2" s="198">
        <f>ROUND(N(data!C398),0)</f>
        <v>728382</v>
      </c>
      <c r="CN2" s="198">
        <f>ROUND(N(data!C399),0)</f>
        <v>3025399</v>
      </c>
      <c r="CO2" s="198">
        <f>ROUND(N(data!C362),0)</f>
        <v>5374297</v>
      </c>
      <c r="CP2" s="198">
        <f>ROUND(N(data!D415),0)</f>
        <v>1797976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0</v>
      </c>
      <c r="CY2" s="52">
        <f>ROUND(N(data!C409),0)</f>
        <v>0</v>
      </c>
      <c r="CZ2" s="52">
        <f>ROUND(N(data!C410),0)</f>
        <v>0</v>
      </c>
      <c r="DA2" s="52">
        <f>ROUND(N(data!C411),0)</f>
        <v>0</v>
      </c>
      <c r="DB2" s="52">
        <f>ROUND(N(data!C412),0)</f>
        <v>0</v>
      </c>
      <c r="DC2" s="52">
        <f>ROUND(N(data!C413),0)</f>
        <v>0</v>
      </c>
      <c r="DD2" s="52">
        <f>ROUND(N(data!C414),0)</f>
        <v>1797976</v>
      </c>
      <c r="DE2" s="52">
        <f>ROUND(N(data!C419),0)</f>
        <v>0</v>
      </c>
      <c r="DF2" s="198">
        <f>ROUND(N(data!D420),0)</f>
        <v>12707650</v>
      </c>
      <c r="DG2" s="198">
        <f>ROUND(N(data!C422),0)</f>
        <v>0</v>
      </c>
      <c r="DH2" s="198">
        <f>ROUND(N(data!C423),0)</f>
        <v>0</v>
      </c>
    </row>
  </sheetData>
  <sheetProtection algorithmName="SHA-512" hashValue="xHTj0/qTAMo6NJEcSOWAoZ3WHs1rRrPw9eZ4OXFblwwKIANQTD+HGEx0YpFlQOzIfzJ4Q4qZFOJKtA5bWWAfyQ==" saltValue="VwgC1MZwp/i3Gd41LtRc7g==" spinCount="100000" sheet="1" objects="1" scenarios="1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152</v>
      </c>
      <c r="B2" s="200" t="str">
        <f>RIGHT(data!$C$96,4)</f>
        <v>2024</v>
      </c>
      <c r="C2" s="12" t="str">
        <f>data!C$55</f>
        <v>6010</v>
      </c>
      <c r="D2" s="12" t="s">
        <v>1157</v>
      </c>
      <c r="E2" s="198">
        <f>ROUND(N(data!C59), 0)</f>
        <v>798</v>
      </c>
      <c r="F2" s="271">
        <f>ROUND(N(data!C60), 2)</f>
        <v>19.68</v>
      </c>
      <c r="G2" s="198">
        <f>ROUND(N(data!C61), 0)</f>
        <v>2289206</v>
      </c>
      <c r="H2" s="198">
        <f>ROUND(N(data!C62), 0)</f>
        <v>677824</v>
      </c>
      <c r="I2" s="198">
        <f>ROUND(N(data!C63), 0)</f>
        <v>391072</v>
      </c>
      <c r="J2" s="198">
        <f>ROUND(N(data!C64), 0)</f>
        <v>251135</v>
      </c>
      <c r="K2" s="198">
        <f>ROUND(N(data!C65), 0)</f>
        <v>547</v>
      </c>
      <c r="L2" s="198">
        <f>ROUND(N(data!C66), 0)</f>
        <v>8510</v>
      </c>
      <c r="M2" s="198">
        <f>ROUND(N(data!C67), 0)</f>
        <v>427311</v>
      </c>
      <c r="N2" s="198">
        <f>ROUND(N(data!C68), 0)</f>
        <v>115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14078505</v>
      </c>
      <c r="AF2" s="198">
        <f>ROUND(N(data!C87), 0)</f>
        <v>12027854</v>
      </c>
      <c r="AG2" s="198">
        <f>ROUND(N(data!C90), 0)</f>
        <v>6518</v>
      </c>
      <c r="AH2" s="198">
        <f>ROUND(N(data!C91), 0)</f>
        <v>5366</v>
      </c>
      <c r="AI2" s="198">
        <f>ROUND(N(data!C92), 0)</f>
        <v>6518</v>
      </c>
      <c r="AJ2" s="198">
        <f>ROUND(N(data!C93), 0)</f>
        <v>244</v>
      </c>
      <c r="AK2" s="271">
        <f>ROUND(N(data!C94), 2)</f>
        <v>19.68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152</v>
      </c>
      <c r="B3" s="200" t="str">
        <f>RIGHT(data!$C$96,4)</f>
        <v>2024</v>
      </c>
      <c r="C3" s="12" t="str">
        <f>data!D$55</f>
        <v>6030</v>
      </c>
      <c r="D3" s="12" t="s">
        <v>1157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152</v>
      </c>
      <c r="B4" s="200" t="str">
        <f>RIGHT(data!$C$96,4)</f>
        <v>2024</v>
      </c>
      <c r="C4" s="12" t="str">
        <f>data!E$55</f>
        <v>6070</v>
      </c>
      <c r="D4" s="12" t="s">
        <v>1157</v>
      </c>
      <c r="E4" s="198">
        <f>ROUND(N(data!E59), 0)</f>
        <v>5027</v>
      </c>
      <c r="F4" s="271">
        <f>ROUND(N(data!E60), 2)</f>
        <v>47.05</v>
      </c>
      <c r="G4" s="198">
        <f>ROUND(N(data!E61), 0)</f>
        <v>5464224</v>
      </c>
      <c r="H4" s="198">
        <f>ROUND(N(data!E62), 0)</f>
        <v>1446640</v>
      </c>
      <c r="I4" s="198">
        <f>ROUND(N(data!E63), 0)</f>
        <v>1114641</v>
      </c>
      <c r="J4" s="198">
        <f>ROUND(N(data!E64), 0)</f>
        <v>357507</v>
      </c>
      <c r="K4" s="198">
        <f>ROUND(N(data!E65), 0)</f>
        <v>1209</v>
      </c>
      <c r="L4" s="198">
        <f>ROUND(N(data!E66), 0)</f>
        <v>18612</v>
      </c>
      <c r="M4" s="198">
        <f>ROUND(N(data!E67), 0)</f>
        <v>1252431</v>
      </c>
      <c r="N4" s="198">
        <f>ROUND(N(data!E68), 0)</f>
        <v>297</v>
      </c>
      <c r="O4" s="198">
        <f>ROUND(N(data!E69), 0)</f>
        <v>584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584</v>
      </c>
      <c r="AD4" s="198">
        <f>ROUND(N(data!E84), 0)</f>
        <v>0</v>
      </c>
      <c r="AE4" s="198">
        <f>ROUND(N(data!E89), 0)</f>
        <v>34668269</v>
      </c>
      <c r="AF4" s="198">
        <f>ROUND(N(data!E87), 0)</f>
        <v>26725139</v>
      </c>
      <c r="AG4" s="198">
        <f>ROUND(N(data!E90), 0)</f>
        <v>19104</v>
      </c>
      <c r="AH4" s="198">
        <f>ROUND(N(data!E91), 0)</f>
        <v>26812</v>
      </c>
      <c r="AI4" s="198">
        <f>ROUND(N(data!E92), 0)</f>
        <v>19104</v>
      </c>
      <c r="AJ4" s="198">
        <f>ROUND(N(data!E93), 0)</f>
        <v>1240</v>
      </c>
      <c r="AK4" s="271">
        <f>ROUND(N(data!E94), 2)</f>
        <v>47.05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152</v>
      </c>
      <c r="B5" s="200" t="str">
        <f>RIGHT(data!$C$96,4)</f>
        <v>2024</v>
      </c>
      <c r="C5" s="12" t="str">
        <f>data!F$55</f>
        <v>6100</v>
      </c>
      <c r="D5" s="12" t="s">
        <v>1157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152</v>
      </c>
      <c r="B6" s="200" t="str">
        <f>RIGHT(data!$C$96,4)</f>
        <v>2024</v>
      </c>
      <c r="C6" s="12" t="str">
        <f>data!G$55</f>
        <v>6120</v>
      </c>
      <c r="D6" s="12" t="s">
        <v>1157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152</v>
      </c>
      <c r="B7" s="200" t="str">
        <f>RIGHT(data!$C$96,4)</f>
        <v>2024</v>
      </c>
      <c r="C7" s="12" t="str">
        <f>data!H$55</f>
        <v>6140</v>
      </c>
      <c r="D7" s="12" t="s">
        <v>1157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152</v>
      </c>
      <c r="B8" s="200" t="str">
        <f>RIGHT(data!$C$96,4)</f>
        <v>2024</v>
      </c>
      <c r="C8" s="12" t="str">
        <f>data!I$55</f>
        <v>6150</v>
      </c>
      <c r="D8" s="12" t="s">
        <v>1157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152</v>
      </c>
      <c r="B9" s="200" t="str">
        <f>RIGHT(data!$C$96,4)</f>
        <v>2024</v>
      </c>
      <c r="C9" s="12" t="str">
        <f>data!J$55</f>
        <v>6170</v>
      </c>
      <c r="D9" s="12" t="s">
        <v>1157</v>
      </c>
      <c r="E9" s="198">
        <f>ROUND(N(data!J59), 0)</f>
        <v>658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32551</v>
      </c>
      <c r="K9" s="198">
        <f>ROUND(N(data!J65), 0)</f>
        <v>0</v>
      </c>
      <c r="L9" s="198">
        <f>ROUND(N(data!J66), 0)</f>
        <v>6075</v>
      </c>
      <c r="M9" s="198">
        <f>ROUND(N(data!J67), 0)</f>
        <v>31599</v>
      </c>
      <c r="N9" s="198">
        <f>ROUND(N(data!J68), 0)</f>
        <v>0</v>
      </c>
      <c r="O9" s="198">
        <f>ROUND(N(data!J69), 0)</f>
        <v>640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640</v>
      </c>
      <c r="AD9" s="198">
        <f>ROUND(N(data!J84), 0)</f>
        <v>0</v>
      </c>
      <c r="AE9" s="198">
        <f>ROUND(N(data!J89), 0)</f>
        <v>1479563</v>
      </c>
      <c r="AF9" s="198">
        <f>ROUND(N(data!J87), 0)</f>
        <v>1387297</v>
      </c>
      <c r="AG9" s="198">
        <f>ROUND(N(data!J90), 0)</f>
        <v>482</v>
      </c>
      <c r="AH9" s="198">
        <f>ROUND(N(data!J91), 0)</f>
        <v>0</v>
      </c>
      <c r="AI9" s="198">
        <f>ROUND(N(data!J92), 0)</f>
        <v>482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152</v>
      </c>
      <c r="B10" s="200" t="str">
        <f>RIGHT(data!$C$96,4)</f>
        <v>2024</v>
      </c>
      <c r="C10" s="12" t="str">
        <f>data!K$55</f>
        <v>6200</v>
      </c>
      <c r="D10" s="12" t="s">
        <v>1157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152</v>
      </c>
      <c r="B11" s="200" t="str">
        <f>RIGHT(data!$C$96,4)</f>
        <v>2024</v>
      </c>
      <c r="C11" s="12" t="str">
        <f>data!L$55</f>
        <v>6210</v>
      </c>
      <c r="D11" s="12" t="s">
        <v>1157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152</v>
      </c>
      <c r="B12" s="200" t="str">
        <f>RIGHT(data!$C$96,4)</f>
        <v>2024</v>
      </c>
      <c r="C12" s="12" t="str">
        <f>data!M$55</f>
        <v>6330</v>
      </c>
      <c r="D12" s="12" t="s">
        <v>1157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152</v>
      </c>
      <c r="B13" s="200" t="str">
        <f>RIGHT(data!$C$96,4)</f>
        <v>2024</v>
      </c>
      <c r="C13" s="12" t="str">
        <f>data!N$55</f>
        <v>6400</v>
      </c>
      <c r="D13" s="12" t="s">
        <v>1157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152</v>
      </c>
      <c r="B14" s="200" t="str">
        <f>RIGHT(data!$C$96,4)</f>
        <v>2024</v>
      </c>
      <c r="C14" s="12" t="str">
        <f>data!O$55</f>
        <v>7010</v>
      </c>
      <c r="D14" s="12" t="s">
        <v>1157</v>
      </c>
      <c r="E14" s="198">
        <f>ROUND(N(data!O59), 0)</f>
        <v>1165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326316</v>
      </c>
      <c r="J14" s="198">
        <f>ROUND(N(data!O64), 0)</f>
        <v>111245</v>
      </c>
      <c r="K14" s="198">
        <f>ROUND(N(data!O65), 0)</f>
        <v>0</v>
      </c>
      <c r="L14" s="198">
        <f>ROUND(N(data!O66), 0)</f>
        <v>5895</v>
      </c>
      <c r="M14" s="198">
        <f>ROUND(N(data!O67), 0)</f>
        <v>63920</v>
      </c>
      <c r="N14" s="198">
        <f>ROUND(N(data!O68), 0)</f>
        <v>0</v>
      </c>
      <c r="O14" s="198">
        <f>ROUND(N(data!O69), 0)</f>
        <v>7101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7101</v>
      </c>
      <c r="AD14" s="198">
        <f>ROUND(N(data!O84), 0)</f>
        <v>0</v>
      </c>
      <c r="AE14" s="198">
        <f>ROUND(N(data!O89), 0)</f>
        <v>4105867</v>
      </c>
      <c r="AF14" s="198">
        <f>ROUND(N(data!O87), 0)</f>
        <v>3034366</v>
      </c>
      <c r="AG14" s="198">
        <f>ROUND(N(data!O90), 0)</f>
        <v>975</v>
      </c>
      <c r="AH14" s="198">
        <f>ROUND(N(data!O91), 0)</f>
        <v>0</v>
      </c>
      <c r="AI14" s="198">
        <f>ROUND(N(data!O92), 0)</f>
        <v>975</v>
      </c>
      <c r="AJ14" s="198">
        <f>ROUND(N(data!O93), 0)</f>
        <v>4034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152</v>
      </c>
      <c r="B15" s="200" t="str">
        <f>RIGHT(data!$C$96,4)</f>
        <v>2024</v>
      </c>
      <c r="C15" s="12" t="str">
        <f>data!P$55</f>
        <v>7020</v>
      </c>
      <c r="D15" s="12" t="s">
        <v>1157</v>
      </c>
      <c r="E15" s="198">
        <f>ROUND(N(data!P59), 0)</f>
        <v>144105</v>
      </c>
      <c r="F15" s="271">
        <f>ROUND(N(data!P60), 2)</f>
        <v>14.94</v>
      </c>
      <c r="G15" s="198">
        <f>ROUND(N(data!P61), 0)</f>
        <v>1598871</v>
      </c>
      <c r="H15" s="198">
        <f>ROUND(N(data!P62), 0)</f>
        <v>423123</v>
      </c>
      <c r="I15" s="198">
        <f>ROUND(N(data!P63), 0)</f>
        <v>698988</v>
      </c>
      <c r="J15" s="198">
        <f>ROUND(N(data!P64), 0)</f>
        <v>1209433</v>
      </c>
      <c r="K15" s="198">
        <f>ROUND(N(data!P65), 0)</f>
        <v>794</v>
      </c>
      <c r="L15" s="198">
        <f>ROUND(N(data!P66), 0)</f>
        <v>322372</v>
      </c>
      <c r="M15" s="198">
        <f>ROUND(N(data!P67), 0)</f>
        <v>430458</v>
      </c>
      <c r="N15" s="198">
        <f>ROUND(N(data!P68), 0)</f>
        <v>50162</v>
      </c>
      <c r="O15" s="198">
        <f>ROUND(N(data!P69), 0)</f>
        <v>11967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11967</v>
      </c>
      <c r="AD15" s="198">
        <f>ROUND(N(data!P84), 0)</f>
        <v>0</v>
      </c>
      <c r="AE15" s="198">
        <f>ROUND(N(data!P89), 0)</f>
        <v>29221722</v>
      </c>
      <c r="AF15" s="198">
        <f>ROUND(N(data!P87), 0)</f>
        <v>5631053</v>
      </c>
      <c r="AG15" s="198">
        <f>ROUND(N(data!P90), 0)</f>
        <v>6566</v>
      </c>
      <c r="AH15" s="198">
        <f>ROUND(N(data!P91), 0)</f>
        <v>420</v>
      </c>
      <c r="AI15" s="198">
        <f>ROUND(N(data!P92), 0)</f>
        <v>6566</v>
      </c>
      <c r="AJ15" s="198">
        <f>ROUND(N(data!P93), 0)</f>
        <v>11383</v>
      </c>
      <c r="AK15" s="271">
        <f>ROUND(N(data!P94), 2)</f>
        <v>14.94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152</v>
      </c>
      <c r="B16" s="200" t="str">
        <f>RIGHT(data!$C$96,4)</f>
        <v>2024</v>
      </c>
      <c r="C16" s="12" t="str">
        <f>data!Q$55</f>
        <v>7030</v>
      </c>
      <c r="D16" s="12" t="s">
        <v>1157</v>
      </c>
      <c r="E16" s="198">
        <f>ROUND(N(data!Q59), 0)</f>
        <v>144839</v>
      </c>
      <c r="F16" s="271">
        <f>ROUND(N(data!Q60), 2)</f>
        <v>14.05</v>
      </c>
      <c r="G16" s="198">
        <f>ROUND(N(data!Q61), 0)</f>
        <v>1769439</v>
      </c>
      <c r="H16" s="198">
        <f>ROUND(N(data!Q62), 0)</f>
        <v>552808</v>
      </c>
      <c r="I16" s="198">
        <f>ROUND(N(data!Q63), 0)</f>
        <v>0</v>
      </c>
      <c r="J16" s="198">
        <f>ROUND(N(data!Q64), 0)</f>
        <v>134719</v>
      </c>
      <c r="K16" s="198">
        <f>ROUND(N(data!Q65), 0)</f>
        <v>0</v>
      </c>
      <c r="L16" s="198">
        <f>ROUND(N(data!Q66), 0)</f>
        <v>2047</v>
      </c>
      <c r="M16" s="198">
        <f>ROUND(N(data!Q67), 0)</f>
        <v>468547</v>
      </c>
      <c r="N16" s="198">
        <f>ROUND(N(data!Q68), 0)</f>
        <v>0</v>
      </c>
      <c r="O16" s="198">
        <f>ROUND(N(data!Q69), 0)</f>
        <v>911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911</v>
      </c>
      <c r="AD16" s="198">
        <f>ROUND(N(data!Q84), 0)</f>
        <v>0</v>
      </c>
      <c r="AE16" s="198">
        <f>ROUND(N(data!Q89), 0)</f>
        <v>8722254</v>
      </c>
      <c r="AF16" s="198">
        <f>ROUND(N(data!Q87), 0)</f>
        <v>990659</v>
      </c>
      <c r="AG16" s="198">
        <f>ROUND(N(data!Q90), 0)</f>
        <v>7147</v>
      </c>
      <c r="AH16" s="198">
        <f>ROUND(N(data!Q91), 0)</f>
        <v>0</v>
      </c>
      <c r="AI16" s="198">
        <f>ROUND(N(data!Q92), 0)</f>
        <v>7147</v>
      </c>
      <c r="AJ16" s="198">
        <f>ROUND(N(data!Q93), 0)</f>
        <v>602</v>
      </c>
      <c r="AK16" s="271">
        <f>ROUND(N(data!Q94), 2)</f>
        <v>14.05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152</v>
      </c>
      <c r="B17" s="200" t="str">
        <f>RIGHT(data!$C$96,4)</f>
        <v>2024</v>
      </c>
      <c r="C17" s="12" t="str">
        <f>data!R$55</f>
        <v>7040</v>
      </c>
      <c r="D17" s="12" t="s">
        <v>1157</v>
      </c>
      <c r="E17" s="198">
        <f>ROUND(N(data!R59), 0)</f>
        <v>144105</v>
      </c>
      <c r="F17" s="271">
        <f>ROUND(N(data!R60), 2)</f>
        <v>3.43</v>
      </c>
      <c r="G17" s="198">
        <f>ROUND(N(data!R61), 0)</f>
        <v>1202726</v>
      </c>
      <c r="H17" s="198">
        <f>ROUND(N(data!R62), 0)</f>
        <v>217425</v>
      </c>
      <c r="I17" s="198">
        <f>ROUND(N(data!R63), 0)</f>
        <v>359100</v>
      </c>
      <c r="J17" s="198">
        <f>ROUND(N(data!R64), 0)</f>
        <v>68237</v>
      </c>
      <c r="K17" s="198">
        <f>ROUND(N(data!R65), 0)</f>
        <v>0</v>
      </c>
      <c r="L17" s="198">
        <f>ROUND(N(data!R66), 0)</f>
        <v>46086</v>
      </c>
      <c r="M17" s="198">
        <f>ROUND(N(data!R67), 0)</f>
        <v>20454</v>
      </c>
      <c r="N17" s="198">
        <f>ROUND(N(data!R68), 0)</f>
        <v>3217</v>
      </c>
      <c r="O17" s="198">
        <f>ROUND(N(data!R69), 0)</f>
        <v>20141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20141</v>
      </c>
      <c r="AD17" s="198">
        <f>ROUND(N(data!R84), 0)</f>
        <v>0</v>
      </c>
      <c r="AE17" s="198">
        <f>ROUND(N(data!R89), 0)</f>
        <v>5785163</v>
      </c>
      <c r="AF17" s="198">
        <f>ROUND(N(data!R87), 0)</f>
        <v>485259</v>
      </c>
      <c r="AG17" s="198">
        <f>ROUND(N(data!R90), 0)</f>
        <v>312</v>
      </c>
      <c r="AH17" s="198">
        <f>ROUND(N(data!R91), 0)</f>
        <v>0</v>
      </c>
      <c r="AI17" s="198">
        <f>ROUND(N(data!R92), 0)</f>
        <v>312</v>
      </c>
      <c r="AJ17" s="198">
        <f>ROUND(N(data!R93), 0)</f>
        <v>0</v>
      </c>
      <c r="AK17" s="271">
        <f>ROUND(N(data!R94), 2)</f>
        <v>3.43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152</v>
      </c>
      <c r="B18" s="200" t="str">
        <f>RIGHT(data!$C$96,4)</f>
        <v>2024</v>
      </c>
      <c r="C18" s="12" t="str">
        <f>data!S$55</f>
        <v>7050</v>
      </c>
      <c r="D18" s="12" t="s">
        <v>1157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6670</v>
      </c>
      <c r="J18" s="198">
        <f>ROUND(N(data!S64), 0)</f>
        <v>4585442</v>
      </c>
      <c r="K18" s="198">
        <f>ROUND(N(data!S65), 0)</f>
        <v>0</v>
      </c>
      <c r="L18" s="198">
        <f>ROUND(N(data!S66), 0)</f>
        <v>68208</v>
      </c>
      <c r="M18" s="198">
        <f>ROUND(N(data!S67), 0)</f>
        <v>194709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10808087</v>
      </c>
      <c r="AF18" s="198">
        <f>ROUND(N(data!S87), 0)</f>
        <v>2374843</v>
      </c>
      <c r="AG18" s="198">
        <f>ROUND(N(data!S90), 0)</f>
        <v>2970</v>
      </c>
      <c r="AH18" s="198">
        <f>ROUND(N(data!S91), 0)</f>
        <v>0</v>
      </c>
      <c r="AI18" s="198">
        <f>ROUND(N(data!S92), 0)</f>
        <v>2970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152</v>
      </c>
      <c r="B19" s="200" t="str">
        <f>RIGHT(data!$C$96,4)</f>
        <v>2024</v>
      </c>
      <c r="C19" s="12" t="str">
        <f>data!T$55</f>
        <v>7060</v>
      </c>
      <c r="D19" s="12" t="s">
        <v>1157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152</v>
      </c>
      <c r="B20" s="200" t="str">
        <f>RIGHT(data!$C$96,4)</f>
        <v>2024</v>
      </c>
      <c r="C20" s="12" t="str">
        <f>data!U$55</f>
        <v>7070</v>
      </c>
      <c r="D20" s="12" t="s">
        <v>1157</v>
      </c>
      <c r="E20" s="198">
        <f>ROUND(N(data!U59), 0)</f>
        <v>329366</v>
      </c>
      <c r="F20" s="271">
        <f>ROUND(N(data!U60), 2)</f>
        <v>34.700000000000003</v>
      </c>
      <c r="G20" s="198">
        <f>ROUND(N(data!U61), 0)</f>
        <v>2496363</v>
      </c>
      <c r="H20" s="198">
        <f>ROUND(N(data!U62), 0)</f>
        <v>877319</v>
      </c>
      <c r="I20" s="198">
        <f>ROUND(N(data!U63), 0)</f>
        <v>43256</v>
      </c>
      <c r="J20" s="198">
        <f>ROUND(N(data!U64), 0)</f>
        <v>2122249</v>
      </c>
      <c r="K20" s="198">
        <f>ROUND(N(data!U65), 0)</f>
        <v>0</v>
      </c>
      <c r="L20" s="198">
        <f>ROUND(N(data!U66), 0)</f>
        <v>1164885</v>
      </c>
      <c r="M20" s="198">
        <f>ROUND(N(data!U67), 0)</f>
        <v>287999</v>
      </c>
      <c r="N20" s="198">
        <f>ROUND(N(data!U68), 0)</f>
        <v>0</v>
      </c>
      <c r="O20" s="198">
        <f>ROUND(N(data!U69), 0)</f>
        <v>25789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25789</v>
      </c>
      <c r="AD20" s="198">
        <f>ROUND(N(data!U84), 0)</f>
        <v>206</v>
      </c>
      <c r="AE20" s="198">
        <f>ROUND(N(data!U89), 0)</f>
        <v>43987313</v>
      </c>
      <c r="AF20" s="198">
        <f>ROUND(N(data!U87), 0)</f>
        <v>6041217</v>
      </c>
      <c r="AG20" s="198">
        <f>ROUND(N(data!U90), 0)</f>
        <v>4393</v>
      </c>
      <c r="AH20" s="198">
        <f>ROUND(N(data!U91), 0)</f>
        <v>0</v>
      </c>
      <c r="AI20" s="198">
        <f>ROUND(N(data!U92), 0)</f>
        <v>4393</v>
      </c>
      <c r="AJ20" s="198">
        <f>ROUND(N(data!U93), 0)</f>
        <v>297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152</v>
      </c>
      <c r="B21" s="200" t="str">
        <f>RIGHT(data!$C$96,4)</f>
        <v>2024</v>
      </c>
      <c r="C21" s="12" t="str">
        <f>data!V$55</f>
        <v>7110</v>
      </c>
      <c r="D21" s="12" t="s">
        <v>1157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152</v>
      </c>
      <c r="B22" s="200" t="str">
        <f>RIGHT(data!$C$96,4)</f>
        <v>2024</v>
      </c>
      <c r="C22" s="12" t="str">
        <f>data!W$55</f>
        <v>7120</v>
      </c>
      <c r="D22" s="12" t="s">
        <v>1157</v>
      </c>
      <c r="E22" s="198">
        <f>ROUND(N(data!W59), 0)</f>
        <v>2174</v>
      </c>
      <c r="F22" s="271">
        <f>ROUND(N(data!W60), 2)</f>
        <v>2.06</v>
      </c>
      <c r="G22" s="198">
        <f>ROUND(N(data!W61), 0)</f>
        <v>247451</v>
      </c>
      <c r="H22" s="198">
        <f>ROUND(N(data!W62), 0)</f>
        <v>93174</v>
      </c>
      <c r="I22" s="198">
        <f>ROUND(N(data!W63), 0)</f>
        <v>0</v>
      </c>
      <c r="J22" s="198">
        <f>ROUND(N(data!W64), 0)</f>
        <v>10919</v>
      </c>
      <c r="K22" s="198">
        <f>ROUND(N(data!W65), 0)</f>
        <v>0</v>
      </c>
      <c r="L22" s="198">
        <f>ROUND(N(data!W66), 0)</f>
        <v>4150</v>
      </c>
      <c r="M22" s="198">
        <f>ROUND(N(data!W67), 0)</f>
        <v>140099</v>
      </c>
      <c r="N22" s="198">
        <f>ROUND(N(data!W68), 0)</f>
        <v>0</v>
      </c>
      <c r="O22" s="198">
        <f>ROUND(N(data!W69), 0)</f>
        <v>1910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1910</v>
      </c>
      <c r="AD22" s="198">
        <f>ROUND(N(data!W84), 0)</f>
        <v>0</v>
      </c>
      <c r="AE22" s="198">
        <f>ROUND(N(data!W89), 0)</f>
        <v>9699934</v>
      </c>
      <c r="AF22" s="198">
        <f>ROUND(N(data!W87), 0)</f>
        <v>793757</v>
      </c>
      <c r="AG22" s="198">
        <f>ROUND(N(data!W90), 0)</f>
        <v>2137</v>
      </c>
      <c r="AH22" s="198">
        <f>ROUND(N(data!W91), 0)</f>
        <v>0</v>
      </c>
      <c r="AI22" s="198">
        <f>ROUND(N(data!W92), 0)</f>
        <v>2137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152</v>
      </c>
      <c r="B23" s="200" t="str">
        <f>RIGHT(data!$C$96,4)</f>
        <v>2024</v>
      </c>
      <c r="C23" s="12" t="str">
        <f>data!X$55</f>
        <v>7130</v>
      </c>
      <c r="D23" s="12" t="s">
        <v>1157</v>
      </c>
      <c r="E23" s="198">
        <f>ROUND(N(data!X59), 0)</f>
        <v>41847</v>
      </c>
      <c r="F23" s="271">
        <f>ROUND(N(data!X60), 2)</f>
        <v>3.91</v>
      </c>
      <c r="G23" s="198">
        <f>ROUND(N(data!X61), 0)</f>
        <v>455209</v>
      </c>
      <c r="H23" s="198">
        <f>ROUND(N(data!X62), 0)</f>
        <v>134768</v>
      </c>
      <c r="I23" s="198">
        <f>ROUND(N(data!X63), 0)</f>
        <v>59523</v>
      </c>
      <c r="J23" s="198">
        <f>ROUND(N(data!X64), 0)</f>
        <v>114160</v>
      </c>
      <c r="K23" s="198">
        <f>ROUND(N(data!X65), 0)</f>
        <v>0</v>
      </c>
      <c r="L23" s="198">
        <f>ROUND(N(data!X66), 0)</f>
        <v>146896</v>
      </c>
      <c r="M23" s="198">
        <f>ROUND(N(data!X67), 0)</f>
        <v>51922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36028117</v>
      </c>
      <c r="AF23" s="198">
        <f>ROUND(N(data!X87), 0)</f>
        <v>3017960</v>
      </c>
      <c r="AG23" s="198">
        <f>ROUND(N(data!X90), 0)</f>
        <v>792</v>
      </c>
      <c r="AH23" s="198">
        <f>ROUND(N(data!X91), 0)</f>
        <v>0</v>
      </c>
      <c r="AI23" s="198">
        <f>ROUND(N(data!X92), 0)</f>
        <v>792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152</v>
      </c>
      <c r="B24" s="200" t="str">
        <f>RIGHT(data!$C$96,4)</f>
        <v>2024</v>
      </c>
      <c r="C24" s="12" t="str">
        <f>data!Y$55</f>
        <v>7140</v>
      </c>
      <c r="D24" s="12" t="s">
        <v>1157</v>
      </c>
      <c r="E24" s="198">
        <f>ROUND(N(data!Y59), 0)</f>
        <v>30616</v>
      </c>
      <c r="F24" s="271">
        <f>ROUND(N(data!Y60), 2)</f>
        <v>25.09</v>
      </c>
      <c r="G24" s="198">
        <f>ROUND(N(data!Y61), 0)</f>
        <v>2373321</v>
      </c>
      <c r="H24" s="198">
        <f>ROUND(N(data!Y62), 0)</f>
        <v>857365</v>
      </c>
      <c r="I24" s="198">
        <f>ROUND(N(data!Y63), 0)</f>
        <v>196797</v>
      </c>
      <c r="J24" s="198">
        <f>ROUND(N(data!Y64), 0)</f>
        <v>121694</v>
      </c>
      <c r="K24" s="198">
        <f>ROUND(N(data!Y65), 0)</f>
        <v>558</v>
      </c>
      <c r="L24" s="198">
        <f>ROUND(N(data!Y66), 0)</f>
        <v>1062287</v>
      </c>
      <c r="M24" s="198">
        <f>ROUND(N(data!Y67), 0)</f>
        <v>483822</v>
      </c>
      <c r="N24" s="198">
        <f>ROUND(N(data!Y68), 0)</f>
        <v>828</v>
      </c>
      <c r="O24" s="198">
        <f>ROUND(N(data!Y69), 0)</f>
        <v>6998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6998</v>
      </c>
      <c r="AD24" s="198">
        <f>ROUND(N(data!Y84), 0)</f>
        <v>0</v>
      </c>
      <c r="AE24" s="198">
        <f>ROUND(N(data!Y89), 0)</f>
        <v>28012879</v>
      </c>
      <c r="AF24" s="198">
        <f>ROUND(N(data!Y87), 0)</f>
        <v>2469618</v>
      </c>
      <c r="AG24" s="198">
        <f>ROUND(N(data!Y90), 0)</f>
        <v>7380</v>
      </c>
      <c r="AH24" s="198">
        <f>ROUND(N(data!Y91), 0)</f>
        <v>0</v>
      </c>
      <c r="AI24" s="198">
        <f>ROUND(N(data!Y92), 0)</f>
        <v>7380</v>
      </c>
      <c r="AJ24" s="198">
        <f>ROUND(N(data!Y93), 0)</f>
        <v>203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152</v>
      </c>
      <c r="B25" s="200" t="str">
        <f>RIGHT(data!$C$96,4)</f>
        <v>2024</v>
      </c>
      <c r="C25" s="12" t="str">
        <f>data!Z$55</f>
        <v>7150</v>
      </c>
      <c r="D25" s="12" t="s">
        <v>1157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152</v>
      </c>
      <c r="B26" s="200" t="str">
        <f>RIGHT(data!$C$96,4)</f>
        <v>2024</v>
      </c>
      <c r="C26" s="12" t="str">
        <f>data!AA$55</f>
        <v>7160</v>
      </c>
      <c r="D26" s="12" t="s">
        <v>1157</v>
      </c>
      <c r="E26" s="198">
        <f>ROUND(N(data!AA59), 0)</f>
        <v>2567</v>
      </c>
      <c r="F26" s="271">
        <f>ROUND(N(data!AA60), 2)</f>
        <v>1.03</v>
      </c>
      <c r="G26" s="198">
        <f>ROUND(N(data!AA61), 0)</f>
        <v>118281</v>
      </c>
      <c r="H26" s="198">
        <f>ROUND(N(data!AA62), 0)</f>
        <v>45358</v>
      </c>
      <c r="I26" s="198">
        <f>ROUND(N(data!AA63), 0)</f>
        <v>0</v>
      </c>
      <c r="J26" s="198">
        <f>ROUND(N(data!AA64), 0)</f>
        <v>53157</v>
      </c>
      <c r="K26" s="198">
        <f>ROUND(N(data!AA65), 0)</f>
        <v>0</v>
      </c>
      <c r="L26" s="198">
        <f>ROUND(N(data!AA66), 0)</f>
        <v>0</v>
      </c>
      <c r="M26" s="198">
        <f>ROUND(N(data!AA67), 0)</f>
        <v>45235</v>
      </c>
      <c r="N26" s="198">
        <f>ROUND(N(data!AA68), 0)</f>
        <v>0</v>
      </c>
      <c r="O26" s="198">
        <f>ROUND(N(data!AA69), 0)</f>
        <v>6608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6608</v>
      </c>
      <c r="AD26" s="198">
        <f>ROUND(N(data!AA84), 0)</f>
        <v>0</v>
      </c>
      <c r="AE26" s="198">
        <f>ROUND(N(data!AA89), 0)</f>
        <v>1400900</v>
      </c>
      <c r="AF26" s="198">
        <f>ROUND(N(data!AA87), 0)</f>
        <v>85306</v>
      </c>
      <c r="AG26" s="198">
        <f>ROUND(N(data!AA90), 0)</f>
        <v>690</v>
      </c>
      <c r="AH26" s="198">
        <f>ROUND(N(data!AA91), 0)</f>
        <v>0</v>
      </c>
      <c r="AI26" s="198">
        <f>ROUND(N(data!AA92), 0)</f>
        <v>690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152</v>
      </c>
      <c r="B27" s="200" t="str">
        <f>RIGHT(data!$C$96,4)</f>
        <v>2024</v>
      </c>
      <c r="C27" s="12" t="str">
        <f>data!AB$55</f>
        <v>7170</v>
      </c>
      <c r="D27" s="12" t="s">
        <v>1157</v>
      </c>
      <c r="E27" s="198">
        <f>ROUND(N(data!AB59), 0)</f>
        <v>0</v>
      </c>
      <c r="F27" s="271">
        <f>ROUND(N(data!AB60), 2)</f>
        <v>14.84</v>
      </c>
      <c r="G27" s="198">
        <f>ROUND(N(data!AB61), 0)</f>
        <v>1850041</v>
      </c>
      <c r="H27" s="198">
        <f>ROUND(N(data!AB62), 0)</f>
        <v>635351</v>
      </c>
      <c r="I27" s="198">
        <f>ROUND(N(data!AB63), 0)</f>
        <v>0</v>
      </c>
      <c r="J27" s="198">
        <f>ROUND(N(data!AB64), 0)</f>
        <v>3503487</v>
      </c>
      <c r="K27" s="198">
        <f>ROUND(N(data!AB65), 0)</f>
        <v>0</v>
      </c>
      <c r="L27" s="198">
        <f>ROUND(N(data!AB66), 0)</f>
        <v>402198</v>
      </c>
      <c r="M27" s="198">
        <f>ROUND(N(data!AB67), 0)</f>
        <v>251286</v>
      </c>
      <c r="N27" s="198">
        <f>ROUND(N(data!AB68), 0)</f>
        <v>0</v>
      </c>
      <c r="O27" s="198">
        <f>ROUND(N(data!AB69), 0)</f>
        <v>30248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30248</v>
      </c>
      <c r="AD27" s="198">
        <f>ROUND(N(data!AB84), 0)</f>
        <v>3627252</v>
      </c>
      <c r="AE27" s="198">
        <f>ROUND(N(data!AB89), 0)</f>
        <v>12220951</v>
      </c>
      <c r="AF27" s="198">
        <f>ROUND(N(data!AB87), 0)</f>
        <v>4265161</v>
      </c>
      <c r="AG27" s="198">
        <f>ROUND(N(data!AB90), 0)</f>
        <v>3833</v>
      </c>
      <c r="AH27" s="198">
        <f>ROUND(N(data!AB91), 0)</f>
        <v>0</v>
      </c>
      <c r="AI27" s="198">
        <f>ROUND(N(data!AB92), 0)</f>
        <v>3833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152</v>
      </c>
      <c r="B28" s="200" t="str">
        <f>RIGHT(data!$C$96,4)</f>
        <v>2024</v>
      </c>
      <c r="C28" s="12" t="str">
        <f>data!AC$55</f>
        <v>7180</v>
      </c>
      <c r="D28" s="12" t="s">
        <v>1157</v>
      </c>
      <c r="E28" s="198">
        <f>ROUND(N(data!AC59), 0)</f>
        <v>4844</v>
      </c>
      <c r="F28" s="271">
        <f>ROUND(N(data!AC60), 2)</f>
        <v>9.2200000000000006</v>
      </c>
      <c r="G28" s="198">
        <f>ROUND(N(data!AC61), 0)</f>
        <v>960060</v>
      </c>
      <c r="H28" s="198">
        <f>ROUND(N(data!AC62), 0)</f>
        <v>311329</v>
      </c>
      <c r="I28" s="198">
        <f>ROUND(N(data!AC63), 0)</f>
        <v>0</v>
      </c>
      <c r="J28" s="198">
        <f>ROUND(N(data!AC64), 0)</f>
        <v>144693</v>
      </c>
      <c r="K28" s="198">
        <f>ROUND(N(data!AC65), 0)</f>
        <v>0</v>
      </c>
      <c r="L28" s="198">
        <f>ROUND(N(data!AC66), 0)</f>
        <v>91920</v>
      </c>
      <c r="M28" s="198">
        <f>ROUND(N(data!AC67), 0)</f>
        <v>52840</v>
      </c>
      <c r="N28" s="198">
        <f>ROUND(N(data!AC68), 0)</f>
        <v>19825</v>
      </c>
      <c r="O28" s="198">
        <f>ROUND(N(data!AC69), 0)</f>
        <v>430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430</v>
      </c>
      <c r="AD28" s="198">
        <f>ROUND(N(data!AC84), 0)</f>
        <v>0</v>
      </c>
      <c r="AE28" s="198">
        <f>ROUND(N(data!AC89), 0)</f>
        <v>9166325</v>
      </c>
      <c r="AF28" s="198">
        <f>ROUND(N(data!AC87), 0)</f>
        <v>5199079</v>
      </c>
      <c r="AG28" s="198">
        <f>ROUND(N(data!AC90), 0)</f>
        <v>806</v>
      </c>
      <c r="AH28" s="198">
        <f>ROUND(N(data!AC91), 0)</f>
        <v>0</v>
      </c>
      <c r="AI28" s="198">
        <f>ROUND(N(data!AC92), 0)</f>
        <v>806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152</v>
      </c>
      <c r="B29" s="200" t="str">
        <f>RIGHT(data!$C$96,4)</f>
        <v>2024</v>
      </c>
      <c r="C29" s="12" t="str">
        <f>data!AD$55</f>
        <v>7190</v>
      </c>
      <c r="D29" s="12" t="s">
        <v>1157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152</v>
      </c>
      <c r="B30" s="200" t="str">
        <f>RIGHT(data!$C$96,4)</f>
        <v>2024</v>
      </c>
      <c r="C30" s="12" t="str">
        <f>data!AE$55</f>
        <v>7200</v>
      </c>
      <c r="D30" s="12" t="s">
        <v>1157</v>
      </c>
      <c r="E30" s="198">
        <f>ROUND(N(data!AE59), 0)</f>
        <v>24054</v>
      </c>
      <c r="F30" s="271">
        <f>ROUND(N(data!AE60), 2)</f>
        <v>21.88</v>
      </c>
      <c r="G30" s="198">
        <f>ROUND(N(data!AE61), 0)</f>
        <v>1987408</v>
      </c>
      <c r="H30" s="198">
        <f>ROUND(N(data!AE62), 0)</f>
        <v>682898</v>
      </c>
      <c r="I30" s="198">
        <f>ROUND(N(data!AE63), 0)</f>
        <v>455126</v>
      </c>
      <c r="J30" s="198">
        <f>ROUND(N(data!AE64), 0)</f>
        <v>44316</v>
      </c>
      <c r="K30" s="198">
        <f>ROUND(N(data!AE65), 0)</f>
        <v>0</v>
      </c>
      <c r="L30" s="198">
        <f>ROUND(N(data!AE66), 0)</f>
        <v>10911</v>
      </c>
      <c r="M30" s="198">
        <f>ROUND(N(data!AE67), 0)</f>
        <v>528009</v>
      </c>
      <c r="N30" s="198">
        <f>ROUND(N(data!AE68), 0)</f>
        <v>0</v>
      </c>
      <c r="O30" s="198">
        <f>ROUND(N(data!AE69), 0)</f>
        <v>8456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8456</v>
      </c>
      <c r="AD30" s="198">
        <f>ROUND(N(data!AE84), 0)</f>
        <v>0</v>
      </c>
      <c r="AE30" s="198">
        <f>ROUND(N(data!AE89), 0)</f>
        <v>10790183</v>
      </c>
      <c r="AF30" s="198">
        <f>ROUND(N(data!AE87), 0)</f>
        <v>881755</v>
      </c>
      <c r="AG30" s="198">
        <f>ROUND(N(data!AE90), 0)</f>
        <v>8054</v>
      </c>
      <c r="AH30" s="198">
        <f>ROUND(N(data!AE91), 0)</f>
        <v>0</v>
      </c>
      <c r="AI30" s="198">
        <f>ROUND(N(data!AE92), 0)</f>
        <v>8054</v>
      </c>
      <c r="AJ30" s="198">
        <f>ROUND(N(data!AE93), 0)</f>
        <v>133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152</v>
      </c>
      <c r="B31" s="200" t="str">
        <f>RIGHT(data!$C$96,4)</f>
        <v>2024</v>
      </c>
      <c r="C31" s="12" t="str">
        <f>data!AF$55</f>
        <v>7220</v>
      </c>
      <c r="D31" s="12" t="s">
        <v>1157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152</v>
      </c>
      <c r="B32" s="200" t="str">
        <f>RIGHT(data!$C$96,4)</f>
        <v>2024</v>
      </c>
      <c r="C32" s="12" t="str">
        <f>data!AG$55</f>
        <v>7230</v>
      </c>
      <c r="D32" s="12" t="s">
        <v>1157</v>
      </c>
      <c r="E32" s="198">
        <f>ROUND(N(data!AG59), 0)</f>
        <v>17348</v>
      </c>
      <c r="F32" s="271">
        <f>ROUND(N(data!AG60), 2)</f>
        <v>29.26</v>
      </c>
      <c r="G32" s="198">
        <f>ROUND(N(data!AG61), 0)</f>
        <v>4355826</v>
      </c>
      <c r="H32" s="198">
        <f>ROUND(N(data!AG62), 0)</f>
        <v>1054543</v>
      </c>
      <c r="I32" s="198">
        <f>ROUND(N(data!AG63), 0)</f>
        <v>4085055</v>
      </c>
      <c r="J32" s="198">
        <f>ROUND(N(data!AG64), 0)</f>
        <v>407784</v>
      </c>
      <c r="K32" s="198">
        <f>ROUND(N(data!AG65), 0)</f>
        <v>0</v>
      </c>
      <c r="L32" s="198">
        <f>ROUND(N(data!AG66), 0)</f>
        <v>491096</v>
      </c>
      <c r="M32" s="198">
        <f>ROUND(N(data!AG67), 0)</f>
        <v>625626</v>
      </c>
      <c r="N32" s="198">
        <f>ROUND(N(data!AG68), 0)</f>
        <v>193</v>
      </c>
      <c r="O32" s="198">
        <f>ROUND(N(data!AG69), 0)</f>
        <v>66979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66979</v>
      </c>
      <c r="AD32" s="198">
        <f>ROUND(N(data!AG84), 0)</f>
        <v>0</v>
      </c>
      <c r="AE32" s="198">
        <f>ROUND(N(data!AG89), 0)</f>
        <v>59330230</v>
      </c>
      <c r="AF32" s="198">
        <f>ROUND(N(data!AG87), 0)</f>
        <v>4817692</v>
      </c>
      <c r="AG32" s="198">
        <f>ROUND(N(data!AG90), 0)</f>
        <v>9543</v>
      </c>
      <c r="AH32" s="198">
        <f>ROUND(N(data!AG91), 0)</f>
        <v>1404</v>
      </c>
      <c r="AI32" s="198">
        <f>ROUND(N(data!AG92), 0)</f>
        <v>9543</v>
      </c>
      <c r="AJ32" s="198">
        <f>ROUND(N(data!AG93), 0)</f>
        <v>857</v>
      </c>
      <c r="AK32" s="271">
        <f>ROUND(N(data!AG94), 2)</f>
        <v>29.26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152</v>
      </c>
      <c r="B33" s="200" t="str">
        <f>RIGHT(data!$C$96,4)</f>
        <v>2024</v>
      </c>
      <c r="C33" s="12" t="str">
        <f>data!AH$55</f>
        <v>7240</v>
      </c>
      <c r="D33" s="12" t="s">
        <v>1157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152</v>
      </c>
      <c r="B34" s="200" t="str">
        <f>RIGHT(data!$C$96,4)</f>
        <v>2024</v>
      </c>
      <c r="C34" s="12" t="str">
        <f>data!AI$55</f>
        <v>7250</v>
      </c>
      <c r="D34" s="12" t="s">
        <v>1157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152</v>
      </c>
      <c r="B35" s="200" t="str">
        <f>RIGHT(data!$C$96,4)</f>
        <v>2024</v>
      </c>
      <c r="C35" s="12" t="str">
        <f>data!AJ$55</f>
        <v>7260</v>
      </c>
      <c r="D35" s="12" t="s">
        <v>1157</v>
      </c>
      <c r="E35" s="198">
        <f>ROUND(N(data!AJ59), 0)</f>
        <v>0</v>
      </c>
      <c r="F35" s="271">
        <f>ROUND(N(data!AJ60), 2)</f>
        <v>0</v>
      </c>
      <c r="G35" s="198">
        <f>ROUND(N(data!AJ61), 0)</f>
        <v>0</v>
      </c>
      <c r="H35" s="198">
        <f>ROUND(N(data!AJ62), 0)</f>
        <v>0</v>
      </c>
      <c r="I35" s="198">
        <f>ROUND(N(data!AJ63), 0)</f>
        <v>0</v>
      </c>
      <c r="J35" s="198">
        <f>ROUND(N(data!AJ64), 0)</f>
        <v>0</v>
      </c>
      <c r="K35" s="198">
        <f>ROUND(N(data!AJ65), 0)</f>
        <v>0</v>
      </c>
      <c r="L35" s="198">
        <f>ROUND(N(data!AJ66), 0)</f>
        <v>0</v>
      </c>
      <c r="M35" s="198">
        <f>ROUND(N(data!AJ67), 0)</f>
        <v>0</v>
      </c>
      <c r="N35" s="198">
        <f>ROUND(N(data!AJ68), 0)</f>
        <v>0</v>
      </c>
      <c r="O35" s="198">
        <f>ROUND(N(data!AJ69), 0)</f>
        <v>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0</v>
      </c>
      <c r="AF35" s="198">
        <f>ROUND(N(data!AJ87), 0)</f>
        <v>0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152</v>
      </c>
      <c r="B36" s="200" t="str">
        <f>RIGHT(data!$C$96,4)</f>
        <v>2024</v>
      </c>
      <c r="C36" s="12" t="str">
        <f>data!AK$55</f>
        <v>7310</v>
      </c>
      <c r="D36" s="12" t="s">
        <v>1157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152</v>
      </c>
      <c r="B37" s="200" t="str">
        <f>RIGHT(data!$C$96,4)</f>
        <v>2024</v>
      </c>
      <c r="C37" s="12" t="str">
        <f>data!AL$55</f>
        <v>7320</v>
      </c>
      <c r="D37" s="12" t="s">
        <v>1157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152</v>
      </c>
      <c r="B38" s="200" t="str">
        <f>RIGHT(data!$C$96,4)</f>
        <v>2024</v>
      </c>
      <c r="C38" s="12" t="str">
        <f>data!AM$55</f>
        <v>7330</v>
      </c>
      <c r="D38" s="12" t="s">
        <v>1157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152</v>
      </c>
      <c r="B39" s="200" t="str">
        <f>RIGHT(data!$C$96,4)</f>
        <v>2024</v>
      </c>
      <c r="C39" s="12" t="str">
        <f>data!AN$55</f>
        <v>7340</v>
      </c>
      <c r="D39" s="12" t="s">
        <v>1157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152</v>
      </c>
      <c r="B40" s="200" t="str">
        <f>RIGHT(data!$C$96,4)</f>
        <v>2024</v>
      </c>
      <c r="C40" s="12" t="str">
        <f>data!AO$55</f>
        <v>7350</v>
      </c>
      <c r="D40" s="12" t="s">
        <v>1157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152</v>
      </c>
      <c r="B41" s="200" t="str">
        <f>RIGHT(data!$C$96,4)</f>
        <v>2024</v>
      </c>
      <c r="C41" s="12" t="str">
        <f>data!AP$55</f>
        <v>7380</v>
      </c>
      <c r="D41" s="12" t="s">
        <v>1157</v>
      </c>
      <c r="E41" s="198">
        <f>ROUND(N(data!AP59), 0)</f>
        <v>95955</v>
      </c>
      <c r="F41" s="271">
        <f>ROUND(N(data!AP60), 2)</f>
        <v>174.24</v>
      </c>
      <c r="G41" s="198">
        <f>ROUND(N(data!AP61), 0)</f>
        <v>19772940</v>
      </c>
      <c r="H41" s="198">
        <f>ROUND(N(data!AP62), 0)</f>
        <v>6009359</v>
      </c>
      <c r="I41" s="198">
        <f>ROUND(N(data!AP63), 0)</f>
        <v>4934074</v>
      </c>
      <c r="J41" s="198">
        <f>ROUND(N(data!AP64), 0)</f>
        <v>1478812</v>
      </c>
      <c r="K41" s="198">
        <f>ROUND(N(data!AP65), 0)</f>
        <v>68209</v>
      </c>
      <c r="L41" s="198">
        <f>ROUND(N(data!AP66), 0)</f>
        <v>354119</v>
      </c>
      <c r="M41" s="198">
        <f>ROUND(N(data!AP67), 0)</f>
        <v>2771624</v>
      </c>
      <c r="N41" s="198">
        <f>ROUND(N(data!AP68), 0)</f>
        <v>-14380</v>
      </c>
      <c r="O41" s="198">
        <f>ROUND(N(data!AP69), 0)</f>
        <v>522325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522325</v>
      </c>
      <c r="AD41" s="198">
        <f>ROUND(N(data!AP84), 0)</f>
        <v>158210</v>
      </c>
      <c r="AE41" s="198">
        <f>ROUND(N(data!AP89), 0)</f>
        <v>44631774</v>
      </c>
      <c r="AF41" s="198">
        <f>ROUND(N(data!AP87), 0)</f>
        <v>3303799</v>
      </c>
      <c r="AG41" s="198">
        <f>ROUND(N(data!AP90), 0)</f>
        <v>63978</v>
      </c>
      <c r="AH41" s="198">
        <f>ROUND(N(data!AP91), 0)</f>
        <v>0</v>
      </c>
      <c r="AI41" s="198">
        <f>ROUND(N(data!AP92), 0)</f>
        <v>63978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152</v>
      </c>
      <c r="B42" s="200" t="str">
        <f>RIGHT(data!$C$96,4)</f>
        <v>2024</v>
      </c>
      <c r="C42" s="12" t="str">
        <f>data!AQ$55</f>
        <v>7390</v>
      </c>
      <c r="D42" s="12" t="s">
        <v>1157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152</v>
      </c>
      <c r="B43" s="200" t="str">
        <f>RIGHT(data!$C$96,4)</f>
        <v>2024</v>
      </c>
      <c r="C43" s="12" t="str">
        <f>data!AR$55</f>
        <v>7400</v>
      </c>
      <c r="D43" s="12" t="s">
        <v>1157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152</v>
      </c>
      <c r="B44" s="200" t="str">
        <f>RIGHT(data!$C$96,4)</f>
        <v>2024</v>
      </c>
      <c r="C44" s="12" t="str">
        <f>data!AS$55</f>
        <v>7410</v>
      </c>
      <c r="D44" s="12" t="s">
        <v>1157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152</v>
      </c>
      <c r="B45" s="200" t="str">
        <f>RIGHT(data!$C$96,4)</f>
        <v>2024</v>
      </c>
      <c r="C45" s="12" t="str">
        <f>data!AT$55</f>
        <v>7420</v>
      </c>
      <c r="D45" s="12" t="s">
        <v>1157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152</v>
      </c>
      <c r="B46" s="200" t="str">
        <f>RIGHT(data!$C$96,4)</f>
        <v>2024</v>
      </c>
      <c r="C46" s="12" t="str">
        <f>data!AU$55</f>
        <v>7430</v>
      </c>
      <c r="D46" s="12" t="s">
        <v>1157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152</v>
      </c>
      <c r="B47" s="200" t="str">
        <f>RIGHT(data!$C$96,4)</f>
        <v>2024</v>
      </c>
      <c r="C47" s="12" t="str">
        <f>data!AV$55</f>
        <v>7490</v>
      </c>
      <c r="D47" s="12" t="s">
        <v>1157</v>
      </c>
      <c r="E47" s="198">
        <f>ROUND(N(data!AV59), 0)</f>
        <v>0</v>
      </c>
      <c r="F47" s="271">
        <f>ROUND(N(data!AV60), 2)</f>
        <v>4.41</v>
      </c>
      <c r="G47" s="198">
        <f>ROUND(N(data!AV61), 0)</f>
        <v>421674</v>
      </c>
      <c r="H47" s="198">
        <f>ROUND(N(data!AV62), 0)</f>
        <v>158613</v>
      </c>
      <c r="I47" s="198">
        <f>ROUND(N(data!AV63), 0)</f>
        <v>40277</v>
      </c>
      <c r="J47" s="198">
        <f>ROUND(N(data!AV64), 0)</f>
        <v>9377</v>
      </c>
      <c r="K47" s="198">
        <f>ROUND(N(data!AV65), 0)</f>
        <v>0</v>
      </c>
      <c r="L47" s="198">
        <f>ROUND(N(data!AV66), 0)</f>
        <v>14742</v>
      </c>
      <c r="M47" s="198">
        <f>ROUND(N(data!AV67), 0)</f>
        <v>17570</v>
      </c>
      <c r="N47" s="198">
        <f>ROUND(N(data!AV68), 0)</f>
        <v>0</v>
      </c>
      <c r="O47" s="198">
        <f>ROUND(N(data!AV69), 0)</f>
        <v>4036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4036</v>
      </c>
      <c r="AD47" s="198">
        <f>ROUND(N(data!AV84), 0)</f>
        <v>0</v>
      </c>
      <c r="AE47" s="198">
        <f>ROUND(N(data!AV89), 0)</f>
        <v>474301</v>
      </c>
      <c r="AF47" s="198">
        <f>ROUND(N(data!AV87), 0)</f>
        <v>0</v>
      </c>
      <c r="AG47" s="198">
        <f>ROUND(N(data!AV90), 0)</f>
        <v>268</v>
      </c>
      <c r="AH47" s="198">
        <f>ROUND(N(data!AV91), 0)</f>
        <v>0</v>
      </c>
      <c r="AI47" s="198">
        <f>ROUND(N(data!AV92), 0)</f>
        <v>268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152</v>
      </c>
      <c r="B48" s="200" t="str">
        <f>RIGHT(data!$C$96,4)</f>
        <v>2024</v>
      </c>
      <c r="C48" s="12" t="str">
        <f>data!AW$55</f>
        <v>8200</v>
      </c>
      <c r="D48" s="12" t="s">
        <v>1157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152</v>
      </c>
      <c r="B49" s="200" t="str">
        <f>RIGHT(data!$C$96,4)</f>
        <v>2024</v>
      </c>
      <c r="C49" s="12" t="str">
        <f>data!AX$55</f>
        <v>8310</v>
      </c>
      <c r="D49" s="12" t="s">
        <v>1157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152</v>
      </c>
      <c r="B50" s="200" t="str">
        <f>RIGHT(data!$C$96,4)</f>
        <v>2024</v>
      </c>
      <c r="C50" s="12" t="str">
        <f>data!AY$55</f>
        <v>8320</v>
      </c>
      <c r="D50" s="12" t="s">
        <v>1157</v>
      </c>
      <c r="E50" s="198">
        <f>ROUND(N(data!AY59), 0)</f>
        <v>34002</v>
      </c>
      <c r="F50" s="271">
        <f>ROUND(N(data!AY60), 2)</f>
        <v>19.46</v>
      </c>
      <c r="G50" s="198">
        <f>ROUND(N(data!AY61), 0)</f>
        <v>1079276</v>
      </c>
      <c r="H50" s="198">
        <f>ROUND(N(data!AY62), 0)</f>
        <v>412677</v>
      </c>
      <c r="I50" s="198">
        <f>ROUND(N(data!AY63), 0)</f>
        <v>0</v>
      </c>
      <c r="J50" s="198">
        <f>ROUND(N(data!AY64), 0)</f>
        <v>1032202</v>
      </c>
      <c r="K50" s="198">
        <f>ROUND(N(data!AY65), 0)</f>
        <v>0</v>
      </c>
      <c r="L50" s="198">
        <f>ROUND(N(data!AY66), 0)</f>
        <v>9165</v>
      </c>
      <c r="M50" s="198">
        <f>ROUND(N(data!AY67), 0)</f>
        <v>330415</v>
      </c>
      <c r="N50" s="198">
        <f>ROUND(N(data!AY68), 0)</f>
        <v>0</v>
      </c>
      <c r="O50" s="198">
        <f>ROUND(N(data!AY69), 0)</f>
        <v>23970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23970</v>
      </c>
      <c r="AD50" s="198">
        <f>ROUND(N(data!AY84), 0)</f>
        <v>657680</v>
      </c>
      <c r="AE50" s="198">
        <f>ROUND(N(data!AY89), 0)</f>
        <v>0</v>
      </c>
      <c r="AF50" s="198">
        <f>ROUND(N(data!AY87), 0)</f>
        <v>0</v>
      </c>
      <c r="AG50" s="198">
        <f>ROUND(N(data!AY90), 0)</f>
        <v>5040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152</v>
      </c>
      <c r="B51" s="200" t="str">
        <f>RIGHT(data!$C$96,4)</f>
        <v>2024</v>
      </c>
      <c r="C51" s="12" t="str">
        <f>data!AZ$55</f>
        <v>8330</v>
      </c>
      <c r="D51" s="12" t="s">
        <v>1157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152</v>
      </c>
      <c r="B52" s="200" t="str">
        <f>RIGHT(data!$C$96,4)</f>
        <v>2024</v>
      </c>
      <c r="C52" s="12" t="str">
        <f>data!BA$55</f>
        <v>8350</v>
      </c>
      <c r="D52" s="12" t="s">
        <v>1157</v>
      </c>
      <c r="E52" s="198">
        <f>ROUND(N(data!BA59), 0)</f>
        <v>0</v>
      </c>
      <c r="F52" s="271">
        <f>ROUND(N(data!BA60), 2)</f>
        <v>1.02</v>
      </c>
      <c r="G52" s="198">
        <f>ROUND(N(data!BA61), 0)</f>
        <v>58219</v>
      </c>
      <c r="H52" s="198">
        <f>ROUND(N(data!BA62), 0)</f>
        <v>41232</v>
      </c>
      <c r="I52" s="198">
        <f>ROUND(N(data!BA63), 0)</f>
        <v>0</v>
      </c>
      <c r="J52" s="198">
        <f>ROUND(N(data!BA64), 0)</f>
        <v>19575</v>
      </c>
      <c r="K52" s="198">
        <f>ROUND(N(data!BA65), 0)</f>
        <v>0</v>
      </c>
      <c r="L52" s="198">
        <f>ROUND(N(data!BA66), 0)</f>
        <v>290697</v>
      </c>
      <c r="M52" s="198">
        <f>ROUND(N(data!BA67), 0)</f>
        <v>95781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1461</v>
      </c>
      <c r="AH52" s="198">
        <f>ROUND(N(data!BA91), 0)</f>
        <v>0</v>
      </c>
      <c r="AI52" s="198">
        <f>ROUND(N(data!BA92), 0)</f>
        <v>1461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152</v>
      </c>
      <c r="B53" s="200" t="str">
        <f>RIGHT(data!$C$96,4)</f>
        <v>2024</v>
      </c>
      <c r="C53" s="12" t="str">
        <f>data!BB$55</f>
        <v>8360</v>
      </c>
      <c r="D53" s="12" t="s">
        <v>1157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152</v>
      </c>
      <c r="B54" s="200" t="str">
        <f>RIGHT(data!$C$96,4)</f>
        <v>2024</v>
      </c>
      <c r="C54" s="12" t="str">
        <f>data!BC$55</f>
        <v>8370</v>
      </c>
      <c r="D54" s="12" t="s">
        <v>1157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152</v>
      </c>
      <c r="B55" s="200" t="str">
        <f>RIGHT(data!$C$96,4)</f>
        <v>2024</v>
      </c>
      <c r="C55" s="12" t="str">
        <f>data!BD$55</f>
        <v>8420</v>
      </c>
      <c r="D55" s="12" t="s">
        <v>1157</v>
      </c>
      <c r="E55" s="198">
        <f>ROUND(N(data!BD59), 0)</f>
        <v>0</v>
      </c>
      <c r="F55" s="271">
        <f>ROUND(N(data!BD60), 2)</f>
        <v>7.66</v>
      </c>
      <c r="G55" s="198">
        <f>ROUND(N(data!BD61), 0)</f>
        <v>525909</v>
      </c>
      <c r="H55" s="198">
        <f>ROUND(N(data!BD62), 0)</f>
        <v>205124</v>
      </c>
      <c r="I55" s="198">
        <f>ROUND(N(data!BD63), 0)</f>
        <v>0</v>
      </c>
      <c r="J55" s="198">
        <f>ROUND(N(data!BD64), 0)</f>
        <v>16111</v>
      </c>
      <c r="K55" s="198">
        <f>ROUND(N(data!BD65), 0)</f>
        <v>2883</v>
      </c>
      <c r="L55" s="198">
        <f>ROUND(N(data!BD66), 0)</f>
        <v>41688</v>
      </c>
      <c r="M55" s="198">
        <f>ROUND(N(data!BD67), 0)</f>
        <v>223030</v>
      </c>
      <c r="N55" s="198">
        <f>ROUND(N(data!BD68), 0)</f>
        <v>9846</v>
      </c>
      <c r="O55" s="198">
        <f>ROUND(N(data!BD69), 0)</f>
        <v>71303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71303</v>
      </c>
      <c r="AD55" s="198">
        <f>ROUND(N(data!BD84), 0)</f>
        <v>4040</v>
      </c>
      <c r="AE55" s="198">
        <f>ROUND(N(data!BD89), 0)</f>
        <v>0</v>
      </c>
      <c r="AF55" s="198">
        <f>ROUND(N(data!BD87), 0)</f>
        <v>0</v>
      </c>
      <c r="AG55" s="198">
        <f>ROUND(N(data!BD90), 0)</f>
        <v>3402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152</v>
      </c>
      <c r="B56" s="200" t="str">
        <f>RIGHT(data!$C$96,4)</f>
        <v>2024</v>
      </c>
      <c r="C56" s="12" t="str">
        <f>data!BE$55</f>
        <v>8430</v>
      </c>
      <c r="D56" s="12" t="s">
        <v>1157</v>
      </c>
      <c r="E56" s="198">
        <f>ROUND(N(data!BE59), 0)</f>
        <v>227969</v>
      </c>
      <c r="F56" s="271">
        <f>ROUND(N(data!BE60), 2)</f>
        <v>10.51</v>
      </c>
      <c r="G56" s="198">
        <f>ROUND(N(data!BE61), 0)</f>
        <v>884730</v>
      </c>
      <c r="H56" s="198">
        <f>ROUND(N(data!BE62), 0)</f>
        <v>343860</v>
      </c>
      <c r="I56" s="198">
        <f>ROUND(N(data!BE63), 0)</f>
        <v>109</v>
      </c>
      <c r="J56" s="198">
        <f>ROUND(N(data!BE64), 0)</f>
        <v>128429</v>
      </c>
      <c r="K56" s="198">
        <f>ROUND(N(data!BE65), 0)</f>
        <v>787524</v>
      </c>
      <c r="L56" s="198">
        <f>ROUND(N(data!BE66), 0)</f>
        <v>807547</v>
      </c>
      <c r="M56" s="198">
        <f>ROUND(N(data!BE67), 0)</f>
        <v>1946697</v>
      </c>
      <c r="N56" s="198">
        <f>ROUND(N(data!BE68), 0)</f>
        <v>5351</v>
      </c>
      <c r="O56" s="198">
        <f>ROUND(N(data!BE69), 0)</f>
        <v>24696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24696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29694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152</v>
      </c>
      <c r="B57" s="200" t="str">
        <f>RIGHT(data!$C$96,4)</f>
        <v>2024</v>
      </c>
      <c r="C57" s="12" t="str">
        <f>data!BF$55</f>
        <v>8460</v>
      </c>
      <c r="D57" s="12" t="s">
        <v>1157</v>
      </c>
      <c r="E57" s="198">
        <f>ROUND(N(data!BF59), 0)</f>
        <v>0</v>
      </c>
      <c r="F57" s="271">
        <f>ROUND(N(data!BF60), 2)</f>
        <v>32.340000000000003</v>
      </c>
      <c r="G57" s="198">
        <f>ROUND(N(data!BF61), 0)</f>
        <v>1777783</v>
      </c>
      <c r="H57" s="198">
        <f>ROUND(N(data!BF62), 0)</f>
        <v>727320</v>
      </c>
      <c r="I57" s="198">
        <f>ROUND(N(data!BF63), 0)</f>
        <v>0</v>
      </c>
      <c r="J57" s="198">
        <f>ROUND(N(data!BF64), 0)</f>
        <v>180213</v>
      </c>
      <c r="K57" s="198">
        <f>ROUND(N(data!BF65), 0)</f>
        <v>202621</v>
      </c>
      <c r="L57" s="198">
        <f>ROUND(N(data!BF66), 0)</f>
        <v>81506</v>
      </c>
      <c r="M57" s="198">
        <f>ROUND(N(data!BF67), 0)</f>
        <v>132166</v>
      </c>
      <c r="N57" s="198">
        <f>ROUND(N(data!BF68), 0)</f>
        <v>0</v>
      </c>
      <c r="O57" s="198">
        <f>ROUND(N(data!BF69), 0)</f>
        <v>7674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7674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2016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152</v>
      </c>
      <c r="B58" s="200" t="str">
        <f>RIGHT(data!$C$96,4)</f>
        <v>2024</v>
      </c>
      <c r="C58" s="12" t="str">
        <f>data!BG$55</f>
        <v>8470</v>
      </c>
      <c r="D58" s="12" t="s">
        <v>1157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152</v>
      </c>
      <c r="B59" s="200" t="str">
        <f>RIGHT(data!$C$96,4)</f>
        <v>2024</v>
      </c>
      <c r="C59" s="12" t="str">
        <f>data!BH$55</f>
        <v>8480</v>
      </c>
      <c r="D59" s="12" t="s">
        <v>1157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96774</v>
      </c>
      <c r="K59" s="198">
        <f>ROUND(N(data!BH65), 0)</f>
        <v>242662</v>
      </c>
      <c r="L59" s="198">
        <f>ROUND(N(data!BH66), 0)</f>
        <v>3974034</v>
      </c>
      <c r="M59" s="198">
        <f>ROUND(N(data!BH67), 0)</f>
        <v>557314</v>
      </c>
      <c r="N59" s="198">
        <f>ROUND(N(data!BH68), 0)</f>
        <v>202837</v>
      </c>
      <c r="O59" s="198">
        <f>ROUND(N(data!BH69), 0)</f>
        <v>943217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943217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8501</v>
      </c>
      <c r="AH59" s="198">
        <f>ROUND(N(data!BH91), 0)</f>
        <v>0</v>
      </c>
      <c r="AI59" s="198">
        <f>ROUND(N(data!BH92), 0)</f>
        <v>8501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152</v>
      </c>
      <c r="B60" s="200" t="str">
        <f>RIGHT(data!$C$96,4)</f>
        <v>2024</v>
      </c>
      <c r="C60" s="12" t="str">
        <f>data!BI$55</f>
        <v>8490</v>
      </c>
      <c r="D60" s="12" t="s">
        <v>1157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152</v>
      </c>
      <c r="B61" s="200" t="str">
        <f>RIGHT(data!$C$96,4)</f>
        <v>2024</v>
      </c>
      <c r="C61" s="12" t="str">
        <f>data!BJ$55</f>
        <v>8510</v>
      </c>
      <c r="D61" s="12" t="s">
        <v>1157</v>
      </c>
      <c r="E61" s="198">
        <f>ROUND(N(data!BJ59), 0)</f>
        <v>0</v>
      </c>
      <c r="F61" s="271">
        <f>ROUND(N(data!BJ60), 2)</f>
        <v>6.4</v>
      </c>
      <c r="G61" s="198">
        <f>ROUND(N(data!BJ61), 0)</f>
        <v>630386</v>
      </c>
      <c r="H61" s="198">
        <f>ROUND(N(data!BJ62), 0)</f>
        <v>243016</v>
      </c>
      <c r="I61" s="198">
        <f>ROUND(N(data!BJ63), 0)</f>
        <v>0</v>
      </c>
      <c r="J61" s="198">
        <f>ROUND(N(data!BJ64), 0)</f>
        <v>3607</v>
      </c>
      <c r="K61" s="198">
        <f>ROUND(N(data!BJ65), 0)</f>
        <v>0</v>
      </c>
      <c r="L61" s="198">
        <f>ROUND(N(data!BJ66), 0)</f>
        <v>4666</v>
      </c>
      <c r="M61" s="198">
        <f>ROUND(N(data!BJ67), 0)</f>
        <v>0</v>
      </c>
      <c r="N61" s="198">
        <f>ROUND(N(data!BJ68), 0)</f>
        <v>-12</v>
      </c>
      <c r="O61" s="198">
        <f>ROUND(N(data!BJ69), 0)</f>
        <v>172156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172156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152</v>
      </c>
      <c r="B62" s="200" t="str">
        <f>RIGHT(data!$C$96,4)</f>
        <v>2024</v>
      </c>
      <c r="C62" s="12" t="str">
        <f>data!BK$55</f>
        <v>8530</v>
      </c>
      <c r="D62" s="12" t="s">
        <v>1157</v>
      </c>
      <c r="E62" s="198">
        <f>ROUND(N(data!BK59), 0)</f>
        <v>0</v>
      </c>
      <c r="F62" s="271">
        <f>ROUND(N(data!BK60), 2)</f>
        <v>21.18</v>
      </c>
      <c r="G62" s="198">
        <f>ROUND(N(data!BK61), 0)</f>
        <v>1355592</v>
      </c>
      <c r="H62" s="198">
        <f>ROUND(N(data!BK62), 0)</f>
        <v>583606</v>
      </c>
      <c r="I62" s="198">
        <f>ROUND(N(data!BK63), 0)</f>
        <v>39735</v>
      </c>
      <c r="J62" s="198">
        <f>ROUND(N(data!BK64), 0)</f>
        <v>15421</v>
      </c>
      <c r="K62" s="198">
        <f>ROUND(N(data!BK65), 0)</f>
        <v>0</v>
      </c>
      <c r="L62" s="198">
        <f>ROUND(N(data!BK66), 0)</f>
        <v>288873</v>
      </c>
      <c r="M62" s="198">
        <f>ROUND(N(data!BK67), 0)</f>
        <v>191890</v>
      </c>
      <c r="N62" s="198">
        <f>ROUND(N(data!BK68), 0)</f>
        <v>4279</v>
      </c>
      <c r="O62" s="198">
        <f>ROUND(N(data!BK69), 0)</f>
        <v>4530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4530</v>
      </c>
      <c r="AD62" s="198">
        <f>ROUND(N(data!BK84), 0)</f>
        <v>537</v>
      </c>
      <c r="AE62" s="198">
        <f>ROUND(N(data!BK89), 0)</f>
        <v>0</v>
      </c>
      <c r="AF62" s="198">
        <f>ROUND(N(data!BK87), 0)</f>
        <v>0</v>
      </c>
      <c r="AG62" s="198">
        <f>ROUND(N(data!BK90), 0)</f>
        <v>2927</v>
      </c>
      <c r="AH62" s="198">
        <f>ROUND(N(data!BK91), 0)</f>
        <v>0</v>
      </c>
      <c r="AI62" s="198">
        <f>ROUND(N(data!BK92), 0)</f>
        <v>2927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152</v>
      </c>
      <c r="B63" s="200" t="str">
        <f>RIGHT(data!$C$96,4)</f>
        <v>2024</v>
      </c>
      <c r="C63" s="12" t="str">
        <f>data!BL$55</f>
        <v>8560</v>
      </c>
      <c r="D63" s="12" t="s">
        <v>1157</v>
      </c>
      <c r="E63" s="198">
        <f>ROUND(N(data!BL59), 0)</f>
        <v>0</v>
      </c>
      <c r="F63" s="271">
        <f>ROUND(N(data!BL60), 2)</f>
        <v>24.58</v>
      </c>
      <c r="G63" s="198">
        <f>ROUND(N(data!BL61), 0)</f>
        <v>1369971</v>
      </c>
      <c r="H63" s="198">
        <f>ROUND(N(data!BL62), 0)</f>
        <v>626073</v>
      </c>
      <c r="I63" s="198">
        <f>ROUND(N(data!BL63), 0)</f>
        <v>0</v>
      </c>
      <c r="J63" s="198">
        <f>ROUND(N(data!BL64), 0)</f>
        <v>13850</v>
      </c>
      <c r="K63" s="198">
        <f>ROUND(N(data!BL65), 0)</f>
        <v>0</v>
      </c>
      <c r="L63" s="198">
        <f>ROUND(N(data!BL66), 0)</f>
        <v>2823</v>
      </c>
      <c r="M63" s="198">
        <f>ROUND(N(data!BL67), 0)</f>
        <v>242173</v>
      </c>
      <c r="N63" s="198">
        <f>ROUND(N(data!BL68), 0)</f>
        <v>0</v>
      </c>
      <c r="O63" s="198">
        <f>ROUND(N(data!BL69), 0)</f>
        <v>1099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1099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3694</v>
      </c>
      <c r="AH63" s="198">
        <f>ROUND(N(data!BL91), 0)</f>
        <v>0</v>
      </c>
      <c r="AI63" s="198">
        <f>ROUND(N(data!BL92), 0)</f>
        <v>3694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152</v>
      </c>
      <c r="B64" s="200" t="str">
        <f>RIGHT(data!$C$96,4)</f>
        <v>2024</v>
      </c>
      <c r="C64" s="12" t="str">
        <f>data!BM$55</f>
        <v>8590</v>
      </c>
      <c r="D64" s="12" t="s">
        <v>1157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152</v>
      </c>
      <c r="B65" s="200" t="str">
        <f>RIGHT(data!$C$96,4)</f>
        <v>2024</v>
      </c>
      <c r="C65" s="12" t="str">
        <f>data!BN$55</f>
        <v>8610</v>
      </c>
      <c r="D65" s="12" t="s">
        <v>1157</v>
      </c>
      <c r="E65" s="198">
        <f>ROUND(N(data!BN59), 0)</f>
        <v>0</v>
      </c>
      <c r="F65" s="271">
        <f>ROUND(N(data!BN60), 2)</f>
        <v>10.62</v>
      </c>
      <c r="G65" s="198">
        <f>ROUND(N(data!BN61), 0)</f>
        <v>2265115</v>
      </c>
      <c r="H65" s="198">
        <f>ROUND(N(data!BN62), 0)</f>
        <v>607681</v>
      </c>
      <c r="I65" s="198">
        <f>ROUND(N(data!BN63), 0)</f>
        <v>431558</v>
      </c>
      <c r="J65" s="198">
        <f>ROUND(N(data!BN64), 0)</f>
        <v>17126</v>
      </c>
      <c r="K65" s="198">
        <f>ROUND(N(data!BN65), 0)</f>
        <v>906</v>
      </c>
      <c r="L65" s="198">
        <f>ROUND(N(data!BN66), 0)</f>
        <v>420057</v>
      </c>
      <c r="M65" s="198">
        <f>ROUND(N(data!BN67), 0)</f>
        <v>639655</v>
      </c>
      <c r="N65" s="198">
        <f>ROUND(N(data!BN68), 0)</f>
        <v>24666</v>
      </c>
      <c r="O65" s="198">
        <f>ROUND(N(data!BN69), 0)</f>
        <v>337983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337983</v>
      </c>
      <c r="AD65" s="198">
        <f>ROUND(N(data!BN84), 0)</f>
        <v>101661</v>
      </c>
      <c r="AE65" s="198">
        <f>ROUND(N(data!BN89), 0)</f>
        <v>0</v>
      </c>
      <c r="AF65" s="198">
        <f>ROUND(N(data!BN87), 0)</f>
        <v>0</v>
      </c>
      <c r="AG65" s="198">
        <f>ROUND(N(data!BN90), 0)</f>
        <v>9757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152</v>
      </c>
      <c r="B66" s="200" t="str">
        <f>RIGHT(data!$C$96,4)</f>
        <v>2024</v>
      </c>
      <c r="C66" s="12" t="str">
        <f>data!BO$55</f>
        <v>8620</v>
      </c>
      <c r="D66" s="12" t="s">
        <v>1157</v>
      </c>
      <c r="E66" s="198">
        <f>ROUND(N(data!BO59), 0)</f>
        <v>0</v>
      </c>
      <c r="F66" s="271">
        <f>ROUND(N(data!BO60), 2)</f>
        <v>1.92</v>
      </c>
      <c r="G66" s="198">
        <f>ROUND(N(data!BO61), 0)</f>
        <v>202580</v>
      </c>
      <c r="H66" s="198">
        <f>ROUND(N(data!BO62), 0)</f>
        <v>68946</v>
      </c>
      <c r="I66" s="198">
        <f>ROUND(N(data!BO63), 0)</f>
        <v>0</v>
      </c>
      <c r="J66" s="198">
        <f>ROUND(N(data!BO64), 0)</f>
        <v>26788</v>
      </c>
      <c r="K66" s="198">
        <f>ROUND(N(data!BO65), 0)</f>
        <v>137</v>
      </c>
      <c r="L66" s="198">
        <f>ROUND(N(data!BO66), 0)</f>
        <v>55479</v>
      </c>
      <c r="M66" s="198">
        <f>ROUND(N(data!BO67), 0)</f>
        <v>8982</v>
      </c>
      <c r="N66" s="198">
        <f>ROUND(N(data!BO68), 0)</f>
        <v>0</v>
      </c>
      <c r="O66" s="198">
        <f>ROUND(N(data!BO69), 0)</f>
        <v>2858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2858</v>
      </c>
      <c r="AD66" s="198">
        <f>ROUND(N(data!BO84), 0)</f>
        <v>2530</v>
      </c>
      <c r="AE66" s="198">
        <f>ROUND(N(data!BO89), 0)</f>
        <v>0</v>
      </c>
      <c r="AF66" s="198">
        <f>ROUND(N(data!BO87), 0)</f>
        <v>0</v>
      </c>
      <c r="AG66" s="198">
        <f>ROUND(N(data!BO90), 0)</f>
        <v>137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152</v>
      </c>
      <c r="B67" s="200" t="str">
        <f>RIGHT(data!$C$96,4)</f>
        <v>2024</v>
      </c>
      <c r="C67" s="12" t="str">
        <f>data!BP$55</f>
        <v>8630</v>
      </c>
      <c r="D67" s="12" t="s">
        <v>1157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6864</v>
      </c>
      <c r="K67" s="198">
        <f>ROUND(N(data!BP65), 0)</f>
        <v>0</v>
      </c>
      <c r="L67" s="198">
        <f>ROUND(N(data!BP66), 0)</f>
        <v>292050</v>
      </c>
      <c r="M67" s="198">
        <f>ROUND(N(data!BP67), 0)</f>
        <v>186711</v>
      </c>
      <c r="N67" s="198">
        <f>ROUND(N(data!BP68), 0)</f>
        <v>715</v>
      </c>
      <c r="O67" s="198">
        <f>ROUND(N(data!BP69), 0)</f>
        <v>75399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75399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2848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152</v>
      </c>
      <c r="B68" s="200" t="str">
        <f>RIGHT(data!$C$96,4)</f>
        <v>2024</v>
      </c>
      <c r="C68" s="12" t="str">
        <f>data!BQ$55</f>
        <v>8640</v>
      </c>
      <c r="D68" s="12" t="s">
        <v>1157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152</v>
      </c>
      <c r="B69" s="200" t="str">
        <f>RIGHT(data!$C$96,4)</f>
        <v>2024</v>
      </c>
      <c r="C69" s="12" t="str">
        <f>data!BR$55</f>
        <v>8650</v>
      </c>
      <c r="D69" s="12" t="s">
        <v>1157</v>
      </c>
      <c r="E69" s="198">
        <f>ROUND(N(data!BR59), 0)</f>
        <v>0</v>
      </c>
      <c r="F69" s="271">
        <f>ROUND(N(data!BR60), 2)</f>
        <v>7.61</v>
      </c>
      <c r="G69" s="198">
        <f>ROUND(N(data!BR61), 0)</f>
        <v>951022</v>
      </c>
      <c r="H69" s="198">
        <f>ROUND(N(data!BR62), 0)</f>
        <v>226381</v>
      </c>
      <c r="I69" s="198">
        <f>ROUND(N(data!BR63), 0)</f>
        <v>8400</v>
      </c>
      <c r="J69" s="198">
        <f>ROUND(N(data!BR64), 0)</f>
        <v>13455</v>
      </c>
      <c r="K69" s="198">
        <f>ROUND(N(data!BR65), 0)</f>
        <v>1990</v>
      </c>
      <c r="L69" s="198">
        <f>ROUND(N(data!BR66), 0)</f>
        <v>404119</v>
      </c>
      <c r="M69" s="198">
        <f>ROUND(N(data!BR67), 0)</f>
        <v>139574</v>
      </c>
      <c r="N69" s="198">
        <f>ROUND(N(data!BR68), 0)</f>
        <v>24870</v>
      </c>
      <c r="O69" s="198">
        <f>ROUND(N(data!BR69), 0)</f>
        <v>431746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431746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2129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152</v>
      </c>
      <c r="B70" s="200" t="str">
        <f>RIGHT(data!$C$96,4)</f>
        <v>2024</v>
      </c>
      <c r="C70" s="12" t="str">
        <f>data!BS$55</f>
        <v>8660</v>
      </c>
      <c r="D70" s="12" t="s">
        <v>1157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152</v>
      </c>
      <c r="B71" s="200" t="str">
        <f>RIGHT(data!$C$96,4)</f>
        <v>2024</v>
      </c>
      <c r="C71" s="12" t="str">
        <f>data!BT$55</f>
        <v>8670</v>
      </c>
      <c r="D71" s="12" t="s">
        <v>1157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152</v>
      </c>
      <c r="B72" s="200" t="str">
        <f>RIGHT(data!$C$96,4)</f>
        <v>2024</v>
      </c>
      <c r="C72" s="12" t="str">
        <f>data!BU$55</f>
        <v>8680</v>
      </c>
      <c r="D72" s="12" t="s">
        <v>1157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152</v>
      </c>
      <c r="B73" s="200" t="str">
        <f>RIGHT(data!$C$96,4)</f>
        <v>2024</v>
      </c>
      <c r="C73" s="12" t="str">
        <f>data!BV$55</f>
        <v>8690</v>
      </c>
      <c r="D73" s="12" t="s">
        <v>1157</v>
      </c>
      <c r="E73" s="198">
        <f>ROUND(N(data!BV59), 0)</f>
        <v>0</v>
      </c>
      <c r="F73" s="271">
        <f>ROUND(N(data!BV60), 2)</f>
        <v>23.77</v>
      </c>
      <c r="G73" s="198">
        <f>ROUND(N(data!BV61), 0)</f>
        <v>1544642</v>
      </c>
      <c r="H73" s="198">
        <f>ROUND(N(data!BV62), 0)</f>
        <v>669681</v>
      </c>
      <c r="I73" s="198">
        <f>ROUND(N(data!BV63), 0)</f>
        <v>0</v>
      </c>
      <c r="J73" s="198">
        <f>ROUND(N(data!BV64), 0)</f>
        <v>7852</v>
      </c>
      <c r="K73" s="198">
        <f>ROUND(N(data!BV65), 0)</f>
        <v>930</v>
      </c>
      <c r="L73" s="198">
        <f>ROUND(N(data!BV66), 0)</f>
        <v>6397</v>
      </c>
      <c r="M73" s="198">
        <f>ROUND(N(data!BV67), 0)</f>
        <v>298029</v>
      </c>
      <c r="N73" s="198">
        <f>ROUND(N(data!BV68), 0)</f>
        <v>-5</v>
      </c>
      <c r="O73" s="198">
        <f>ROUND(N(data!BV69), 0)</f>
        <v>15767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15767</v>
      </c>
      <c r="AD73" s="198">
        <f>ROUND(N(data!BV84), 0)</f>
        <v>29028</v>
      </c>
      <c r="AE73" s="198">
        <f>ROUND(N(data!BV89), 0)</f>
        <v>0</v>
      </c>
      <c r="AF73" s="198">
        <f>ROUND(N(data!BV87), 0)</f>
        <v>0</v>
      </c>
      <c r="AG73" s="198">
        <f>ROUND(N(data!BV90), 0)</f>
        <v>4546</v>
      </c>
      <c r="AH73" s="198">
        <f>ROUND(N(data!BV91), 0)</f>
        <v>0</v>
      </c>
      <c r="AI73" s="198">
        <f>ROUND(N(data!BV92), 0)</f>
        <v>4546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152</v>
      </c>
      <c r="B74" s="200" t="str">
        <f>RIGHT(data!$C$96,4)</f>
        <v>2024</v>
      </c>
      <c r="C74" s="12" t="str">
        <f>data!BW$55</f>
        <v>8700</v>
      </c>
      <c r="D74" s="12" t="s">
        <v>1157</v>
      </c>
      <c r="E74" s="198">
        <f>ROUND(N(data!BW59), 0)</f>
        <v>0</v>
      </c>
      <c r="F74" s="271">
        <f>ROUND(N(data!BW60), 2)</f>
        <v>2</v>
      </c>
      <c r="G74" s="198">
        <f>ROUND(N(data!BW61), 0)</f>
        <v>178228</v>
      </c>
      <c r="H74" s="198">
        <f>ROUND(N(data!BW62), 0)</f>
        <v>62741</v>
      </c>
      <c r="I74" s="198">
        <f>ROUND(N(data!BW63), 0)</f>
        <v>0</v>
      </c>
      <c r="J74" s="198">
        <f>ROUND(N(data!BW64), 0)</f>
        <v>1130</v>
      </c>
      <c r="K74" s="198">
        <f>ROUND(N(data!BW65), 0)</f>
        <v>0</v>
      </c>
      <c r="L74" s="198">
        <f>ROUND(N(data!BW66), 0)</f>
        <v>67598</v>
      </c>
      <c r="M74" s="198">
        <f>ROUND(N(data!BW67), 0)</f>
        <v>67001</v>
      </c>
      <c r="N74" s="198">
        <f>ROUND(N(data!BW68), 0)</f>
        <v>1316</v>
      </c>
      <c r="O74" s="198">
        <f>ROUND(N(data!BW69), 0)</f>
        <v>59195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59195</v>
      </c>
      <c r="AD74" s="198">
        <f>ROUND(N(data!BW84), 0)</f>
        <v>7225</v>
      </c>
      <c r="AE74" s="198">
        <f>ROUND(N(data!BW89), 0)</f>
        <v>0</v>
      </c>
      <c r="AF74" s="198">
        <f>ROUND(N(data!BW87), 0)</f>
        <v>0</v>
      </c>
      <c r="AG74" s="198">
        <f>ROUND(N(data!BW90), 0)</f>
        <v>1022</v>
      </c>
      <c r="AH74" s="198">
        <f>ROUND(N(data!BW91), 0)</f>
        <v>0</v>
      </c>
      <c r="AI74" s="198">
        <f>ROUND(N(data!BW92), 0)</f>
        <v>1022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152</v>
      </c>
      <c r="B75" s="200" t="str">
        <f>RIGHT(data!$C$96,4)</f>
        <v>2024</v>
      </c>
      <c r="C75" s="12" t="str">
        <f>data!BX$55</f>
        <v>8710</v>
      </c>
      <c r="D75" s="12" t="s">
        <v>1157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152</v>
      </c>
      <c r="B76" s="200" t="str">
        <f>RIGHT(data!$C$96,4)</f>
        <v>2024</v>
      </c>
      <c r="C76" s="12" t="str">
        <f>data!BY$55</f>
        <v>8720</v>
      </c>
      <c r="D76" s="12" t="s">
        <v>1157</v>
      </c>
      <c r="E76" s="198">
        <f>ROUND(N(data!BY59), 0)</f>
        <v>0</v>
      </c>
      <c r="F76" s="271">
        <f>ROUND(N(data!BY60), 2)</f>
        <v>13.93</v>
      </c>
      <c r="G76" s="198">
        <f>ROUND(N(data!BY61), 0)</f>
        <v>1896953</v>
      </c>
      <c r="H76" s="198">
        <f>ROUND(N(data!BY62), 0)</f>
        <v>471817</v>
      </c>
      <c r="I76" s="198">
        <f>ROUND(N(data!BY63), 0)</f>
        <v>0</v>
      </c>
      <c r="J76" s="198">
        <f>ROUND(N(data!BY64), 0)</f>
        <v>9018</v>
      </c>
      <c r="K76" s="198">
        <f>ROUND(N(data!BY65), 0)</f>
        <v>702</v>
      </c>
      <c r="L76" s="198">
        <f>ROUND(N(data!BY66), 0)</f>
        <v>227280</v>
      </c>
      <c r="M76" s="198">
        <f>ROUND(N(data!BY67), 0)</f>
        <v>60314</v>
      </c>
      <c r="N76" s="198">
        <f>ROUND(N(data!BY68), 0)</f>
        <v>0</v>
      </c>
      <c r="O76" s="198">
        <f>ROUND(N(data!BY69), 0)</f>
        <v>30764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30764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920</v>
      </c>
      <c r="AH76" s="198">
        <f>ROUND(N(data!BY91), 0)</f>
        <v>0</v>
      </c>
      <c r="AI76" s="198">
        <f>ROUND(N(data!BY92), 0)</f>
        <v>920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152</v>
      </c>
      <c r="B77" s="200" t="str">
        <f>RIGHT(data!$C$96,4)</f>
        <v>2024</v>
      </c>
      <c r="C77" s="12" t="str">
        <f>data!BZ$55</f>
        <v>8730</v>
      </c>
      <c r="D77" s="12" t="s">
        <v>1157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152</v>
      </c>
      <c r="B78" s="200" t="str">
        <f>RIGHT(data!$C$96,4)</f>
        <v>2024</v>
      </c>
      <c r="C78" s="12" t="str">
        <f>data!CA$55</f>
        <v>8740</v>
      </c>
      <c r="D78" s="12" t="s">
        <v>1157</v>
      </c>
      <c r="E78" s="198">
        <f>ROUND(N(data!CA59), 0)</f>
        <v>0</v>
      </c>
      <c r="F78" s="271">
        <f>ROUND(N(data!CA60), 2)</f>
        <v>1.05</v>
      </c>
      <c r="G78" s="198">
        <f>ROUND(N(data!CA61), 0)</f>
        <v>92725</v>
      </c>
      <c r="H78" s="198">
        <f>ROUND(N(data!CA62), 0)</f>
        <v>29864</v>
      </c>
      <c r="I78" s="198">
        <f>ROUND(N(data!CA63), 0)</f>
        <v>0</v>
      </c>
      <c r="J78" s="198">
        <f>ROUND(N(data!CA64), 0)</f>
        <v>7142</v>
      </c>
      <c r="K78" s="198">
        <f>ROUND(N(data!CA65), 0)</f>
        <v>0</v>
      </c>
      <c r="L78" s="198">
        <f>ROUND(N(data!CA66), 0)</f>
        <v>55587</v>
      </c>
      <c r="M78" s="198">
        <f>ROUND(N(data!CA67), 0)</f>
        <v>68574</v>
      </c>
      <c r="N78" s="198">
        <f>ROUND(N(data!CA68), 0)</f>
        <v>-4264</v>
      </c>
      <c r="O78" s="198">
        <f>ROUND(N(data!CA69), 0)</f>
        <v>17096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17096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1046</v>
      </c>
      <c r="AH78" s="198">
        <f>ROUND(N(data!CA91), 0)</f>
        <v>0</v>
      </c>
      <c r="AI78" s="198">
        <f>ROUND(N(data!CA92), 0)</f>
        <v>1046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152</v>
      </c>
      <c r="B79" s="200" t="str">
        <f>RIGHT(data!$C$96,4)</f>
        <v>2024</v>
      </c>
      <c r="C79" s="12" t="str">
        <f>data!CB$55</f>
        <v>8770</v>
      </c>
      <c r="D79" s="12" t="s">
        <v>1157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152</v>
      </c>
      <c r="B80" s="200" t="str">
        <f>RIGHT(data!$C$96,4)</f>
        <v>2024</v>
      </c>
      <c r="C80" s="12" t="str">
        <f>data!CC$55</f>
        <v>8790</v>
      </c>
      <c r="D80" s="12" t="s">
        <v>1157</v>
      </c>
      <c r="E80" s="198">
        <f>ROUND(N(data!CC59), 0)</f>
        <v>0</v>
      </c>
      <c r="F80" s="271">
        <f>ROUND(N(data!CC60), 2)</f>
        <v>16.309999999999999</v>
      </c>
      <c r="G80" s="198">
        <f>ROUND(N(data!CC61), 0)</f>
        <v>1763493</v>
      </c>
      <c r="H80" s="198">
        <f>ROUND(N(data!CC62), 0)</f>
        <v>592560</v>
      </c>
      <c r="I80" s="198">
        <f>ROUND(N(data!CC63), 0)</f>
        <v>0</v>
      </c>
      <c r="J80" s="198">
        <f>ROUND(N(data!CC64), 0)</f>
        <v>20935</v>
      </c>
      <c r="K80" s="198">
        <f>ROUND(N(data!CC65), 0)</f>
        <v>3427</v>
      </c>
      <c r="L80" s="198">
        <f>ROUND(N(data!CC66), 0)</f>
        <v>1040525</v>
      </c>
      <c r="M80" s="198">
        <f>ROUND(N(data!CC67), 0)</f>
        <v>188874</v>
      </c>
      <c r="N80" s="198">
        <f>ROUND(N(data!CC68), 0)</f>
        <v>2</v>
      </c>
      <c r="O80" s="198">
        <f>ROUND(N(data!CC69), 0)</f>
        <v>41909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41909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2881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Q37" sqref="Q37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694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695</v>
      </c>
      <c r="G3" s="10"/>
      <c r="J3" s="99"/>
    </row>
    <row r="4" spans="2:10" x14ac:dyDescent="0.25">
      <c r="B4" s="98"/>
      <c r="F4" s="10" t="s">
        <v>696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697</v>
      </c>
      <c r="G8" s="10"/>
      <c r="J8" s="99"/>
    </row>
    <row r="9" spans="2:10" x14ac:dyDescent="0.25">
      <c r="B9" s="95"/>
      <c r="C9" s="96"/>
      <c r="D9" s="96"/>
      <c r="E9" s="96"/>
      <c r="F9" s="103" t="s">
        <v>698</v>
      </c>
      <c r="G9" s="103"/>
      <c r="H9" s="96"/>
      <c r="I9" s="96"/>
      <c r="J9" s="97"/>
    </row>
    <row r="10" spans="2:10" x14ac:dyDescent="0.25">
      <c r="B10" s="98"/>
      <c r="F10" s="10" t="s">
        <v>699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700</v>
      </c>
      <c r="G12" s="10"/>
      <c r="J12" s="99"/>
    </row>
    <row r="13" spans="2:10" x14ac:dyDescent="0.25">
      <c r="B13" s="98"/>
      <c r="F13" s="10" t="s">
        <v>701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702</v>
      </c>
      <c r="J16" s="99"/>
    </row>
    <row r="17" spans="2:10" x14ac:dyDescent="0.25">
      <c r="B17" s="95"/>
      <c r="C17" s="104" t="s">
        <v>703</v>
      </c>
      <c r="D17" s="104"/>
      <c r="E17" s="96" t="str">
        <f>+data!C98</f>
        <v>Public Hospital District No 1 of Mason County, WA, DBA Mason Health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704</v>
      </c>
      <c r="D18" s="53"/>
      <c r="E18" s="11" t="str">
        <f>+"H-"&amp;data!C97</f>
        <v>H-152</v>
      </c>
      <c r="F18" s="10"/>
      <c r="G18" s="10"/>
      <c r="J18" s="99"/>
    </row>
    <row r="19" spans="2:10" x14ac:dyDescent="0.25">
      <c r="B19" s="98"/>
      <c r="C19" s="53" t="s">
        <v>705</v>
      </c>
      <c r="D19" s="53"/>
      <c r="E19" s="11" t="str">
        <f>+data!C99</f>
        <v>901 Mountain View Drive</v>
      </c>
      <c r="F19" s="10"/>
      <c r="G19" s="10"/>
      <c r="J19" s="99"/>
    </row>
    <row r="20" spans="2:10" x14ac:dyDescent="0.25">
      <c r="B20" s="98"/>
      <c r="C20" s="53" t="s">
        <v>706</v>
      </c>
      <c r="D20" s="53"/>
      <c r="E20" s="11" t="str">
        <f>+data!C99</f>
        <v>901 Mountain View Drive</v>
      </c>
      <c r="F20" s="10"/>
      <c r="G20" s="10"/>
      <c r="J20" s="99"/>
    </row>
    <row r="21" spans="2:10" x14ac:dyDescent="0.25">
      <c r="B21" s="98"/>
      <c r="C21" s="53" t="s">
        <v>707</v>
      </c>
      <c r="D21" s="53"/>
      <c r="E21" s="11" t="str">
        <f>CONCATENATE(+data!C100,", ",+data!C101)</f>
        <v>Shelton,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708</v>
      </c>
      <c r="G26" s="106"/>
      <c r="H26" s="106"/>
      <c r="I26" s="106"/>
      <c r="J26" s="108"/>
    </row>
    <row r="27" spans="2:10" x14ac:dyDescent="0.25">
      <c r="B27" s="109" t="s">
        <v>709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710</v>
      </c>
      <c r="J29" s="99"/>
    </row>
    <row r="30" spans="2:10" x14ac:dyDescent="0.25">
      <c r="B30" s="112" t="s">
        <v>711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712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713</v>
      </c>
      <c r="C35" s="106" t="s">
        <v>1393</v>
      </c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714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715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713</v>
      </c>
      <c r="C41" s="106" t="s">
        <v>1394</v>
      </c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714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oNtmR7rB4rOvQUzp6QXAmPsHdQm3DdA/rhXjwdk6H3d2vlapo97ao4xNccJdm9TyABA4tVXx3Xg+gWqmKP+2DA==" saltValue="Vd2LjHAvmlaM/vhXTLgFyQ==" spinCount="100000" sheet="1" objects="1" scenarios="1"/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  <pageSetUpPr fitToPage="1"/>
  </sheetPr>
  <dimension ref="A2:M94"/>
  <sheetViews>
    <sheetView topLeftCell="A19" zoomScale="85" zoomScaleNormal="85" workbookViewId="0">
      <selection activeCell="L40" sqref="L40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716</v>
      </c>
    </row>
    <row r="3" spans="1:13" x14ac:dyDescent="0.25">
      <c r="A3" s="54"/>
    </row>
    <row r="4" spans="1:13" x14ac:dyDescent="0.25">
      <c r="A4" s="149" t="s">
        <v>717</v>
      </c>
    </row>
    <row r="5" spans="1:13" x14ac:dyDescent="0.25">
      <c r="A5" s="149" t="s">
        <v>718</v>
      </c>
    </row>
    <row r="6" spans="1:13" x14ac:dyDescent="0.25">
      <c r="A6" s="149" t="s">
        <v>719</v>
      </c>
    </row>
    <row r="7" spans="1:13" x14ac:dyDescent="0.25">
      <c r="A7" s="149"/>
    </row>
    <row r="8" spans="1:13" x14ac:dyDescent="0.25">
      <c r="A8" s="2" t="s">
        <v>720</v>
      </c>
    </row>
    <row r="9" spans="1:13" x14ac:dyDescent="0.25">
      <c r="A9" s="149" t="s">
        <v>26</v>
      </c>
    </row>
    <row r="12" spans="1:13" x14ac:dyDescent="0.25">
      <c r="A12" s="1" t="str">
        <f>data!C97</f>
        <v>152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721</v>
      </c>
      <c r="C13" s="228" t="s">
        <v>721</v>
      </c>
      <c r="D13" s="5" t="s">
        <v>722</v>
      </c>
      <c r="E13" s="5" t="s">
        <v>722</v>
      </c>
      <c r="F13" s="3" t="s">
        <v>723</v>
      </c>
      <c r="G13" s="3" t="s">
        <v>723</v>
      </c>
      <c r="H13" s="3" t="s">
        <v>724</v>
      </c>
    </row>
    <row r="14" spans="1:13" x14ac:dyDescent="0.25">
      <c r="A14" s="1" t="s">
        <v>725</v>
      </c>
      <c r="B14" s="228" t="s">
        <v>358</v>
      </c>
      <c r="C14" s="228" t="s">
        <v>358</v>
      </c>
      <c r="D14" s="4" t="s">
        <v>726</v>
      </c>
      <c r="E14" s="4" t="s">
        <v>726</v>
      </c>
      <c r="F14" s="3" t="s">
        <v>727</v>
      </c>
      <c r="G14" s="3" t="s">
        <v>727</v>
      </c>
      <c r="H14" s="3" t="s">
        <v>728</v>
      </c>
      <c r="I14" s="8" t="s">
        <v>729</v>
      </c>
      <c r="J14" s="55" t="s">
        <v>730</v>
      </c>
    </row>
    <row r="15" spans="1:13" x14ac:dyDescent="0.25">
      <c r="A15" s="1" t="s">
        <v>731</v>
      </c>
      <c r="B15" s="228">
        <f>ROUND(N('Prior Year'!C85), 0)</f>
        <v>3829378</v>
      </c>
      <c r="C15" s="228">
        <f>data!C85</f>
        <v>4045718.9499999997</v>
      </c>
      <c r="D15" s="228">
        <f>ROUND(N('Prior Year'!C59), 0)</f>
        <v>711</v>
      </c>
      <c r="E15" s="1">
        <f>data!C59</f>
        <v>798</v>
      </c>
      <c r="F15" s="205">
        <f t="shared" ref="F15:F59" si="0">IF(B15=0,"",IF(D15=0,"",B15/D15))</f>
        <v>5385.9043600562591</v>
      </c>
      <c r="G15" s="205">
        <f t="shared" ref="G15:G29" si="1">IF(C15=0,"",IF(E15=0,"",C15/E15))</f>
        <v>5069.8232456140349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732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733</v>
      </c>
      <c r="B17" s="228">
        <f>ROUND(N('Prior Year'!E85), 0)</f>
        <v>9126984</v>
      </c>
      <c r="C17" s="228">
        <f>data!E85</f>
        <v>9656145.3800000008</v>
      </c>
      <c r="D17" s="228">
        <f>ROUND(N('Prior Year'!E59), 0)</f>
        <v>4445</v>
      </c>
      <c r="E17" s="1">
        <f>data!E59</f>
        <v>5027</v>
      </c>
      <c r="F17" s="205">
        <f t="shared" si="0"/>
        <v>2053.3147356580425</v>
      </c>
      <c r="G17" s="205">
        <f t="shared" si="1"/>
        <v>1920.8564511637162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734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735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736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737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738</v>
      </c>
      <c r="B22" s="228">
        <f>ROUND(N('Prior Year'!J85), 0)</f>
        <v>46131</v>
      </c>
      <c r="C22" s="228">
        <f>data!J85</f>
        <v>70864.98</v>
      </c>
      <c r="D22" s="228">
        <f>ROUND(N('Prior Year'!J59), 0)</f>
        <v>672</v>
      </c>
      <c r="E22" s="1">
        <f>data!J59</f>
        <v>658</v>
      </c>
      <c r="F22" s="205">
        <f t="shared" si="0"/>
        <v>68.647321428571431</v>
      </c>
      <c r="G22" s="205">
        <f t="shared" si="1"/>
        <v>107.69753799392096</v>
      </c>
      <c r="H22" s="6">
        <f t="shared" si="2"/>
        <v>0.56885273529546043</v>
      </c>
      <c r="I22" s="228" t="s">
        <v>1390</v>
      </c>
      <c r="M22" s="7"/>
    </row>
    <row r="23" spans="1:13" x14ac:dyDescent="0.25">
      <c r="A23" s="1" t="s">
        <v>739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740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741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742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743</v>
      </c>
      <c r="B27" s="228">
        <f>ROUND(N('Prior Year'!O85), 0)</f>
        <v>194636</v>
      </c>
      <c r="C27" s="228">
        <f>data!O85</f>
        <v>514477.38999999996</v>
      </c>
      <c r="D27" s="228">
        <f>ROUND(N('Prior Year'!O59), 0)</f>
        <v>1257</v>
      </c>
      <c r="E27" s="1">
        <f>data!O59</f>
        <v>1165</v>
      </c>
      <c r="F27" s="205">
        <f t="shared" si="0"/>
        <v>154.84168655529038</v>
      </c>
      <c r="G27" s="205">
        <f t="shared" si="1"/>
        <v>441.61149356223171</v>
      </c>
      <c r="H27" s="6">
        <f t="shared" si="2"/>
        <v>1.8520193972735015</v>
      </c>
      <c r="I27" s="228" t="s">
        <v>1389</v>
      </c>
      <c r="J27" s="206"/>
      <c r="M27" s="7"/>
    </row>
    <row r="28" spans="1:13" x14ac:dyDescent="0.25">
      <c r="A28" s="1" t="s">
        <v>744</v>
      </c>
      <c r="B28" s="228">
        <f>ROUND(N('Prior Year'!P85), 0)</f>
        <v>4207952</v>
      </c>
      <c r="C28" s="228">
        <f>data!P85</f>
        <v>4746167.7899999991</v>
      </c>
      <c r="D28" s="228">
        <f>ROUND(N('Prior Year'!P59), 0)</f>
        <v>0</v>
      </c>
      <c r="E28" s="1">
        <f>data!P59</f>
        <v>144105</v>
      </c>
      <c r="F28" s="205" t="str">
        <f t="shared" si="0"/>
        <v/>
      </c>
      <c r="G28" s="205">
        <f t="shared" si="1"/>
        <v>32.935483085250333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745</v>
      </c>
      <c r="B29" s="228">
        <f>ROUND(N('Prior Year'!Q85), 0)</f>
        <v>2407877</v>
      </c>
      <c r="C29" s="228">
        <f>data!Q85</f>
        <v>2928470.44</v>
      </c>
      <c r="D29" s="228">
        <f>ROUND(N('Prior Year'!Q59), 0)</f>
        <v>133943</v>
      </c>
      <c r="E29" s="1">
        <f>data!Q59</f>
        <v>144839</v>
      </c>
      <c r="F29" s="205">
        <f t="shared" si="0"/>
        <v>17.9768782243193</v>
      </c>
      <c r="G29" s="205">
        <f t="shared" si="1"/>
        <v>20.218797699514631</v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746</v>
      </c>
      <c r="B30" s="228">
        <f>ROUND(N('Prior Year'!R85), 0)</f>
        <v>1472899</v>
      </c>
      <c r="C30" s="228">
        <f>data!R85</f>
        <v>1937385.0299999998</v>
      </c>
      <c r="D30" s="228">
        <f>ROUND(N('Prior Year'!R59), 0)</f>
        <v>0</v>
      </c>
      <c r="E30" s="1">
        <f>data!R59</f>
        <v>144105</v>
      </c>
      <c r="F30" s="205" t="str">
        <f t="shared" si="0"/>
        <v/>
      </c>
      <c r="G30" s="205">
        <f>IFERROR(IF(C30=0,"",IF(E30=0,"",C30/E30)),"")</f>
        <v>13.444259602373268</v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747</v>
      </c>
      <c r="B31" s="228">
        <f>ROUND(N('Prior Year'!S85), 0)</f>
        <v>4352740</v>
      </c>
      <c r="C31" s="228">
        <f>data!S85</f>
        <v>4855029.67</v>
      </c>
      <c r="D31" s="228" t="s">
        <v>748</v>
      </c>
      <c r="E31" s="4" t="s">
        <v>748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749</v>
      </c>
      <c r="B32" s="228">
        <f>ROUND(N('Prior Year'!T85), 0)</f>
        <v>0</v>
      </c>
      <c r="C32" s="228">
        <f>data!T85</f>
        <v>0</v>
      </c>
      <c r="D32" s="228" t="s">
        <v>748</v>
      </c>
      <c r="E32" s="4" t="s">
        <v>748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750</v>
      </c>
      <c r="B33" s="228">
        <f>ROUND(N('Prior Year'!U85), 0)</f>
        <v>7437124</v>
      </c>
      <c r="C33" s="228">
        <f>data!U85</f>
        <v>7017654.2600000007</v>
      </c>
      <c r="D33" s="228">
        <f>ROUND(N('Prior Year'!U59), 0)</f>
        <v>326130</v>
      </c>
      <c r="E33" s="1">
        <f>data!U59</f>
        <v>329366</v>
      </c>
      <c r="F33" s="205">
        <f t="shared" si="0"/>
        <v>22.804170116211328</v>
      </c>
      <c r="G33" s="205">
        <f t="shared" ref="G33:G69" si="4">IF(C33=0,"",IF(E33=0,"",C33/E33))</f>
        <v>21.306553378308632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751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752</v>
      </c>
      <c r="B35" s="228">
        <f>ROUND(N('Prior Year'!W85), 0)</f>
        <v>404985</v>
      </c>
      <c r="C35" s="228">
        <f>data!W85</f>
        <v>497702.38999999996</v>
      </c>
      <c r="D35" s="228">
        <f>ROUND(N('Prior Year'!W59), 0)</f>
        <v>2058</v>
      </c>
      <c r="E35" s="1">
        <f>data!W59</f>
        <v>2174</v>
      </c>
      <c r="F35" s="205">
        <f t="shared" si="0"/>
        <v>196.78571428571428</v>
      </c>
      <c r="G35" s="205">
        <f t="shared" si="4"/>
        <v>228.93394204231828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753</v>
      </c>
      <c r="B36" s="228">
        <f>ROUND(N('Prior Year'!X85), 0)</f>
        <v>952444</v>
      </c>
      <c r="C36" s="228">
        <f>data!X85</f>
        <v>962477.17999999993</v>
      </c>
      <c r="D36" s="228">
        <f>ROUND(N('Prior Year'!X59), 0)</f>
        <v>38594</v>
      </c>
      <c r="E36" s="1">
        <f>data!X59</f>
        <v>41847</v>
      </c>
      <c r="F36" s="205">
        <f t="shared" si="0"/>
        <v>24.678551070114526</v>
      </c>
      <c r="G36" s="205">
        <f t="shared" si="4"/>
        <v>22.999908715081126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754</v>
      </c>
      <c r="B37" s="228">
        <f>ROUND(N('Prior Year'!Y85), 0)</f>
        <v>4095479</v>
      </c>
      <c r="C37" s="228">
        <f>data!Y85</f>
        <v>5103670.28</v>
      </c>
      <c r="D37" s="228">
        <f>ROUND(N('Prior Year'!Y59), 0)</f>
        <v>0</v>
      </c>
      <c r="E37" s="1">
        <f>data!Y59</f>
        <v>30616</v>
      </c>
      <c r="F37" s="205" t="str">
        <f t="shared" si="0"/>
        <v/>
      </c>
      <c r="G37" s="205">
        <f t="shared" si="4"/>
        <v>166.69944734779202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755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756</v>
      </c>
      <c r="B39" s="228">
        <f>ROUND(N('Prior Year'!AA85), 0)</f>
        <v>245463</v>
      </c>
      <c r="C39" s="228">
        <f>data!AA85</f>
        <v>268638.32999999996</v>
      </c>
      <c r="D39" s="228">
        <f>ROUND(N('Prior Year'!AA59), 0)</f>
        <v>831</v>
      </c>
      <c r="E39" s="1">
        <f>data!AA59</f>
        <v>2567</v>
      </c>
      <c r="F39" s="205">
        <f t="shared" si="0"/>
        <v>295.38267148014438</v>
      </c>
      <c r="G39" s="205">
        <f t="shared" si="4"/>
        <v>104.65069341643941</v>
      </c>
      <c r="H39" s="6">
        <f t="shared" si="5"/>
        <v>-0.64571146678293201</v>
      </c>
      <c r="I39" s="228" t="s">
        <v>1391</v>
      </c>
      <c r="M39" s="7"/>
    </row>
    <row r="40" spans="1:13" x14ac:dyDescent="0.25">
      <c r="A40" s="1" t="s">
        <v>757</v>
      </c>
      <c r="B40" s="228">
        <f>ROUND(N('Prior Year'!AB85), 0)</f>
        <v>2099588</v>
      </c>
      <c r="C40" s="228">
        <f>data!AB85</f>
        <v>3045359.6700000009</v>
      </c>
      <c r="D40" s="228" t="s">
        <v>748</v>
      </c>
      <c r="E40" s="4" t="s">
        <v>748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758</v>
      </c>
      <c r="B41" s="228">
        <f>ROUND(N('Prior Year'!AC85), 0)</f>
        <v>1568009</v>
      </c>
      <c r="C41" s="228">
        <f>data!AC85</f>
        <v>1581098.0400000003</v>
      </c>
      <c r="D41" s="228">
        <f>ROUND(N('Prior Year'!AC59), 0)</f>
        <v>4167</v>
      </c>
      <c r="E41" s="1">
        <f>data!AC59</f>
        <v>4844</v>
      </c>
      <c r="F41" s="205">
        <f t="shared" si="0"/>
        <v>376.29205663546918</v>
      </c>
      <c r="G41" s="205">
        <f t="shared" si="4"/>
        <v>326.40339388934768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759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760</v>
      </c>
      <c r="B43" s="228">
        <f>ROUND(N('Prior Year'!AE85), 0)</f>
        <v>3188612</v>
      </c>
      <c r="C43" s="228">
        <f>data!AE85</f>
        <v>3717124.14</v>
      </c>
      <c r="D43" s="228">
        <f>ROUND(N('Prior Year'!AE59), 0)</f>
        <v>20823</v>
      </c>
      <c r="E43" s="1">
        <f>data!AE59</f>
        <v>24054</v>
      </c>
      <c r="F43" s="205">
        <f t="shared" si="0"/>
        <v>153.1293281467608</v>
      </c>
      <c r="G43" s="205">
        <f t="shared" si="4"/>
        <v>154.53247443252681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761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762</v>
      </c>
      <c r="B45" s="228">
        <f>ROUND(N('Prior Year'!AG85), 0)</f>
        <v>10298936</v>
      </c>
      <c r="C45" s="228">
        <f>data!AG85</f>
        <v>11087101.660000002</v>
      </c>
      <c r="D45" s="228">
        <f>ROUND(N('Prior Year'!AG59), 0)</f>
        <v>17566</v>
      </c>
      <c r="E45" s="1">
        <f>data!AG59</f>
        <v>17348</v>
      </c>
      <c r="F45" s="205">
        <f t="shared" si="0"/>
        <v>586.29944210406472</v>
      </c>
      <c r="G45" s="205">
        <f t="shared" si="4"/>
        <v>639.09970371224358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763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764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765</v>
      </c>
      <c r="B48" s="228">
        <f>ROUND(N('Prior Year'!AJ85), 0)</f>
        <v>0</v>
      </c>
      <c r="C48" s="228">
        <f>data!AJ85</f>
        <v>0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766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767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768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769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770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771</v>
      </c>
      <c r="B54" s="228">
        <f>ROUND(N('Prior Year'!AP85), 0)</f>
        <v>32355483</v>
      </c>
      <c r="C54" s="228">
        <f>data!AP85</f>
        <v>35738872.450000003</v>
      </c>
      <c r="D54" s="228">
        <f>ROUND(N('Prior Year'!AP59), 0)</f>
        <v>90971</v>
      </c>
      <c r="E54" s="1">
        <f>data!AP59</f>
        <v>95955</v>
      </c>
      <c r="F54" s="205">
        <f t="shared" si="0"/>
        <v>355.66810302184211</v>
      </c>
      <c r="G54" s="205">
        <f t="shared" si="4"/>
        <v>372.45450940545049</v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772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773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774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775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776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777</v>
      </c>
      <c r="B60" s="228">
        <f>ROUND(N('Prior Year'!AV85), 0)</f>
        <v>582897</v>
      </c>
      <c r="C60" s="228">
        <f>data!AV85</f>
        <v>666288.63</v>
      </c>
      <c r="D60" s="228" t="s">
        <v>748</v>
      </c>
      <c r="E60" s="4" t="s">
        <v>748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778</v>
      </c>
      <c r="B61" s="228">
        <f>ROUND(N('Prior Year'!AW85), 0)</f>
        <v>0</v>
      </c>
      <c r="C61" s="228">
        <f>data!AW85</f>
        <v>0</v>
      </c>
      <c r="D61" s="228" t="s">
        <v>748</v>
      </c>
      <c r="E61" s="4" t="s">
        <v>748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779</v>
      </c>
      <c r="B62" s="228">
        <f>ROUND(N('Prior Year'!AX85), 0)</f>
        <v>0</v>
      </c>
      <c r="C62" s="228">
        <f>data!AX85</f>
        <v>0</v>
      </c>
      <c r="D62" s="228" t="s">
        <v>748</v>
      </c>
      <c r="E62" s="4" t="s">
        <v>748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780</v>
      </c>
      <c r="B63" s="228">
        <f>ROUND(N('Prior Year'!AY85), 0)</f>
        <v>1873621</v>
      </c>
      <c r="C63" s="228">
        <f>data!AY85</f>
        <v>2230024.71</v>
      </c>
      <c r="D63" s="228">
        <f>ROUND(N('Prior Year'!AY59), 0)</f>
        <v>33431</v>
      </c>
      <c r="E63" s="1">
        <f>data!AY59</f>
        <v>34002.114391143921</v>
      </c>
      <c r="F63" s="205">
        <f>IF(B63=0,"",IF(D63=0,"",B63/D63))</f>
        <v>56.044419849839969</v>
      </c>
      <c r="G63" s="205">
        <f t="shared" si="4"/>
        <v>65.58488346774179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781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782</v>
      </c>
      <c r="B65" s="228">
        <f>ROUND(N('Prior Year'!BA85), 0)</f>
        <v>402799</v>
      </c>
      <c r="C65" s="228">
        <f>data!BA85</f>
        <v>505504.02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783</v>
      </c>
      <c r="B66" s="228">
        <f>ROUND(N('Prior Year'!BB85), 0)</f>
        <v>0</v>
      </c>
      <c r="C66" s="228">
        <f>data!BB85</f>
        <v>0</v>
      </c>
      <c r="D66" s="228" t="s">
        <v>748</v>
      </c>
      <c r="E66" s="4" t="s">
        <v>748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784</v>
      </c>
      <c r="B67" s="228">
        <f>ROUND(N('Prior Year'!BC85), 0)</f>
        <v>0</v>
      </c>
      <c r="C67" s="228">
        <f>data!BC85</f>
        <v>0</v>
      </c>
      <c r="D67" s="228" t="s">
        <v>748</v>
      </c>
      <c r="E67" s="4" t="s">
        <v>748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785</v>
      </c>
      <c r="B68" s="228">
        <f>ROUND(N('Prior Year'!BD85), 0)</f>
        <v>971067</v>
      </c>
      <c r="C68" s="228">
        <f>data!BD85</f>
        <v>1091853.54</v>
      </c>
      <c r="D68" s="228" t="s">
        <v>748</v>
      </c>
      <c r="E68" s="4" t="s">
        <v>748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786</v>
      </c>
      <c r="B69" s="228">
        <f>ROUND(N('Prior Year'!BE85), 0)</f>
        <v>3340048</v>
      </c>
      <c r="C69" s="228">
        <f>data!BE85</f>
        <v>4928942.0800000001</v>
      </c>
      <c r="D69" s="228">
        <f>ROUND(N('Prior Year'!BE59), 0)</f>
        <v>227969</v>
      </c>
      <c r="E69" s="1">
        <f>data!BE59</f>
        <v>227969</v>
      </c>
      <c r="F69" s="205">
        <f>IF(B69=0,"",IF(D69=0,"",B69/D69))</f>
        <v>14.651325399506073</v>
      </c>
      <c r="G69" s="205">
        <f t="shared" si="4"/>
        <v>21.621106729423737</v>
      </c>
      <c r="H69" s="6">
        <f>IF(B69 = 0, "", IF(C69 = 0, "", IF(D69 = 0, "", IF(E69 = 0, "", IF(G69 / F69 - 1 &lt; -0.25, G69 / F69 - 1, IF(G69 / F69 - 1 &gt; 0.25, G69 / F69 - 1, ""))))))</f>
        <v>0.47570995386892645</v>
      </c>
      <c r="I69" s="228" t="s">
        <v>1392</v>
      </c>
      <c r="M69" s="7"/>
    </row>
    <row r="70" spans="1:13" x14ac:dyDescent="0.25">
      <c r="A70" s="1" t="s">
        <v>787</v>
      </c>
      <c r="B70" s="228">
        <f>ROUND(N('Prior Year'!BF85), 0)</f>
        <v>2905389</v>
      </c>
      <c r="C70" s="228">
        <f>data!BF85</f>
        <v>3109282.1799999997</v>
      </c>
      <c r="D70" s="228" t="s">
        <v>748</v>
      </c>
      <c r="E70" s="4" t="s">
        <v>748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788</v>
      </c>
      <c r="B71" s="228">
        <f>ROUND(N('Prior Year'!BG85), 0)</f>
        <v>0</v>
      </c>
      <c r="C71" s="228">
        <f>data!BG85</f>
        <v>0</v>
      </c>
      <c r="D71" s="228" t="s">
        <v>748</v>
      </c>
      <c r="E71" s="4" t="s">
        <v>748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789</v>
      </c>
      <c r="B72" s="228">
        <f>ROUND(N('Prior Year'!BH85), 0)</f>
        <v>12106911</v>
      </c>
      <c r="C72" s="228">
        <f>data!BH85</f>
        <v>6016837.9499999993</v>
      </c>
      <c r="D72" s="228" t="s">
        <v>748</v>
      </c>
      <c r="E72" s="4" t="s">
        <v>748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790</v>
      </c>
      <c r="B73" s="228">
        <f>ROUND(N('Prior Year'!BI85), 0)</f>
        <v>0</v>
      </c>
      <c r="C73" s="228">
        <f>data!BI85</f>
        <v>0</v>
      </c>
      <c r="D73" s="228" t="s">
        <v>748</v>
      </c>
      <c r="E73" s="4" t="s">
        <v>748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791</v>
      </c>
      <c r="B74" s="228">
        <f>ROUND(N('Prior Year'!BJ85), 0)</f>
        <v>1106043</v>
      </c>
      <c r="C74" s="228">
        <f>data!BJ85</f>
        <v>1053819.1199999999</v>
      </c>
      <c r="D74" s="228" t="s">
        <v>748</v>
      </c>
      <c r="E74" s="4" t="s">
        <v>748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792</v>
      </c>
      <c r="B75" s="228">
        <f>ROUND(N('Prior Year'!BK85), 0)</f>
        <v>2622068</v>
      </c>
      <c r="C75" s="228">
        <f>data!BK85</f>
        <v>2483388.7900000005</v>
      </c>
      <c r="D75" s="228" t="s">
        <v>748</v>
      </c>
      <c r="E75" s="4" t="s">
        <v>748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793</v>
      </c>
      <c r="B76" s="228">
        <f>ROUND(N('Prior Year'!BL85), 0)</f>
        <v>1966039</v>
      </c>
      <c r="C76" s="228">
        <f>data!BL85</f>
        <v>2255988.2800000003</v>
      </c>
      <c r="D76" s="228" t="s">
        <v>748</v>
      </c>
      <c r="E76" s="4" t="s">
        <v>748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794</v>
      </c>
      <c r="B77" s="228">
        <f>ROUND(N('Prior Year'!BM85), 0)</f>
        <v>0</v>
      </c>
      <c r="C77" s="228">
        <f>data!BM85</f>
        <v>0</v>
      </c>
      <c r="D77" s="228" t="s">
        <v>748</v>
      </c>
      <c r="E77" s="4" t="s">
        <v>748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795</v>
      </c>
      <c r="B78" s="228">
        <f>ROUND(N('Prior Year'!BN85), 0)</f>
        <v>3826708</v>
      </c>
      <c r="C78" s="228">
        <f>data!BN85</f>
        <v>4643085.49</v>
      </c>
      <c r="D78" s="228" t="s">
        <v>748</v>
      </c>
      <c r="E78" s="4" t="s">
        <v>748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796</v>
      </c>
      <c r="B79" s="228">
        <f>ROUND(N('Prior Year'!BO85), 0)</f>
        <v>327436</v>
      </c>
      <c r="C79" s="228">
        <f>data!BO85</f>
        <v>363239.54000000004</v>
      </c>
      <c r="D79" s="228" t="s">
        <v>748</v>
      </c>
      <c r="E79" s="4" t="s">
        <v>748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797</v>
      </c>
      <c r="B80" s="228">
        <f>ROUND(N('Prior Year'!BP85), 0)</f>
        <v>457557</v>
      </c>
      <c r="C80" s="228">
        <f>data!BP85</f>
        <v>561739.31000000006</v>
      </c>
      <c r="D80" s="228" t="s">
        <v>748</v>
      </c>
      <c r="E80" s="4" t="s">
        <v>748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798</v>
      </c>
      <c r="B81" s="228">
        <f>ROUND(N('Prior Year'!BQ85), 0)</f>
        <v>0</v>
      </c>
      <c r="C81" s="228">
        <f>data!BQ85</f>
        <v>0</v>
      </c>
      <c r="D81" s="228" t="s">
        <v>748</v>
      </c>
      <c r="E81" s="4" t="s">
        <v>748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799</v>
      </c>
      <c r="B82" s="228">
        <f>ROUND(N('Prior Year'!BR85), 0)</f>
        <v>1607562</v>
      </c>
      <c r="C82" s="228">
        <f>data!BR85</f>
        <v>2201557.4300000002</v>
      </c>
      <c r="D82" s="228" t="s">
        <v>748</v>
      </c>
      <c r="E82" s="4" t="s">
        <v>748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800</v>
      </c>
      <c r="B83" s="228">
        <f>ROUND(N('Prior Year'!BS85), 0)</f>
        <v>0</v>
      </c>
      <c r="C83" s="228">
        <f>data!BS85</f>
        <v>0</v>
      </c>
      <c r="D83" s="228" t="s">
        <v>748</v>
      </c>
      <c r="E83" s="4" t="s">
        <v>748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801</v>
      </c>
      <c r="B84" s="228">
        <f>ROUND(N('Prior Year'!BT85), 0)</f>
        <v>0</v>
      </c>
      <c r="C84" s="228">
        <f>data!BT85</f>
        <v>0</v>
      </c>
      <c r="D84" s="228" t="s">
        <v>748</v>
      </c>
      <c r="E84" s="4" t="s">
        <v>748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802</v>
      </c>
      <c r="B85" s="228">
        <f>ROUND(N('Prior Year'!BU85), 0)</f>
        <v>0</v>
      </c>
      <c r="C85" s="228">
        <f>data!BU85</f>
        <v>0</v>
      </c>
      <c r="D85" s="228" t="s">
        <v>748</v>
      </c>
      <c r="E85" s="4" t="s">
        <v>748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803</v>
      </c>
      <c r="B86" s="228">
        <f>ROUND(N('Prior Year'!BV85), 0)</f>
        <v>2345189</v>
      </c>
      <c r="C86" s="228">
        <f>data!BV85</f>
        <v>2514264.4300000002</v>
      </c>
      <c r="D86" s="228" t="s">
        <v>748</v>
      </c>
      <c r="E86" s="4" t="s">
        <v>748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804</v>
      </c>
      <c r="B87" s="228">
        <f>ROUND(N('Prior Year'!BW85), 0)</f>
        <v>358521</v>
      </c>
      <c r="C87" s="228">
        <f>data!BW85</f>
        <v>429984.25</v>
      </c>
      <c r="D87" s="228" t="s">
        <v>748</v>
      </c>
      <c r="E87" s="4" t="s">
        <v>748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805</v>
      </c>
      <c r="B88" s="228">
        <f>ROUND(N('Prior Year'!BX85), 0)</f>
        <v>0</v>
      </c>
      <c r="C88" s="228">
        <f>data!BX85</f>
        <v>0</v>
      </c>
      <c r="D88" s="228" t="s">
        <v>748</v>
      </c>
      <c r="E88" s="4" t="s">
        <v>748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806</v>
      </c>
      <c r="B89" s="228">
        <f>ROUND(N('Prior Year'!BY85), 0)</f>
        <v>2552279</v>
      </c>
      <c r="C89" s="228">
        <f>data!BY85</f>
        <v>2696847.7499999995</v>
      </c>
      <c r="D89" s="228" t="s">
        <v>748</v>
      </c>
      <c r="E89" s="4" t="s">
        <v>748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807</v>
      </c>
      <c r="B90" s="228">
        <f>ROUND(N('Prior Year'!BZ85), 0)</f>
        <v>0</v>
      </c>
      <c r="C90" s="228">
        <f>data!BZ85</f>
        <v>0</v>
      </c>
      <c r="D90" s="228" t="s">
        <v>748</v>
      </c>
      <c r="E90" s="4" t="s">
        <v>748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808</v>
      </c>
      <c r="B91" s="228">
        <f>ROUND(N('Prior Year'!CA85), 0)</f>
        <v>239963</v>
      </c>
      <c r="C91" s="228">
        <f>data!CA85</f>
        <v>266725.19</v>
      </c>
      <c r="D91" s="228" t="s">
        <v>748</v>
      </c>
      <c r="E91" s="4" t="s">
        <v>748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809</v>
      </c>
      <c r="B92" s="228">
        <f>ROUND(N('Prior Year'!CB85), 0)</f>
        <v>0</v>
      </c>
      <c r="C92" s="228">
        <f>data!CB85</f>
        <v>0</v>
      </c>
      <c r="D92" s="228" t="s">
        <v>748</v>
      </c>
      <c r="E92" s="4" t="s">
        <v>748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810</v>
      </c>
      <c r="B93" s="228">
        <f>ROUND(N('Prior Year'!CC85), 0)</f>
        <v>4029343</v>
      </c>
      <c r="C93" s="228">
        <f>data!CC85</f>
        <v>3651725.61</v>
      </c>
      <c r="D93" s="228" t="s">
        <v>748</v>
      </c>
      <c r="E93" s="4" t="s">
        <v>748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811</v>
      </c>
      <c r="B94" s="228">
        <f>ROUND(N('Prior Year'!CD85), 0)</f>
        <v>-3651761</v>
      </c>
      <c r="C94" s="228">
        <f>data!CD85</f>
        <v>-8268486.4000000032</v>
      </c>
      <c r="D94" s="228" t="s">
        <v>748</v>
      </c>
      <c r="E94" s="4" t="s">
        <v>748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lhlw/BXPisChEBN00xfJoTxoNyMUJmHuMAFczlBh5Xj+L4vZYeXsElIX1inwEl43ctsg8PCd6LE5pUZriwuIMA==" saltValue="Vb077TihmMNg2oppfLFetA==" spinCount="100000" sheet="1" objects="1" scenarios="1"/>
  <pageMargins left="0.7" right="0.7" top="0.75" bottom="0.75" header="0.3" footer="0.3"/>
  <pageSetup scale="2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  <pageSetUpPr fitToPage="1"/>
  </sheetPr>
  <dimension ref="A1:D52"/>
  <sheetViews>
    <sheetView topLeftCell="A23" workbookViewId="0">
      <selection activeCell="L40" sqref="L40"/>
    </sheetView>
  </sheetViews>
  <sheetFormatPr defaultRowHeight="15" x14ac:dyDescent="0.2"/>
  <cols>
    <col min="4" max="4" width="10" bestFit="1" customWidth="1"/>
  </cols>
  <sheetData>
    <row r="1" spans="1:4" ht="15.75" x14ac:dyDescent="0.25">
      <c r="A1" s="268" t="s">
        <v>812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813</v>
      </c>
      <c r="B3" s="267"/>
      <c r="C3" s="267"/>
      <c r="D3" s="267"/>
    </row>
    <row r="4" spans="1:4" ht="15.75" x14ac:dyDescent="0.25">
      <c r="A4" s="267" t="s">
        <v>814</v>
      </c>
      <c r="B4" s="267"/>
      <c r="C4" s="267"/>
      <c r="D4" s="267"/>
    </row>
    <row r="5" spans="1:4" ht="15.75" x14ac:dyDescent="0.25">
      <c r="A5" s="1" t="s">
        <v>815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816</v>
      </c>
      <c r="B7" s="267"/>
      <c r="C7" s="267"/>
      <c r="D7" s="267"/>
    </row>
    <row r="8" spans="1:4" ht="15.75" x14ac:dyDescent="0.25">
      <c r="A8" s="309" t="s">
        <v>817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818</v>
      </c>
      <c r="B11" s="267"/>
      <c r="C11" s="267"/>
      <c r="D11" s="267">
        <f>N(data!C380)</f>
        <v>4092983.32</v>
      </c>
    </row>
    <row r="12" spans="1:4" ht="15.75" x14ac:dyDescent="0.25">
      <c r="A12" s="269" t="s">
        <v>819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820</v>
      </c>
      <c r="B14" s="267"/>
      <c r="C14" s="267"/>
      <c r="D14" s="269" t="s">
        <v>821</v>
      </c>
    </row>
    <row r="15" spans="1:4" ht="15.75" x14ac:dyDescent="0.25">
      <c r="A15" s="345" t="s">
        <v>1364</v>
      </c>
      <c r="B15" s="267"/>
      <c r="C15" s="267"/>
      <c r="D15" s="346">
        <v>727395.6100000001</v>
      </c>
    </row>
    <row r="16" spans="1:4" ht="15.75" x14ac:dyDescent="0.25">
      <c r="A16" s="345" t="s">
        <v>1365</v>
      </c>
      <c r="B16" s="267"/>
      <c r="C16" s="267"/>
      <c r="D16" s="346">
        <v>-79446.5</v>
      </c>
    </row>
    <row r="17" spans="1:4" ht="15.75" x14ac:dyDescent="0.25">
      <c r="A17" s="345" t="s">
        <v>1366</v>
      </c>
      <c r="B17" s="267"/>
      <c r="C17" s="267"/>
      <c r="D17" s="346">
        <v>9731.01</v>
      </c>
    </row>
    <row r="18" spans="1:4" ht="15.75" x14ac:dyDescent="0.25">
      <c r="A18" s="345" t="s">
        <v>1367</v>
      </c>
      <c r="B18" s="267"/>
      <c r="C18" s="267"/>
      <c r="D18" s="346">
        <v>0</v>
      </c>
    </row>
    <row r="19" spans="1:4" ht="15.75" x14ac:dyDescent="0.25">
      <c r="A19" s="345" t="s">
        <v>1368</v>
      </c>
      <c r="B19" s="267"/>
      <c r="C19" s="267"/>
      <c r="D19" s="346">
        <v>47595.590000000011</v>
      </c>
    </row>
    <row r="20" spans="1:4" ht="15.75" x14ac:dyDescent="0.25">
      <c r="A20" s="345" t="s">
        <v>1369</v>
      </c>
      <c r="B20" s="267"/>
      <c r="C20" s="267"/>
      <c r="D20" s="346">
        <v>2244451.34</v>
      </c>
    </row>
    <row r="21" spans="1:4" ht="15.75" x14ac:dyDescent="0.25">
      <c r="A21" s="345" t="s">
        <v>1370</v>
      </c>
      <c r="B21" s="267"/>
      <c r="C21" s="267"/>
      <c r="D21" s="346">
        <v>32046.950000000004</v>
      </c>
    </row>
    <row r="22" spans="1:4" ht="15.75" x14ac:dyDescent="0.25">
      <c r="A22" s="345" t="s">
        <v>1371</v>
      </c>
      <c r="B22" s="267"/>
      <c r="C22" s="267"/>
      <c r="D22" s="346">
        <v>9608.7999999999993</v>
      </c>
    </row>
    <row r="23" spans="1:4" ht="15.75" x14ac:dyDescent="0.25">
      <c r="A23" s="345" t="s">
        <v>1372</v>
      </c>
      <c r="B23" s="267"/>
      <c r="C23" s="267"/>
      <c r="D23" s="346">
        <v>18623.400000000001</v>
      </c>
    </row>
    <row r="24" spans="1:4" ht="15.75" x14ac:dyDescent="0.25">
      <c r="A24" s="345" t="s">
        <v>1373</v>
      </c>
      <c r="B24" s="267"/>
      <c r="C24" s="267"/>
      <c r="D24" s="346">
        <v>74320.180000000022</v>
      </c>
    </row>
    <row r="25" spans="1:4" ht="15.75" x14ac:dyDescent="0.25">
      <c r="A25" s="345" t="s">
        <v>1374</v>
      </c>
      <c r="B25" s="267"/>
      <c r="C25" s="267"/>
      <c r="D25" s="346">
        <v>1548186.5000000002</v>
      </c>
    </row>
    <row r="26" spans="1:4" ht="15.75" x14ac:dyDescent="0.25">
      <c r="A26" s="345" t="s">
        <v>1375</v>
      </c>
      <c r="B26" s="267"/>
      <c r="C26" s="267"/>
      <c r="D26" s="346">
        <v>19419.61</v>
      </c>
    </row>
    <row r="27" spans="1:4" ht="15.75" x14ac:dyDescent="0.25">
      <c r="A27" s="345" t="s">
        <v>1376</v>
      </c>
      <c r="B27" s="267"/>
      <c r="C27" s="267"/>
      <c r="D27" s="346">
        <v>17069.990000000002</v>
      </c>
    </row>
    <row r="28" spans="1:4" ht="15.75" x14ac:dyDescent="0.25">
      <c r="A28" s="345" t="s">
        <v>507</v>
      </c>
      <c r="B28" s="267"/>
      <c r="C28" s="267"/>
      <c r="D28" s="346">
        <v>-576019.16</v>
      </c>
    </row>
    <row r="29" spans="1:4" ht="15.75" x14ac:dyDescent="0.25">
      <c r="A29" s="267"/>
      <c r="B29" s="267"/>
      <c r="C29" s="267"/>
      <c r="D29" s="267"/>
    </row>
    <row r="30" spans="1:4" ht="15.75" x14ac:dyDescent="0.25">
      <c r="A30" s="267"/>
      <c r="B30" s="267"/>
      <c r="C30" s="267"/>
      <c r="D30" s="267"/>
    </row>
    <row r="31" spans="1:4" ht="15.75" x14ac:dyDescent="0.25">
      <c r="A31" s="267"/>
      <c r="B31" s="267"/>
      <c r="C31" s="267"/>
      <c r="D31" s="267"/>
    </row>
    <row r="32" spans="1:4" ht="15.75" x14ac:dyDescent="0.25">
      <c r="A32" s="267"/>
      <c r="B32" s="267"/>
      <c r="C32" s="267"/>
      <c r="D32" s="267"/>
    </row>
    <row r="33" spans="1:4" ht="15.75" x14ac:dyDescent="0.25">
      <c r="A33" s="269" t="s">
        <v>822</v>
      </c>
      <c r="B33" s="267"/>
      <c r="C33" s="267"/>
      <c r="D33" s="267">
        <f>N(data!C414)</f>
        <v>1797975.73</v>
      </c>
    </row>
    <row r="34" spans="1:4" ht="15.75" x14ac:dyDescent="0.25">
      <c r="A34" s="269" t="s">
        <v>819</v>
      </c>
      <c r="B34" s="267"/>
      <c r="C34" s="267"/>
      <c r="D34" s="267" t="str">
        <f>IF(OR(N(data!C414)&gt;1000000,N(data!C414)/(N(data!D416))&gt;0.01),"Yes","No")</f>
        <v>Yes</v>
      </c>
    </row>
    <row r="35" spans="1:4" ht="15.75" x14ac:dyDescent="0.25">
      <c r="A35" s="267"/>
      <c r="B35" s="267"/>
      <c r="C35" s="267"/>
      <c r="D35" s="267"/>
    </row>
    <row r="36" spans="1:4" ht="15.75" x14ac:dyDescent="0.25">
      <c r="A36" s="269" t="s">
        <v>820</v>
      </c>
      <c r="B36" s="267"/>
      <c r="C36" s="267"/>
      <c r="D36" s="269" t="s">
        <v>821</v>
      </c>
    </row>
    <row r="37" spans="1:4" ht="15.75" x14ac:dyDescent="0.25">
      <c r="A37" s="345" t="s">
        <v>1377</v>
      </c>
      <c r="B37" s="267"/>
      <c r="C37" s="267"/>
      <c r="D37" s="346">
        <v>23236.79</v>
      </c>
    </row>
    <row r="38" spans="1:4" ht="15.75" x14ac:dyDescent="0.25">
      <c r="A38" s="345" t="s">
        <v>1378</v>
      </c>
      <c r="B38" s="267"/>
      <c r="C38" s="267"/>
      <c r="D38" s="346">
        <v>-32532.329999999991</v>
      </c>
    </row>
    <row r="39" spans="1:4" ht="15.75" x14ac:dyDescent="0.25">
      <c r="A39" s="345" t="s">
        <v>1379</v>
      </c>
      <c r="B39" s="267"/>
      <c r="C39" s="267"/>
      <c r="D39" s="346">
        <v>9175.4600000000009</v>
      </c>
    </row>
    <row r="40" spans="1:4" ht="15.75" x14ac:dyDescent="0.25">
      <c r="A40" s="345" t="s">
        <v>1380</v>
      </c>
      <c r="B40" s="267"/>
      <c r="C40" s="267"/>
      <c r="D40" s="346">
        <v>94300.250000000015</v>
      </c>
    </row>
    <row r="41" spans="1:4" ht="15.75" x14ac:dyDescent="0.25">
      <c r="A41" s="345" t="s">
        <v>1377</v>
      </c>
      <c r="B41" s="267"/>
      <c r="C41" s="267"/>
      <c r="D41" s="346">
        <v>25658.53</v>
      </c>
    </row>
    <row r="42" spans="1:4" ht="15.75" x14ac:dyDescent="0.25">
      <c r="A42" s="345" t="s">
        <v>1381</v>
      </c>
      <c r="B42" s="267"/>
      <c r="C42" s="267"/>
      <c r="D42" s="346">
        <v>6240.21</v>
      </c>
    </row>
    <row r="43" spans="1:4" ht="15.75" x14ac:dyDescent="0.25">
      <c r="A43" s="345" t="s">
        <v>1382</v>
      </c>
      <c r="B43" s="267"/>
      <c r="C43" s="267"/>
      <c r="D43" s="346">
        <v>904871.44000000006</v>
      </c>
    </row>
    <row r="44" spans="1:4" ht="15.75" x14ac:dyDescent="0.25">
      <c r="A44" s="345" t="s">
        <v>1383</v>
      </c>
      <c r="B44" s="267"/>
      <c r="C44" s="267"/>
      <c r="D44" s="346">
        <v>70956.679999999993</v>
      </c>
    </row>
    <row r="45" spans="1:4" ht="15.75" x14ac:dyDescent="0.25">
      <c r="A45" s="345" t="s">
        <v>1384</v>
      </c>
      <c r="D45" s="346">
        <v>255257.86</v>
      </c>
    </row>
    <row r="46" spans="1:4" ht="15.75" x14ac:dyDescent="0.25">
      <c r="A46" s="345" t="s">
        <v>1385</v>
      </c>
      <c r="D46" s="346">
        <v>62176.94</v>
      </c>
    </row>
    <row r="47" spans="1:4" ht="15.75" x14ac:dyDescent="0.25">
      <c r="A47" s="345" t="s">
        <v>1386</v>
      </c>
      <c r="D47" s="346">
        <v>215055.46000000002</v>
      </c>
    </row>
    <row r="48" spans="1:4" ht="15.75" x14ac:dyDescent="0.25">
      <c r="A48" s="345" t="s">
        <v>1387</v>
      </c>
      <c r="D48" s="346">
        <v>163546</v>
      </c>
    </row>
    <row r="49" spans="1:4" ht="15.75" x14ac:dyDescent="0.25">
      <c r="A49" s="345" t="s">
        <v>1388</v>
      </c>
      <c r="D49" s="346">
        <v>32.439999999999927</v>
      </c>
    </row>
    <row r="52" spans="1:4" x14ac:dyDescent="0.2">
      <c r="D52" s="347"/>
    </row>
  </sheetData>
  <sheetProtection algorithmName="SHA-512" hashValue="MiLWTthndh82/oHhwOLH//T3Ew175ChiAJxDW5/n3nwwiRiYpeB5XRAmaJsZhMzvu/cjhTL9NhuWeCxqd1zLXA==" saltValue="J7Lt3ogFor1FpeI3fsgrMQ==" spinCount="100000" sheet="1" objects="1" scenarios="1"/>
  <pageMargins left="0.7" right="0.7" top="0.75" bottom="0.75" header="0.3" footer="0.3"/>
  <pageSetup scale="5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view="pageBreakPreview" zoomScale="60" zoomScaleNormal="100" workbookViewId="0">
      <selection activeCell="Q37" sqref="Q37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823</v>
      </c>
    </row>
    <row r="2" spans="1:7" ht="20.100000000000001" customHeight="1" x14ac:dyDescent="0.25">
      <c r="A2" s="62" t="s">
        <v>824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H-152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Public Hospital District No 1 of Mason County, WA, DBA Mason Health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Mason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825</v>
      </c>
      <c r="C7" s="67"/>
      <c r="D7" s="64" t="str">
        <f>"  "&amp;data!C104</f>
        <v xml:space="preserve">  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826</v>
      </c>
      <c r="C8" s="67"/>
      <c r="D8" s="64" t="str">
        <f>"  "&amp;data!C105</f>
        <v xml:space="preserve">  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827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828</v>
      </c>
      <c r="C10" s="67"/>
      <c r="D10" s="64" t="str">
        <f>"  "&amp;data!C107</f>
        <v xml:space="preserve">  3604327721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829</v>
      </c>
      <c r="C11" s="67"/>
      <c r="D11" s="64" t="str">
        <f>"  "&amp;data!C108</f>
        <v xml:space="preserve">  3604271921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830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320</v>
      </c>
      <c r="B15" s="74"/>
      <c r="C15" s="75" t="s">
        <v>322</v>
      </c>
      <c r="D15" s="74"/>
      <c r="E15" s="75" t="s">
        <v>324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831</v>
      </c>
      <c r="E16" s="229" t="str">
        <f>IF(data!C120&gt;0," X","")</f>
        <v/>
      </c>
      <c r="F16" s="81" t="s">
        <v>325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406</v>
      </c>
      <c r="E17" s="229" t="str">
        <f>IF(data!C121&gt;0," X","")</f>
        <v/>
      </c>
      <c r="F17" s="81" t="s">
        <v>326</v>
      </c>
      <c r="G17" s="67"/>
    </row>
    <row r="18" spans="1:7" ht="20.100000000000001" customHeight="1" x14ac:dyDescent="0.25">
      <c r="A18" s="63"/>
      <c r="B18" s="67" t="s">
        <v>832</v>
      </c>
      <c r="C18" s="67"/>
      <c r="D18" s="67"/>
      <c r="E18" s="229" t="str">
        <f>IF(data!C122&gt;0," X","")</f>
        <v/>
      </c>
      <c r="F18" s="81" t="s">
        <v>327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833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834</v>
      </c>
      <c r="C22" s="64"/>
      <c r="D22" s="64"/>
      <c r="E22" s="64"/>
      <c r="F22" s="78" t="s">
        <v>330</v>
      </c>
      <c r="G22" s="79" t="s">
        <v>241</v>
      </c>
    </row>
    <row r="23" spans="1:7" ht="20.100000000000001" customHeight="1" x14ac:dyDescent="0.25">
      <c r="A23" s="63"/>
      <c r="B23" s="64" t="s">
        <v>835</v>
      </c>
      <c r="C23" s="64"/>
      <c r="D23" s="64"/>
      <c r="E23" s="64"/>
      <c r="F23" s="63">
        <f>data!C127</f>
        <v>1612</v>
      </c>
      <c r="G23" s="67">
        <f>data!D127</f>
        <v>5825</v>
      </c>
    </row>
    <row r="24" spans="1:7" ht="20.100000000000001" customHeight="1" x14ac:dyDescent="0.25">
      <c r="A24" s="63"/>
      <c r="B24" s="64" t="s">
        <v>836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837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334</v>
      </c>
      <c r="C26" s="64"/>
      <c r="D26" s="64"/>
      <c r="E26" s="64"/>
      <c r="F26" s="63">
        <f>data!C130</f>
        <v>352</v>
      </c>
      <c r="G26" s="67">
        <f>data!D130</f>
        <v>658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838</v>
      </c>
      <c r="C29" s="67"/>
      <c r="D29" s="79" t="s">
        <v>193</v>
      </c>
      <c r="E29" s="83" t="s">
        <v>838</v>
      </c>
      <c r="F29" s="67"/>
      <c r="G29" s="79" t="s">
        <v>193</v>
      </c>
    </row>
    <row r="30" spans="1:7" ht="20.100000000000001" customHeight="1" x14ac:dyDescent="0.25">
      <c r="A30" s="63"/>
      <c r="B30" s="64" t="s">
        <v>336</v>
      </c>
      <c r="C30" s="67"/>
      <c r="D30" s="67">
        <f>data!C132</f>
        <v>7</v>
      </c>
      <c r="E30" s="64" t="s">
        <v>342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839</v>
      </c>
      <c r="C31" s="67"/>
      <c r="D31" s="67">
        <f>data!C133</f>
        <v>0</v>
      </c>
      <c r="E31" s="64" t="s">
        <v>343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840</v>
      </c>
      <c r="C32" s="67"/>
      <c r="D32" s="67">
        <f>data!C134</f>
        <v>16</v>
      </c>
      <c r="E32" s="64" t="s">
        <v>841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842</v>
      </c>
      <c r="C33" s="67"/>
      <c r="D33" s="67">
        <f>data!C135</f>
        <v>0</v>
      </c>
      <c r="E33" s="64" t="s">
        <v>843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844</v>
      </c>
      <c r="C34" s="67"/>
      <c r="D34" s="67">
        <f>data!C136</f>
        <v>2</v>
      </c>
      <c r="E34" s="64" t="s">
        <v>345</v>
      </c>
      <c r="F34" s="67"/>
      <c r="G34" s="67">
        <f>data!E143</f>
        <v>25</v>
      </c>
    </row>
    <row r="35" spans="1:7" ht="20.100000000000001" customHeight="1" x14ac:dyDescent="0.25">
      <c r="A35" s="63"/>
      <c r="B35" s="83" t="s">
        <v>845</v>
      </c>
      <c r="C35" s="67"/>
      <c r="D35" s="67">
        <f>data!C137</f>
        <v>0</v>
      </c>
      <c r="E35" s="64" t="s">
        <v>846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346</v>
      </c>
      <c r="F36" s="67"/>
      <c r="G36" s="67">
        <f>data!C144</f>
        <v>68</v>
      </c>
    </row>
    <row r="37" spans="1:7" ht="20.100000000000001" customHeight="1" x14ac:dyDescent="0.25">
      <c r="A37" s="63"/>
      <c r="E37" s="64" t="s">
        <v>347</v>
      </c>
      <c r="F37" s="67"/>
      <c r="G37" s="67">
        <f>data!C145</f>
        <v>6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342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847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view="pageBreakPreview" zoomScale="60" zoomScaleNormal="100" workbookViewId="0">
      <selection activeCell="Q37" sqref="Q37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848</v>
      </c>
      <c r="G1" s="61" t="s">
        <v>849</v>
      </c>
    </row>
    <row r="2" spans="1:7" ht="20.100000000000001" customHeight="1" x14ac:dyDescent="0.25">
      <c r="A2" s="1" t="str">
        <f>"Hospital: "&amp;data!C98</f>
        <v>Hospital: Public Hospital District No 1 of Mason County, WA, DBA Mason Health</v>
      </c>
      <c r="G2" s="4" t="s">
        <v>850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851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852</v>
      </c>
      <c r="C5" s="74"/>
      <c r="D5" s="74"/>
      <c r="E5" s="125" t="s">
        <v>357</v>
      </c>
      <c r="F5" s="74"/>
      <c r="G5" s="74"/>
    </row>
    <row r="6" spans="1:7" ht="20.100000000000001" customHeight="1" x14ac:dyDescent="0.25">
      <c r="A6" s="126" t="s">
        <v>853</v>
      </c>
      <c r="B6" s="79" t="s">
        <v>330</v>
      </c>
      <c r="C6" s="79" t="s">
        <v>854</v>
      </c>
      <c r="D6" s="79" t="s">
        <v>353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351</v>
      </c>
      <c r="B7" s="127">
        <f>data!B154</f>
        <v>886</v>
      </c>
      <c r="C7" s="127">
        <f>data!B155</f>
        <v>3766</v>
      </c>
      <c r="D7" s="127">
        <f>data!B156</f>
        <v>81633</v>
      </c>
      <c r="E7" s="127">
        <f>data!B157</f>
        <v>47271022</v>
      </c>
      <c r="F7" s="127">
        <f>data!B158</f>
        <v>121787433</v>
      </c>
      <c r="G7" s="127">
        <f>data!B157+data!B158</f>
        <v>169058455</v>
      </c>
    </row>
    <row r="8" spans="1:7" ht="20.100000000000001" customHeight="1" x14ac:dyDescent="0.25">
      <c r="A8" s="63" t="s">
        <v>352</v>
      </c>
      <c r="B8" s="127">
        <f>data!C154</f>
        <v>431</v>
      </c>
      <c r="C8" s="127">
        <f>data!C155</f>
        <v>1128</v>
      </c>
      <c r="D8" s="127">
        <f>data!C156</f>
        <v>56515</v>
      </c>
      <c r="E8" s="127">
        <f>data!C157</f>
        <v>20943662</v>
      </c>
      <c r="F8" s="127">
        <f>data!C158</f>
        <v>74923404</v>
      </c>
      <c r="G8" s="127">
        <f>data!C157+data!C158</f>
        <v>95867066</v>
      </c>
    </row>
    <row r="9" spans="1:7" ht="20.100000000000001" customHeight="1" x14ac:dyDescent="0.25">
      <c r="A9" s="63" t="s">
        <v>855</v>
      </c>
      <c r="B9" s="127">
        <f>data!D154</f>
        <v>295</v>
      </c>
      <c r="C9" s="127">
        <f>data!D155</f>
        <v>931</v>
      </c>
      <c r="D9" s="127">
        <f>data!D156</f>
        <v>66325</v>
      </c>
      <c r="E9" s="127">
        <f>data!D157</f>
        <v>15338835</v>
      </c>
      <c r="F9" s="127">
        <f>data!D158</f>
        <v>84494371</v>
      </c>
      <c r="G9" s="127">
        <f>data!D157+data!D158</f>
        <v>99833206</v>
      </c>
    </row>
    <row r="10" spans="1:7" ht="20.100000000000001" customHeight="1" x14ac:dyDescent="0.25">
      <c r="A10" s="78" t="s">
        <v>229</v>
      </c>
      <c r="B10" s="127">
        <f>data!E154</f>
        <v>1612</v>
      </c>
      <c r="C10" s="127">
        <f>data!E155</f>
        <v>5825</v>
      </c>
      <c r="D10" s="127">
        <f>data!E156</f>
        <v>204473</v>
      </c>
      <c r="E10" s="127">
        <f>data!E157</f>
        <v>83553519</v>
      </c>
      <c r="F10" s="127">
        <f>data!E158</f>
        <v>281205208</v>
      </c>
      <c r="G10" s="127">
        <f>E10+F10</f>
        <v>364758727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856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852</v>
      </c>
      <c r="C14" s="133"/>
      <c r="D14" s="133"/>
      <c r="E14" s="133" t="s">
        <v>357</v>
      </c>
      <c r="F14" s="133"/>
      <c r="G14" s="133"/>
    </row>
    <row r="15" spans="1:7" ht="20.100000000000001" customHeight="1" x14ac:dyDescent="0.25">
      <c r="A15" s="126" t="s">
        <v>853</v>
      </c>
      <c r="B15" s="79" t="s">
        <v>330</v>
      </c>
      <c r="C15" s="79" t="s">
        <v>854</v>
      </c>
      <c r="D15" s="79" t="s">
        <v>353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351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352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855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857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852</v>
      </c>
      <c r="C23" s="74"/>
      <c r="D23" s="74"/>
      <c r="E23" s="74" t="s">
        <v>357</v>
      </c>
      <c r="F23" s="74"/>
      <c r="G23" s="74"/>
    </row>
    <row r="24" spans="1:7" ht="20.100000000000001" customHeight="1" x14ac:dyDescent="0.25">
      <c r="A24" s="126" t="s">
        <v>853</v>
      </c>
      <c r="B24" s="79" t="s">
        <v>330</v>
      </c>
      <c r="C24" s="79" t="s">
        <v>854</v>
      </c>
      <c r="D24" s="79" t="s">
        <v>353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351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352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855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858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859</v>
      </c>
      <c r="C32" s="139">
        <f>data!B173</f>
        <v>2916354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860</v>
      </c>
      <c r="C33" s="135">
        <f>data!C173</f>
        <v>1031403</v>
      </c>
      <c r="D33" s="135"/>
      <c r="E33" s="135"/>
      <c r="F33" s="135"/>
      <c r="G33" s="72"/>
    </row>
  </sheetData>
  <phoneticPr fontId="0" type="noConversion"/>
  <pageMargins left="0.7" right="0.7" top="0.75" bottom="0.75" header="0.3" footer="0.3"/>
  <pageSetup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view="pageBreakPreview" zoomScale="60" zoomScaleNormal="100" workbookViewId="0">
      <selection activeCell="Q37" sqref="Q37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360</v>
      </c>
      <c r="B1" s="62"/>
      <c r="C1" s="61" t="s">
        <v>861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Public Hospital District No 1 of Mason County, WA, DBA Mason Health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361</v>
      </c>
      <c r="C5" s="123"/>
    </row>
    <row r="6" spans="1:3" ht="20.100000000000001" customHeight="1" x14ac:dyDescent="0.25">
      <c r="A6" s="143">
        <v>2</v>
      </c>
      <c r="B6" s="64" t="s">
        <v>862</v>
      </c>
      <c r="C6" s="63">
        <f>data!C181</f>
        <v>4457333.99</v>
      </c>
    </row>
    <row r="7" spans="1:3" ht="20.100000000000001" customHeight="1" x14ac:dyDescent="0.25">
      <c r="A7" s="144">
        <v>3</v>
      </c>
      <c r="B7" s="83" t="s">
        <v>363</v>
      </c>
      <c r="C7" s="63">
        <f>data!C182</f>
        <v>71080</v>
      </c>
    </row>
    <row r="8" spans="1:3" ht="20.100000000000001" customHeight="1" x14ac:dyDescent="0.25">
      <c r="A8" s="144">
        <v>4</v>
      </c>
      <c r="B8" s="64" t="s">
        <v>364</v>
      </c>
      <c r="C8" s="63">
        <f>data!C183</f>
        <v>668331.71</v>
      </c>
    </row>
    <row r="9" spans="1:3" ht="20.100000000000001" customHeight="1" x14ac:dyDescent="0.25">
      <c r="A9" s="144">
        <v>5</v>
      </c>
      <c r="B9" s="64" t="s">
        <v>365</v>
      </c>
      <c r="C9" s="63">
        <f>data!C184</f>
        <v>11087078.5</v>
      </c>
    </row>
    <row r="10" spans="1:3" ht="20.100000000000001" customHeight="1" x14ac:dyDescent="0.25">
      <c r="A10" s="144">
        <v>6</v>
      </c>
      <c r="B10" s="64" t="s">
        <v>366</v>
      </c>
      <c r="C10" s="63">
        <f>data!C185</f>
        <v>32364.1</v>
      </c>
    </row>
    <row r="11" spans="1:3" ht="20.100000000000001" customHeight="1" x14ac:dyDescent="0.25">
      <c r="A11" s="144">
        <v>7</v>
      </c>
      <c r="B11" s="64" t="s">
        <v>367</v>
      </c>
      <c r="C11" s="63">
        <f>data!C186</f>
        <v>3519066.0500000003</v>
      </c>
    </row>
    <row r="12" spans="1:3" ht="20.100000000000001" customHeight="1" x14ac:dyDescent="0.25">
      <c r="A12" s="144">
        <v>8</v>
      </c>
      <c r="B12" s="64" t="s">
        <v>368</v>
      </c>
      <c r="C12" s="63">
        <f>data!C187</f>
        <v>255222.97999999998</v>
      </c>
    </row>
    <row r="13" spans="1:3" ht="20.100000000000001" customHeight="1" x14ac:dyDescent="0.25">
      <c r="A13" s="144">
        <v>9</v>
      </c>
      <c r="B13" s="64" t="s">
        <v>368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863</v>
      </c>
      <c r="C14" s="63">
        <f>data!D189</f>
        <v>20090477.329999998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369</v>
      </c>
      <c r="C17" s="77"/>
    </row>
    <row r="18" spans="1:3" ht="20.100000000000001" customHeight="1" x14ac:dyDescent="0.25">
      <c r="A18" s="63">
        <v>12</v>
      </c>
      <c r="B18" s="64" t="s">
        <v>864</v>
      </c>
      <c r="C18" s="63">
        <f>data!C191</f>
        <v>29364.33</v>
      </c>
    </row>
    <row r="19" spans="1:3" ht="20.100000000000001" customHeight="1" x14ac:dyDescent="0.25">
      <c r="A19" s="63">
        <v>13</v>
      </c>
      <c r="B19" s="64" t="s">
        <v>865</v>
      </c>
      <c r="C19" s="63">
        <f>data!C192</f>
        <v>300492.77999999997</v>
      </c>
    </row>
    <row r="20" spans="1:3" ht="20.100000000000001" customHeight="1" x14ac:dyDescent="0.25">
      <c r="A20" s="63">
        <v>14</v>
      </c>
      <c r="B20" s="64" t="s">
        <v>866</v>
      </c>
      <c r="C20" s="63">
        <f>data!D193</f>
        <v>329857.11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372</v>
      </c>
      <c r="C23" s="123"/>
    </row>
    <row r="24" spans="1:3" ht="20.100000000000001" customHeight="1" x14ac:dyDescent="0.25">
      <c r="A24" s="63">
        <v>16</v>
      </c>
      <c r="B24" s="75" t="s">
        <v>867</v>
      </c>
      <c r="C24" s="148"/>
    </row>
    <row r="25" spans="1:3" ht="20.100000000000001" customHeight="1" x14ac:dyDescent="0.25">
      <c r="A25" s="63">
        <v>17</v>
      </c>
      <c r="B25" s="64" t="s">
        <v>868</v>
      </c>
      <c r="C25" s="63">
        <f>data!C195</f>
        <v>588492.64999999991</v>
      </c>
    </row>
    <row r="26" spans="1:3" ht="20.100000000000001" customHeight="1" x14ac:dyDescent="0.25">
      <c r="A26" s="63">
        <v>18</v>
      </c>
      <c r="B26" s="64" t="s">
        <v>374</v>
      </c>
      <c r="C26" s="63">
        <f>data!C196</f>
        <v>780015.0199999999</v>
      </c>
    </row>
    <row r="27" spans="1:3" ht="20.100000000000001" customHeight="1" x14ac:dyDescent="0.25">
      <c r="A27" s="63">
        <v>19</v>
      </c>
      <c r="B27" s="64" t="s">
        <v>869</v>
      </c>
      <c r="C27" s="63">
        <f>data!D197</f>
        <v>1368507.67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870</v>
      </c>
      <c r="C30" s="133"/>
    </row>
    <row r="31" spans="1:3" ht="20.100000000000001" customHeight="1" x14ac:dyDescent="0.25">
      <c r="A31" s="63">
        <v>21</v>
      </c>
      <c r="B31" s="64" t="s">
        <v>376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871</v>
      </c>
      <c r="C32" s="63">
        <f>data!C200</f>
        <v>728381.52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872</v>
      </c>
      <c r="C34" s="63">
        <f>data!D202</f>
        <v>728381.52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378</v>
      </c>
      <c r="C37" s="123"/>
    </row>
    <row r="38" spans="1:3" ht="20.100000000000001" customHeight="1" x14ac:dyDescent="0.25">
      <c r="A38" s="63">
        <v>26</v>
      </c>
      <c r="B38" s="64" t="s">
        <v>873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380</v>
      </c>
      <c r="C39" s="63">
        <f>data!C205</f>
        <v>3025398.8</v>
      </c>
    </row>
    <row r="40" spans="1:3" ht="20.100000000000001" customHeight="1" x14ac:dyDescent="0.25">
      <c r="A40" s="63">
        <v>28</v>
      </c>
      <c r="B40" s="64" t="s">
        <v>874</v>
      </c>
      <c r="C40" s="63">
        <f>data!D206</f>
        <v>3025398.8</v>
      </c>
    </row>
    <row r="41" spans="1:3" x14ac:dyDescent="0.25">
      <c r="A41" s="69"/>
      <c r="B41" s="69"/>
      <c r="C41" s="69"/>
    </row>
  </sheetData>
  <phoneticPr fontId="0" type="noConversion"/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view="pageBreakPreview" zoomScale="60" zoomScaleNormal="100" workbookViewId="0">
      <selection activeCell="Q37" sqref="Q37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381</v>
      </c>
      <c r="B1" s="62"/>
      <c r="C1" s="62"/>
      <c r="D1" s="62"/>
      <c r="E1" s="62"/>
      <c r="F1" s="61" t="s">
        <v>875</v>
      </c>
    </row>
    <row r="3" spans="1:6" ht="20.100000000000001" customHeight="1" x14ac:dyDescent="0.25">
      <c r="A3" s="120" t="str">
        <f>"Hospital: "&amp;data!C98</f>
        <v>Hospital: Public Hospital District No 1 of Mason County, WA, DBA Mason Health</v>
      </c>
      <c r="F3" s="142" t="str">
        <f>"FYE: "&amp;data!C96</f>
        <v>FYE: 12/31/2024</v>
      </c>
    </row>
    <row r="4" spans="1:6" ht="20.100000000000001" customHeight="1" x14ac:dyDescent="0.25">
      <c r="A4" s="148" t="s">
        <v>382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876</v>
      </c>
      <c r="D5" s="151"/>
      <c r="E5" s="151"/>
      <c r="F5" s="151" t="s">
        <v>877</v>
      </c>
    </row>
    <row r="6" spans="1:6" ht="20.100000000000001" customHeight="1" x14ac:dyDescent="0.25">
      <c r="A6" s="152"/>
      <c r="B6" s="70"/>
      <c r="C6" s="153" t="s">
        <v>878</v>
      </c>
      <c r="D6" s="153" t="s">
        <v>384</v>
      </c>
      <c r="E6" s="153" t="s">
        <v>879</v>
      </c>
      <c r="F6" s="153" t="s">
        <v>878</v>
      </c>
    </row>
    <row r="7" spans="1:6" ht="20.100000000000001" customHeight="1" x14ac:dyDescent="0.25">
      <c r="A7" s="63">
        <v>1</v>
      </c>
      <c r="B7" s="67" t="s">
        <v>387</v>
      </c>
      <c r="C7" s="67">
        <f>data!B211</f>
        <v>2817552.07</v>
      </c>
      <c r="D7" s="67">
        <f>data!C211</f>
        <v>0</v>
      </c>
      <c r="E7" s="67">
        <f>data!D211</f>
        <v>0</v>
      </c>
      <c r="F7" s="67">
        <f>data!E211</f>
        <v>2817552.07</v>
      </c>
    </row>
    <row r="8" spans="1:6" ht="20.100000000000001" customHeight="1" x14ac:dyDescent="0.25">
      <c r="A8" s="63">
        <v>2</v>
      </c>
      <c r="B8" s="67" t="s">
        <v>388</v>
      </c>
      <c r="C8" s="67">
        <f>data!B212</f>
        <v>11111246.33</v>
      </c>
      <c r="D8" s="67">
        <f>data!C212</f>
        <v>47595.58</v>
      </c>
      <c r="E8" s="67">
        <f>data!D212</f>
        <v>0</v>
      </c>
      <c r="F8" s="67">
        <f>data!E212</f>
        <v>11158841.91</v>
      </c>
    </row>
    <row r="9" spans="1:6" ht="20.100000000000001" customHeight="1" x14ac:dyDescent="0.25">
      <c r="A9" s="63">
        <v>3</v>
      </c>
      <c r="B9" s="67" t="s">
        <v>389</v>
      </c>
      <c r="C9" s="67">
        <f>data!B213</f>
        <v>60196294.75</v>
      </c>
      <c r="D9" s="67">
        <f>data!C213</f>
        <v>765554.5</v>
      </c>
      <c r="E9" s="67">
        <f>data!D213</f>
        <v>0</v>
      </c>
      <c r="F9" s="67">
        <f>data!E213</f>
        <v>60961849.25</v>
      </c>
    </row>
    <row r="10" spans="1:6" ht="20.100000000000001" customHeight="1" x14ac:dyDescent="0.25">
      <c r="A10" s="63">
        <v>4</v>
      </c>
      <c r="B10" s="67" t="s">
        <v>880</v>
      </c>
      <c r="C10" s="67">
        <f>data!B214</f>
        <v>34490584.100000001</v>
      </c>
      <c r="D10" s="67">
        <f>data!C214</f>
        <v>3603864.59</v>
      </c>
      <c r="E10" s="67">
        <f>data!D214</f>
        <v>0</v>
      </c>
      <c r="F10" s="67">
        <f>data!E214</f>
        <v>38094448.689999998</v>
      </c>
    </row>
    <row r="11" spans="1:6" ht="20.100000000000001" customHeight="1" x14ac:dyDescent="0.25">
      <c r="A11" s="63">
        <v>5</v>
      </c>
      <c r="B11" s="67" t="s">
        <v>881</v>
      </c>
      <c r="C11" s="67">
        <f>data!B215</f>
        <v>57811701.490000002</v>
      </c>
      <c r="D11" s="67">
        <f>data!C215</f>
        <v>0</v>
      </c>
      <c r="E11" s="67">
        <f>data!D215</f>
        <v>12217504.780000001</v>
      </c>
      <c r="F11" s="67">
        <f>data!E215</f>
        <v>45594196.710000001</v>
      </c>
    </row>
    <row r="12" spans="1:6" ht="20.100000000000001" customHeight="1" x14ac:dyDescent="0.25">
      <c r="A12" s="63">
        <v>6</v>
      </c>
      <c r="B12" s="67" t="s">
        <v>882</v>
      </c>
      <c r="C12" s="67">
        <f>data!B216</f>
        <v>46485134.340000004</v>
      </c>
      <c r="D12" s="67">
        <f>data!C216</f>
        <v>3073712.9499999997</v>
      </c>
      <c r="E12" s="67">
        <f>data!D216</f>
        <v>1038711.25</v>
      </c>
      <c r="F12" s="67">
        <f>data!E216</f>
        <v>48520136.040000007</v>
      </c>
    </row>
    <row r="13" spans="1:6" ht="20.100000000000001" customHeight="1" x14ac:dyDescent="0.25">
      <c r="A13" s="63">
        <v>7</v>
      </c>
      <c r="B13" s="67" t="s">
        <v>883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395</v>
      </c>
      <c r="C14" s="67">
        <f>data!B218</f>
        <v>1174052.3700000001</v>
      </c>
      <c r="D14" s="67">
        <f>data!C218</f>
        <v>0</v>
      </c>
      <c r="E14" s="67">
        <f>data!D218</f>
        <v>0</v>
      </c>
      <c r="F14" s="67">
        <f>data!E218</f>
        <v>1174052.3700000001</v>
      </c>
    </row>
    <row r="15" spans="1:6" ht="20.100000000000001" customHeight="1" x14ac:dyDescent="0.25">
      <c r="A15" s="63">
        <v>9</v>
      </c>
      <c r="B15" s="67" t="s">
        <v>884</v>
      </c>
      <c r="C15" s="67">
        <f>data!B219</f>
        <v>3349965.08</v>
      </c>
      <c r="D15" s="67">
        <f>data!C219</f>
        <v>1799046.41</v>
      </c>
      <c r="E15" s="67">
        <f>data!D219</f>
        <v>3909038.11</v>
      </c>
      <c r="F15" s="67">
        <f>data!E219</f>
        <v>1239973.3800000004</v>
      </c>
    </row>
    <row r="16" spans="1:6" ht="20.100000000000001" customHeight="1" x14ac:dyDescent="0.25">
      <c r="A16" s="63">
        <v>10</v>
      </c>
      <c r="B16" s="67" t="s">
        <v>610</v>
      </c>
      <c r="C16" s="67">
        <f>data!B220</f>
        <v>217436530.53000003</v>
      </c>
      <c r="D16" s="67">
        <f>data!C220</f>
        <v>9289774.0299999993</v>
      </c>
      <c r="E16" s="67">
        <f>data!D220</f>
        <v>17165254.140000001</v>
      </c>
      <c r="F16" s="67">
        <f>data!E220</f>
        <v>209561050.42000002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397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876</v>
      </c>
      <c r="D21" s="4" t="s">
        <v>229</v>
      </c>
      <c r="E21" s="153"/>
      <c r="F21" s="153" t="s">
        <v>877</v>
      </c>
    </row>
    <row r="22" spans="1:6" ht="20.100000000000001" customHeight="1" x14ac:dyDescent="0.25">
      <c r="A22" s="154"/>
      <c r="B22" s="146"/>
      <c r="C22" s="153" t="s">
        <v>878</v>
      </c>
      <c r="D22" s="153" t="s">
        <v>885</v>
      </c>
      <c r="E22" s="153" t="s">
        <v>879</v>
      </c>
      <c r="F22" s="153" t="s">
        <v>878</v>
      </c>
    </row>
    <row r="23" spans="1:6" ht="20.100000000000001" customHeight="1" x14ac:dyDescent="0.25">
      <c r="A23" s="63">
        <v>11</v>
      </c>
      <c r="B23" s="155" t="s">
        <v>387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388</v>
      </c>
      <c r="C24" s="67">
        <f>data!B225</f>
        <v>4949565.0199999996</v>
      </c>
      <c r="D24" s="67">
        <f>data!C225</f>
        <v>703690.34</v>
      </c>
      <c r="E24" s="67">
        <f>data!D225</f>
        <v>0</v>
      </c>
      <c r="F24" s="67">
        <f>data!E225</f>
        <v>5653255.3599999994</v>
      </c>
    </row>
    <row r="25" spans="1:6" ht="20.100000000000001" customHeight="1" x14ac:dyDescent="0.25">
      <c r="A25" s="63">
        <v>13</v>
      </c>
      <c r="B25" s="67" t="s">
        <v>389</v>
      </c>
      <c r="C25" s="67">
        <f>data!B226</f>
        <v>28800817.52</v>
      </c>
      <c r="D25" s="67">
        <f>data!C226</f>
        <v>2454177.02</v>
      </c>
      <c r="E25" s="67">
        <f>data!D226</f>
        <v>0</v>
      </c>
      <c r="F25" s="67">
        <f>data!E226</f>
        <v>31254994.539999999</v>
      </c>
    </row>
    <row r="26" spans="1:6" ht="20.100000000000001" customHeight="1" x14ac:dyDescent="0.25">
      <c r="A26" s="63">
        <v>14</v>
      </c>
      <c r="B26" s="67" t="s">
        <v>880</v>
      </c>
      <c r="C26" s="67">
        <f>data!B227</f>
        <v>17575693.02</v>
      </c>
      <c r="D26" s="67">
        <f>data!C227</f>
        <v>1837147.91</v>
      </c>
      <c r="E26" s="67">
        <f>data!D227</f>
        <v>0</v>
      </c>
      <c r="F26" s="67">
        <f>data!E227</f>
        <v>19412840.93</v>
      </c>
    </row>
    <row r="27" spans="1:6" ht="20.100000000000001" customHeight="1" x14ac:dyDescent="0.25">
      <c r="A27" s="63">
        <v>15</v>
      </c>
      <c r="B27" s="67" t="s">
        <v>881</v>
      </c>
      <c r="C27" s="67">
        <f>data!B228</f>
        <v>19063800</v>
      </c>
      <c r="D27" s="67">
        <f>data!C228</f>
        <v>5778924.1600000001</v>
      </c>
      <c r="E27" s="67">
        <f>data!D228</f>
        <v>17616009.050000008</v>
      </c>
      <c r="F27" s="67">
        <f>data!E228</f>
        <v>7226715.109999992</v>
      </c>
    </row>
    <row r="28" spans="1:6" ht="20.100000000000001" customHeight="1" x14ac:dyDescent="0.25">
      <c r="A28" s="63">
        <v>16</v>
      </c>
      <c r="B28" s="67" t="s">
        <v>882</v>
      </c>
      <c r="C28" s="67">
        <f>data!B229</f>
        <v>36350162.210000001</v>
      </c>
      <c r="D28" s="67">
        <f>data!C229</f>
        <v>2697162.29</v>
      </c>
      <c r="E28" s="67">
        <f>data!D229</f>
        <v>1001209.39</v>
      </c>
      <c r="F28" s="67">
        <f>data!E229</f>
        <v>38046115.109999999</v>
      </c>
    </row>
    <row r="29" spans="1:6" ht="20.100000000000001" customHeight="1" x14ac:dyDescent="0.25">
      <c r="A29" s="63">
        <v>17</v>
      </c>
      <c r="B29" s="67" t="s">
        <v>883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395</v>
      </c>
      <c r="C30" s="67">
        <f>data!B231</f>
        <v>934248.56</v>
      </c>
      <c r="D30" s="67">
        <f>data!C231</f>
        <v>51540.12</v>
      </c>
      <c r="E30" s="67">
        <f>data!D231</f>
        <v>0</v>
      </c>
      <c r="F30" s="67">
        <f>data!E231</f>
        <v>985788.68</v>
      </c>
    </row>
    <row r="31" spans="1:6" ht="20.100000000000001" customHeight="1" x14ac:dyDescent="0.25">
      <c r="A31" s="63">
        <v>19</v>
      </c>
      <c r="B31" s="67" t="s">
        <v>884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610</v>
      </c>
      <c r="C32" s="67">
        <f>data!B233</f>
        <v>107674286.33000001</v>
      </c>
      <c r="D32" s="67">
        <f>data!C233</f>
        <v>13522641.839999998</v>
      </c>
      <c r="E32" s="67">
        <f>data!D233</f>
        <v>18617218.440000009</v>
      </c>
      <c r="F32" s="67">
        <f>data!E233</f>
        <v>102579709.72999999</v>
      </c>
    </row>
  </sheetData>
  <phoneticPr fontId="0" type="noConversion"/>
  <pageMargins left="0.7" right="0.7" top="0.75" bottom="0.75" header="0.3" footer="0.3"/>
  <pageSetup scale="8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view="pageBreakPreview" zoomScale="60" zoomScaleNormal="100" workbookViewId="0">
      <selection activeCell="Q37" sqref="Q37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886</v>
      </c>
      <c r="B1" s="62"/>
      <c r="C1" s="62"/>
      <c r="D1" s="61" t="s">
        <v>887</v>
      </c>
    </row>
    <row r="2" spans="1:4" ht="20.100000000000001" customHeight="1" x14ac:dyDescent="0.25">
      <c r="A2" s="120" t="str">
        <f>"Hospital: "&amp;data!C98</f>
        <v>Hospital: Public Hospital District No 1 of Mason County, WA, DBA Mason Health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888</v>
      </c>
      <c r="C4" s="156" t="s">
        <v>889</v>
      </c>
      <c r="D4" s="157"/>
    </row>
    <row r="5" spans="1:4" ht="20.100000000000001" customHeight="1" x14ac:dyDescent="0.25">
      <c r="A5" s="124">
        <v>1</v>
      </c>
      <c r="B5" s="158"/>
      <c r="C5" s="80" t="s">
        <v>399</v>
      </c>
      <c r="D5" s="67">
        <f>data!D237</f>
        <v>5374296.7500000009</v>
      </c>
    </row>
    <row r="6" spans="1:4" ht="20.100000000000001" customHeight="1" x14ac:dyDescent="0.25">
      <c r="A6" s="63">
        <v>2</v>
      </c>
      <c r="B6" s="69"/>
      <c r="C6" s="142" t="s">
        <v>495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351</v>
      </c>
      <c r="D7" s="67">
        <f>data!C239</f>
        <v>104444633.94</v>
      </c>
    </row>
    <row r="8" spans="1:4" ht="20.100000000000001" customHeight="1" x14ac:dyDescent="0.25">
      <c r="A8" s="63">
        <v>4</v>
      </c>
      <c r="B8" s="158">
        <v>5820</v>
      </c>
      <c r="C8" s="67" t="s">
        <v>352</v>
      </c>
      <c r="D8" s="67">
        <f>data!C240</f>
        <v>59154481.829999998</v>
      </c>
    </row>
    <row r="9" spans="1:4" ht="20.100000000000001" customHeight="1" x14ac:dyDescent="0.25">
      <c r="A9" s="63">
        <v>5</v>
      </c>
      <c r="B9" s="158">
        <v>5830</v>
      </c>
      <c r="C9" s="67" t="s">
        <v>364</v>
      </c>
      <c r="D9" s="67">
        <f>data!C241</f>
        <v>10732582</v>
      </c>
    </row>
    <row r="10" spans="1:4" ht="20.100000000000001" customHeight="1" x14ac:dyDescent="0.25">
      <c r="A10" s="63">
        <v>6</v>
      </c>
      <c r="B10" s="158">
        <v>5840</v>
      </c>
      <c r="C10" s="67" t="s">
        <v>404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890</v>
      </c>
      <c r="D11" s="67">
        <f>data!C243</f>
        <v>31931229.77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0</v>
      </c>
    </row>
    <row r="13" spans="1:4" ht="20.100000000000001" customHeight="1" x14ac:dyDescent="0.25">
      <c r="A13" s="63">
        <v>9</v>
      </c>
      <c r="B13" s="67"/>
      <c r="C13" s="67" t="s">
        <v>891</v>
      </c>
      <c r="D13" s="67">
        <f>data!D245</f>
        <v>206262927.53999999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408</v>
      </c>
      <c r="D15" s="153"/>
    </row>
    <row r="16" spans="1:4" ht="20.100000000000001" customHeight="1" x14ac:dyDescent="0.25">
      <c r="A16" s="152">
        <v>12</v>
      </c>
      <c r="B16" s="79"/>
      <c r="C16" s="64" t="s">
        <v>892</v>
      </c>
      <c r="D16" s="63">
        <f>data!C247</f>
        <v>2104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410</v>
      </c>
      <c r="D18" s="67">
        <f>data!C249</f>
        <v>324338.90000000002</v>
      </c>
    </row>
    <row r="19" spans="1:4" ht="20.100000000000001" customHeight="1" x14ac:dyDescent="0.25">
      <c r="A19" s="161">
        <v>15</v>
      </c>
      <c r="B19" s="158">
        <v>5910</v>
      </c>
      <c r="C19" s="80" t="s">
        <v>893</v>
      </c>
      <c r="D19" s="67">
        <f>data!C250</f>
        <v>5520312.2699999996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894</v>
      </c>
      <c r="D22" s="67">
        <f>data!D252</f>
        <v>5844651.1699999999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414</v>
      </c>
      <c r="D24" s="67">
        <f>data!C254</f>
        <v>5077494.0299999993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895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896</v>
      </c>
      <c r="C27" s="79"/>
      <c r="D27" s="67">
        <f>data!D256</f>
        <v>5077494.0299999993</v>
      </c>
    </row>
    <row r="28" spans="1:4" ht="20.100000000000001" customHeight="1" x14ac:dyDescent="0.25">
      <c r="A28" s="72">
        <v>24</v>
      </c>
      <c r="B28" s="138" t="s">
        <v>897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ageMargins left="0.7" right="0.7" top="0.75" bottom="0.75" header="0.3" footer="0.3"/>
  <pageSetup fitToHeight="0" orientation="portrait" r:id="rId1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2025-06-05T20:05:17Z</cp:lastPrinted>
  <dcterms:created xsi:type="dcterms:W3CDTF">1999-06-02T22:01:56Z</dcterms:created>
  <dcterms:modified xsi:type="dcterms:W3CDTF">2025-07-29T20:23:30Z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