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Corrected for Hofidar\"/>
    </mc:Choice>
  </mc:AlternateContent>
  <xr:revisionPtr revIDLastSave="0" documentId="13_ncr:1_{921DA033-68DC-4AB3-872B-D5B35C375058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data!$A$96:$E$173</definedName>
    <definedName name="_xlnm.Print_Area" localSheetId="9">FS!$A$1:$C$179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2">'Responses-1'!$A$1:$J$95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_xlnm.Print_Titles" localSheetId="0">data!$A:$A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E88" i="24" l="1"/>
  <c r="AV94" i="24"/>
  <c r="AR94" i="24"/>
  <c r="M94" i="24"/>
  <c r="AV88" i="24" l="1"/>
  <c r="AV87" i="24"/>
  <c r="CC84" i="24"/>
  <c r="AR84" i="24"/>
  <c r="M84" i="24"/>
  <c r="CC81" i="24"/>
  <c r="AP81" i="24"/>
  <c r="CD73" i="24"/>
  <c r="CC73" i="24"/>
  <c r="AR68" i="24"/>
  <c r="M68" i="24"/>
  <c r="M66" i="24"/>
  <c r="BR66" i="24"/>
  <c r="CC66" i="24"/>
  <c r="AR66" i="24"/>
  <c r="AR65" i="24"/>
  <c r="M65" i="24"/>
  <c r="AR64" i="24"/>
  <c r="CC64" i="24"/>
  <c r="M64" i="24"/>
  <c r="CC63" i="24"/>
  <c r="BR63" i="24"/>
  <c r="CC61" i="24"/>
  <c r="BR61" i="24"/>
  <c r="AR61" i="24"/>
  <c r="M61" i="24"/>
  <c r="AR60" i="24"/>
  <c r="M60" i="24"/>
  <c r="CC51" i="24"/>
  <c r="BE51" i="24"/>
  <c r="AR51" i="24"/>
  <c r="M51" i="24"/>
  <c r="CC47" i="24"/>
  <c r="BR47" i="24"/>
  <c r="AR47" i="24"/>
  <c r="M47" i="24"/>
  <c r="D30" i="33" l="1"/>
  <c r="D32" i="33"/>
  <c r="C414" i="24"/>
  <c r="C411" i="24" l="1"/>
  <c r="C412" i="24"/>
  <c r="C404" i="24"/>
  <c r="C394" i="24" l="1"/>
  <c r="C380" i="24"/>
  <c r="C359" i="24" l="1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D19" i="33" s="1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E63" i="15"/>
  <c r="D63" i="15"/>
  <c r="B63" i="15"/>
  <c r="H63" i="15" s="1"/>
  <c r="I63" i="15" s="1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H58" i="15" s="1"/>
  <c r="I58" i="15" s="1"/>
  <c r="E57" i="15"/>
  <c r="D57" i="15"/>
  <c r="B57" i="15"/>
  <c r="H57" i="15" s="1"/>
  <c r="I57" i="15" s="1"/>
  <c r="E56" i="15"/>
  <c r="D56" i="15"/>
  <c r="B56" i="15"/>
  <c r="E55" i="15"/>
  <c r="D55" i="15"/>
  <c r="B55" i="15"/>
  <c r="H55" i="15" s="1"/>
  <c r="I55" i="15" s="1"/>
  <c r="E54" i="15"/>
  <c r="D54" i="15"/>
  <c r="B54" i="15"/>
  <c r="E53" i="15"/>
  <c r="D53" i="15"/>
  <c r="B53" i="15"/>
  <c r="H53" i="15" s="1"/>
  <c r="I53" i="15" s="1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H50" i="15" s="1"/>
  <c r="I50" i="15" s="1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H46" i="15" s="1"/>
  <c r="I46" i="15" s="1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H42" i="15" s="1"/>
  <c r="I42" i="15" s="1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E25" i="15"/>
  <c r="D25" i="15"/>
  <c r="B25" i="15"/>
  <c r="E24" i="15"/>
  <c r="D24" i="15"/>
  <c r="B24" i="15"/>
  <c r="H24" i="15" s="1"/>
  <c r="I24" i="15" s="1"/>
  <c r="E23" i="15"/>
  <c r="D23" i="15"/>
  <c r="B23" i="15"/>
  <c r="H23" i="15" s="1"/>
  <c r="I23" i="15" s="1"/>
  <c r="E22" i="15"/>
  <c r="D22" i="15"/>
  <c r="B22" i="15"/>
  <c r="H22" i="15" s="1"/>
  <c r="I22" i="15" s="1"/>
  <c r="E21" i="15"/>
  <c r="D21" i="15"/>
  <c r="B21" i="15"/>
  <c r="E20" i="15"/>
  <c r="D20" i="15"/>
  <c r="B20" i="15"/>
  <c r="H20" i="15" s="1"/>
  <c r="I20" i="15" s="1"/>
  <c r="E19" i="15"/>
  <c r="D19" i="15"/>
  <c r="B19" i="15"/>
  <c r="E18" i="15"/>
  <c r="D18" i="15"/>
  <c r="B18" i="15"/>
  <c r="H18" i="15" s="1"/>
  <c r="I18" i="15" s="1"/>
  <c r="E17" i="15"/>
  <c r="D17" i="15"/>
  <c r="B17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F420" i="24" s="1"/>
  <c r="D415" i="24"/>
  <c r="CP2" i="30" s="1"/>
  <c r="D381" i="24"/>
  <c r="BQ2" i="30" s="1"/>
  <c r="D360" i="24"/>
  <c r="D340" i="24"/>
  <c r="C86" i="8" s="1"/>
  <c r="D339" i="24"/>
  <c r="C85" i="8" s="1"/>
  <c r="D329" i="24"/>
  <c r="C74" i="8" s="1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I383" i="32" s="1"/>
  <c r="CE92" i="24"/>
  <c r="I382" i="32" s="1"/>
  <c r="CE90" i="24"/>
  <c r="I380" i="32" s="1"/>
  <c r="AV89" i="24"/>
  <c r="AU89" i="24"/>
  <c r="AT89" i="24"/>
  <c r="AS89" i="24"/>
  <c r="AR89" i="24"/>
  <c r="AQ89" i="24"/>
  <c r="AP89" i="24"/>
  <c r="AE41" i="31" s="1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AE10" i="31" s="1"/>
  <c r="J89" i="24"/>
  <c r="I89" i="24"/>
  <c r="H89" i="24"/>
  <c r="AE7" i="31" s="1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O51" i="31" s="1"/>
  <c r="AY69" i="24"/>
  <c r="AX69" i="24"/>
  <c r="AW69" i="24"/>
  <c r="AV69" i="24"/>
  <c r="AU69" i="24"/>
  <c r="AT69" i="24"/>
  <c r="AS69" i="24"/>
  <c r="AR69" i="24"/>
  <c r="AQ69" i="24"/>
  <c r="AP69" i="24"/>
  <c r="AO69" i="24"/>
  <c r="AN69" i="24"/>
  <c r="O39" i="31" s="1"/>
  <c r="AM69" i="24"/>
  <c r="AL69" i="24"/>
  <c r="AK69" i="24"/>
  <c r="O36" i="31" s="1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CE61" i="24"/>
  <c r="I363" i="32" s="1"/>
  <c r="CE60" i="24"/>
  <c r="H612" i="24" s="1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67" i="24" s="1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F21" i="15" l="1"/>
  <c r="F25" i="15"/>
  <c r="F29" i="15"/>
  <c r="F35" i="15"/>
  <c r="F39" i="15"/>
  <c r="F54" i="15"/>
  <c r="F26" i="15"/>
  <c r="F30" i="15"/>
  <c r="F36" i="15"/>
  <c r="F43" i="15"/>
  <c r="G10" i="4"/>
  <c r="F17" i="15"/>
  <c r="F16" i="15"/>
  <c r="F28" i="15"/>
  <c r="F34" i="15"/>
  <c r="F38" i="15"/>
  <c r="F41" i="15"/>
  <c r="F45" i="15"/>
  <c r="F49" i="15"/>
  <c r="L612" i="24"/>
  <c r="E179" i="32"/>
  <c r="C365" i="24"/>
  <c r="BP2" i="30" s="1"/>
  <c r="D612" i="24"/>
  <c r="F15" i="15"/>
  <c r="F19" i="15"/>
  <c r="F27" i="15"/>
  <c r="F33" i="15"/>
  <c r="F37" i="15"/>
  <c r="F85" i="24"/>
  <c r="C18" i="15" s="1"/>
  <c r="G18" i="15" s="1"/>
  <c r="D341" i="24"/>
  <c r="C87" i="8" s="1"/>
  <c r="CF90" i="24"/>
  <c r="J85" i="24"/>
  <c r="C53" i="32" s="1"/>
  <c r="CE89" i="24"/>
  <c r="K612" i="24" s="1"/>
  <c r="F18" i="15"/>
  <c r="F20" i="15"/>
  <c r="F22" i="15"/>
  <c r="F23" i="15"/>
  <c r="F24" i="15"/>
  <c r="F48" i="15"/>
  <c r="F56" i="15"/>
  <c r="M6" i="31"/>
  <c r="G17" i="32"/>
  <c r="M14" i="31"/>
  <c r="H49" i="32"/>
  <c r="M22" i="31"/>
  <c r="I81" i="32"/>
  <c r="M30" i="31"/>
  <c r="C145" i="32"/>
  <c r="M34" i="31"/>
  <c r="G145" i="32"/>
  <c r="M38" i="31"/>
  <c r="D177" i="32"/>
  <c r="M46" i="31"/>
  <c r="E209" i="32"/>
  <c r="M50" i="31"/>
  <c r="I209" i="32"/>
  <c r="M54" i="31"/>
  <c r="F241" i="32"/>
  <c r="M58" i="31"/>
  <c r="C273" i="32"/>
  <c r="M62" i="31"/>
  <c r="G273" i="32"/>
  <c r="M66" i="31"/>
  <c r="D305" i="32"/>
  <c r="M70" i="31"/>
  <c r="H305" i="32"/>
  <c r="M74" i="31"/>
  <c r="E337" i="32"/>
  <c r="M78" i="31"/>
  <c r="I337" i="32"/>
  <c r="M2" i="31"/>
  <c r="C17" i="32"/>
  <c r="CE67" i="24"/>
  <c r="I369" i="32" s="1"/>
  <c r="M10" i="31"/>
  <c r="D49" i="32"/>
  <c r="M18" i="31"/>
  <c r="E81" i="32"/>
  <c r="M26" i="31"/>
  <c r="F113" i="32"/>
  <c r="M42" i="31"/>
  <c r="H177" i="32"/>
  <c r="H12" i="31"/>
  <c r="F44" i="32"/>
  <c r="M85" i="24"/>
  <c r="H24" i="31"/>
  <c r="D108" i="32"/>
  <c r="Y85" i="24"/>
  <c r="H36" i="31"/>
  <c r="I140" i="32"/>
  <c r="AK85" i="24"/>
  <c r="H48" i="31"/>
  <c r="G204" i="32"/>
  <c r="AW85" i="24"/>
  <c r="H60" i="31"/>
  <c r="E268" i="32"/>
  <c r="BI85" i="24"/>
  <c r="H72" i="31"/>
  <c r="C332" i="32"/>
  <c r="BU85" i="24"/>
  <c r="H10" i="31"/>
  <c r="D44" i="32"/>
  <c r="K85" i="24"/>
  <c r="H50" i="31"/>
  <c r="I204" i="32"/>
  <c r="AY85" i="24"/>
  <c r="O9" i="31"/>
  <c r="C51" i="32"/>
  <c r="O21" i="31"/>
  <c r="H83" i="32"/>
  <c r="O33" i="31"/>
  <c r="F147" i="32"/>
  <c r="O45" i="31"/>
  <c r="D211" i="32"/>
  <c r="O57" i="31"/>
  <c r="I243" i="32"/>
  <c r="O73" i="31"/>
  <c r="D339" i="32"/>
  <c r="H13" i="31"/>
  <c r="G44" i="32"/>
  <c r="H29" i="31"/>
  <c r="I108" i="32"/>
  <c r="AD85" i="24"/>
  <c r="H41" i="31"/>
  <c r="G172" i="32"/>
  <c r="AP85" i="24"/>
  <c r="H49" i="31"/>
  <c r="H204" i="32"/>
  <c r="AX85" i="24"/>
  <c r="H57" i="31"/>
  <c r="I236" i="32"/>
  <c r="BF85" i="24"/>
  <c r="H65" i="31"/>
  <c r="C300" i="32"/>
  <c r="BN85" i="24"/>
  <c r="H69" i="31"/>
  <c r="G300" i="32"/>
  <c r="BR85" i="24"/>
  <c r="H77" i="31"/>
  <c r="H332" i="32"/>
  <c r="BZ85" i="24"/>
  <c r="M3" i="31"/>
  <c r="D17" i="32"/>
  <c r="M7" i="31"/>
  <c r="H17" i="32"/>
  <c r="M11" i="31"/>
  <c r="E49" i="32"/>
  <c r="M15" i="31"/>
  <c r="I49" i="32"/>
  <c r="M19" i="31"/>
  <c r="F81" i="32"/>
  <c r="M23" i="31"/>
  <c r="C113" i="32"/>
  <c r="M27" i="31"/>
  <c r="G113" i="32"/>
  <c r="M31" i="31"/>
  <c r="D145" i="32"/>
  <c r="M35" i="31"/>
  <c r="H145" i="32"/>
  <c r="M39" i="31"/>
  <c r="E177" i="32"/>
  <c r="M43" i="31"/>
  <c r="I177" i="32"/>
  <c r="M47" i="31"/>
  <c r="F209" i="32"/>
  <c r="M51" i="31"/>
  <c r="C241" i="32"/>
  <c r="M55" i="31"/>
  <c r="G241" i="32"/>
  <c r="M59" i="31"/>
  <c r="D273" i="32"/>
  <c r="M63" i="31"/>
  <c r="H273" i="32"/>
  <c r="M67" i="31"/>
  <c r="E305" i="32"/>
  <c r="M71" i="31"/>
  <c r="I305" i="32"/>
  <c r="M75" i="31"/>
  <c r="F337" i="32"/>
  <c r="M79" i="31"/>
  <c r="C369" i="32"/>
  <c r="H8" i="31"/>
  <c r="I12" i="32"/>
  <c r="I85" i="24"/>
  <c r="H20" i="31"/>
  <c r="G76" i="32"/>
  <c r="U85" i="24"/>
  <c r="H32" i="31"/>
  <c r="E140" i="32"/>
  <c r="AG85" i="24"/>
  <c r="H44" i="31"/>
  <c r="C204" i="32"/>
  <c r="AS85" i="24"/>
  <c r="H56" i="31"/>
  <c r="H236" i="32"/>
  <c r="BE85" i="24"/>
  <c r="H68" i="31"/>
  <c r="F300" i="32"/>
  <c r="BQ85" i="24"/>
  <c r="H76" i="31"/>
  <c r="G332" i="32"/>
  <c r="BY85" i="24"/>
  <c r="CE52" i="24"/>
  <c r="H18" i="31"/>
  <c r="E76" i="32"/>
  <c r="S85" i="24"/>
  <c r="H34" i="31"/>
  <c r="G140" i="32"/>
  <c r="AI85" i="24"/>
  <c r="H66" i="31"/>
  <c r="D300" i="32"/>
  <c r="BO85" i="24"/>
  <c r="O5" i="31"/>
  <c r="F19" i="32"/>
  <c r="O17" i="31"/>
  <c r="D83" i="32"/>
  <c r="O29" i="31"/>
  <c r="I115" i="32"/>
  <c r="O41" i="31"/>
  <c r="G179" i="32"/>
  <c r="O53" i="31"/>
  <c r="E243" i="32"/>
  <c r="O65" i="31"/>
  <c r="C307" i="32"/>
  <c r="E371" i="32"/>
  <c r="C615" i="24"/>
  <c r="CD85" i="24"/>
  <c r="H9" i="31"/>
  <c r="C44" i="32"/>
  <c r="H21" i="31"/>
  <c r="H76" i="32"/>
  <c r="H25" i="31"/>
  <c r="E108" i="32"/>
  <c r="Z85" i="24"/>
  <c r="H37" i="31"/>
  <c r="C172" i="32"/>
  <c r="AL85" i="24"/>
  <c r="H45" i="31"/>
  <c r="D204" i="32"/>
  <c r="AT85" i="24"/>
  <c r="H53" i="31"/>
  <c r="E236" i="32"/>
  <c r="BB85" i="24"/>
  <c r="H61" i="31"/>
  <c r="F268" i="32"/>
  <c r="BJ85" i="24"/>
  <c r="H73" i="31"/>
  <c r="D332" i="32"/>
  <c r="BV85" i="24"/>
  <c r="CE48" i="24"/>
  <c r="M4" i="31"/>
  <c r="E17" i="32"/>
  <c r="M8" i="31"/>
  <c r="I17" i="32"/>
  <c r="M12" i="31"/>
  <c r="F49" i="32"/>
  <c r="M16" i="31"/>
  <c r="C81" i="32"/>
  <c r="M20" i="31"/>
  <c r="G81" i="32"/>
  <c r="M24" i="31"/>
  <c r="D113" i="32"/>
  <c r="M28" i="31"/>
  <c r="H113" i="32"/>
  <c r="M32" i="31"/>
  <c r="E145" i="32"/>
  <c r="M36" i="31"/>
  <c r="I145" i="32"/>
  <c r="M40" i="31"/>
  <c r="F177" i="32"/>
  <c r="C209" i="32"/>
  <c r="M44" i="31"/>
  <c r="M48" i="31"/>
  <c r="G209" i="32"/>
  <c r="M52" i="31"/>
  <c r="D241" i="32"/>
  <c r="M56" i="31"/>
  <c r="H241" i="32"/>
  <c r="M60" i="31"/>
  <c r="E273" i="32"/>
  <c r="M64" i="31"/>
  <c r="I273" i="32"/>
  <c r="M68" i="31"/>
  <c r="F305" i="32"/>
  <c r="M72" i="31"/>
  <c r="C337" i="32"/>
  <c r="M76" i="31"/>
  <c r="G337" i="32"/>
  <c r="D369" i="32"/>
  <c r="M80" i="31"/>
  <c r="H6" i="31"/>
  <c r="G12" i="32"/>
  <c r="G85" i="24"/>
  <c r="H14" i="31"/>
  <c r="H44" i="32"/>
  <c r="O85" i="24"/>
  <c r="H22" i="31"/>
  <c r="I76" i="32"/>
  <c r="W85" i="24"/>
  <c r="H30" i="31"/>
  <c r="C140" i="32"/>
  <c r="AE85" i="24"/>
  <c r="H38" i="31"/>
  <c r="D172" i="32"/>
  <c r="AM85" i="24"/>
  <c r="H46" i="31"/>
  <c r="E204" i="32"/>
  <c r="AU85" i="24"/>
  <c r="H54" i="31"/>
  <c r="F236" i="32"/>
  <c r="BC85" i="24"/>
  <c r="H62" i="31"/>
  <c r="G268" i="32"/>
  <c r="BK85" i="24"/>
  <c r="H70" i="31"/>
  <c r="H300" i="32"/>
  <c r="BS85" i="24"/>
  <c r="H78" i="31"/>
  <c r="I332" i="32"/>
  <c r="CA85" i="24"/>
  <c r="CE69" i="24"/>
  <c r="I371" i="32" s="1"/>
  <c r="N85" i="24"/>
  <c r="H4" i="31"/>
  <c r="E12" i="32"/>
  <c r="E85" i="24"/>
  <c r="H16" i="31"/>
  <c r="C76" i="32"/>
  <c r="Q85" i="24"/>
  <c r="H28" i="31"/>
  <c r="H108" i="32"/>
  <c r="AC85" i="24"/>
  <c r="H40" i="31"/>
  <c r="F172" i="32"/>
  <c r="AO85" i="24"/>
  <c r="H52" i="31"/>
  <c r="D236" i="32"/>
  <c r="BA85" i="24"/>
  <c r="H64" i="31"/>
  <c r="I268" i="32"/>
  <c r="BM85" i="24"/>
  <c r="H80" i="31"/>
  <c r="D364" i="32"/>
  <c r="CC85" i="24"/>
  <c r="H2" i="31"/>
  <c r="C12" i="32"/>
  <c r="CE62" i="24"/>
  <c r="I364" i="32" s="1"/>
  <c r="C85" i="24"/>
  <c r="H26" i="31"/>
  <c r="F108" i="32"/>
  <c r="AA85" i="24"/>
  <c r="H42" i="31"/>
  <c r="H172" i="32"/>
  <c r="AQ85" i="24"/>
  <c r="H58" i="31"/>
  <c r="C268" i="32"/>
  <c r="BG85" i="24"/>
  <c r="H74" i="31"/>
  <c r="E332" i="32"/>
  <c r="BW85" i="24"/>
  <c r="O13" i="31"/>
  <c r="G51" i="32"/>
  <c r="O25" i="31"/>
  <c r="E115" i="32"/>
  <c r="O37" i="31"/>
  <c r="C179" i="32"/>
  <c r="O49" i="31"/>
  <c r="H211" i="32"/>
  <c r="O61" i="31"/>
  <c r="F275" i="32"/>
  <c r="O69" i="31"/>
  <c r="G307" i="32"/>
  <c r="O77" i="31"/>
  <c r="H339" i="32"/>
  <c r="V85" i="24"/>
  <c r="H5" i="31"/>
  <c r="F12" i="32"/>
  <c r="H17" i="31"/>
  <c r="D76" i="32"/>
  <c r="H33" i="31"/>
  <c r="F140" i="32"/>
  <c r="AH85" i="24"/>
  <c r="M5" i="31"/>
  <c r="F17" i="32"/>
  <c r="M9" i="31"/>
  <c r="C49" i="32"/>
  <c r="M13" i="31"/>
  <c r="G49" i="32"/>
  <c r="M17" i="31"/>
  <c r="D81" i="32"/>
  <c r="M21" i="31"/>
  <c r="H81" i="32"/>
  <c r="M25" i="31"/>
  <c r="E113" i="32"/>
  <c r="M29" i="31"/>
  <c r="I113" i="32"/>
  <c r="M33" i="31"/>
  <c r="F145" i="32"/>
  <c r="M37" i="31"/>
  <c r="C177" i="32"/>
  <c r="M41" i="31"/>
  <c r="G177" i="32"/>
  <c r="M45" i="31"/>
  <c r="D209" i="32"/>
  <c r="M49" i="31"/>
  <c r="H209" i="32"/>
  <c r="M53" i="31"/>
  <c r="E241" i="32"/>
  <c r="M57" i="31"/>
  <c r="I241" i="32"/>
  <c r="M61" i="31"/>
  <c r="F273" i="32"/>
  <c r="M65" i="31"/>
  <c r="C305" i="32"/>
  <c r="M69" i="31"/>
  <c r="G305" i="32"/>
  <c r="M73" i="31"/>
  <c r="D337" i="32"/>
  <c r="M77" i="31"/>
  <c r="H337" i="32"/>
  <c r="R85" i="24"/>
  <c r="G26" i="32"/>
  <c r="AE6" i="31"/>
  <c r="AE14" i="31"/>
  <c r="H58" i="32"/>
  <c r="AE18" i="31"/>
  <c r="E90" i="32"/>
  <c r="AE22" i="31"/>
  <c r="I90" i="32"/>
  <c r="AE26" i="31"/>
  <c r="F122" i="32"/>
  <c r="AE38" i="31"/>
  <c r="D186" i="32"/>
  <c r="AE42" i="31"/>
  <c r="H186" i="32"/>
  <c r="AE46" i="31"/>
  <c r="E218" i="32"/>
  <c r="D58" i="32"/>
  <c r="H3" i="31"/>
  <c r="D12" i="32"/>
  <c r="H11" i="31"/>
  <c r="E44" i="32"/>
  <c r="H23" i="31"/>
  <c r="C108" i="32"/>
  <c r="H31" i="31"/>
  <c r="D140" i="32"/>
  <c r="H39" i="31"/>
  <c r="E172" i="32"/>
  <c r="H47" i="31"/>
  <c r="F204" i="32"/>
  <c r="H55" i="31"/>
  <c r="G236" i="32"/>
  <c r="H59" i="31"/>
  <c r="D268" i="32"/>
  <c r="H67" i="31"/>
  <c r="E300" i="32"/>
  <c r="H71" i="31"/>
  <c r="I300" i="32"/>
  <c r="H79" i="31"/>
  <c r="C364" i="32"/>
  <c r="O2" i="31"/>
  <c r="C19" i="32"/>
  <c r="O10" i="31"/>
  <c r="D51" i="32"/>
  <c r="H51" i="32"/>
  <c r="O14" i="31"/>
  <c r="O18" i="31"/>
  <c r="E83" i="32"/>
  <c r="O22" i="31"/>
  <c r="I83" i="32"/>
  <c r="O26" i="31"/>
  <c r="F115" i="32"/>
  <c r="O30" i="31"/>
  <c r="C147" i="32"/>
  <c r="O34" i="31"/>
  <c r="G147" i="32"/>
  <c r="O38" i="31"/>
  <c r="D179" i="32"/>
  <c r="O46" i="31"/>
  <c r="E211" i="32"/>
  <c r="O50" i="31"/>
  <c r="I211" i="32"/>
  <c r="O54" i="31"/>
  <c r="F243" i="32"/>
  <c r="O58" i="31"/>
  <c r="C275" i="32"/>
  <c r="O62" i="31"/>
  <c r="G275" i="32"/>
  <c r="O66" i="31"/>
  <c r="D307" i="32"/>
  <c r="O70" i="31"/>
  <c r="H307" i="32"/>
  <c r="O74" i="31"/>
  <c r="E339" i="32"/>
  <c r="O78" i="31"/>
  <c r="I339" i="32"/>
  <c r="AE3" i="31"/>
  <c r="D26" i="32"/>
  <c r="AE11" i="31"/>
  <c r="E58" i="32"/>
  <c r="AE15" i="31"/>
  <c r="I58" i="32"/>
  <c r="AE19" i="31"/>
  <c r="F90" i="32"/>
  <c r="AE23" i="31"/>
  <c r="C122" i="32"/>
  <c r="AE27" i="31"/>
  <c r="G122" i="32"/>
  <c r="AE31" i="31"/>
  <c r="D154" i="32"/>
  <c r="AE35" i="31"/>
  <c r="H154" i="32"/>
  <c r="AE39" i="31"/>
  <c r="E186" i="32"/>
  <c r="AE43" i="31"/>
  <c r="I186" i="32"/>
  <c r="AE47" i="31"/>
  <c r="F218" i="32"/>
  <c r="AH51" i="31"/>
  <c r="C253" i="32"/>
  <c r="G19" i="4"/>
  <c r="E19" i="4"/>
  <c r="E220" i="24"/>
  <c r="E233" i="24"/>
  <c r="F32" i="6" s="1"/>
  <c r="I612" i="24"/>
  <c r="AE30" i="31"/>
  <c r="C154" i="32"/>
  <c r="C363" i="24"/>
  <c r="DF2" i="30"/>
  <c r="C170" i="8"/>
  <c r="H7" i="31"/>
  <c r="H12" i="32"/>
  <c r="H15" i="31"/>
  <c r="I44" i="32"/>
  <c r="H19" i="31"/>
  <c r="F76" i="32"/>
  <c r="H27" i="31"/>
  <c r="G108" i="32"/>
  <c r="H35" i="31"/>
  <c r="H140" i="32"/>
  <c r="H43" i="31"/>
  <c r="I172" i="32"/>
  <c r="H51" i="31"/>
  <c r="C236" i="32"/>
  <c r="H63" i="31"/>
  <c r="H268" i="32"/>
  <c r="H75" i="31"/>
  <c r="F332" i="32"/>
  <c r="O6" i="31"/>
  <c r="G19" i="32"/>
  <c r="O42" i="31"/>
  <c r="H179" i="32"/>
  <c r="BK2" i="30"/>
  <c r="I362" i="32"/>
  <c r="O3" i="31"/>
  <c r="D19" i="32"/>
  <c r="O7" i="31"/>
  <c r="H19" i="32"/>
  <c r="O11" i="31"/>
  <c r="E51" i="32"/>
  <c r="O15" i="31"/>
  <c r="I51" i="32"/>
  <c r="O19" i="31"/>
  <c r="F83" i="32"/>
  <c r="O23" i="31"/>
  <c r="C115" i="32"/>
  <c r="O27" i="31"/>
  <c r="G115" i="32"/>
  <c r="O31" i="31"/>
  <c r="D147" i="32"/>
  <c r="O35" i="31"/>
  <c r="H147" i="32"/>
  <c r="O43" i="31"/>
  <c r="I179" i="32"/>
  <c r="O47" i="31"/>
  <c r="F211" i="32"/>
  <c r="O55" i="31"/>
  <c r="G243" i="32"/>
  <c r="O59" i="31"/>
  <c r="D275" i="32"/>
  <c r="O63" i="31"/>
  <c r="H275" i="32"/>
  <c r="O67" i="31"/>
  <c r="E307" i="32"/>
  <c r="O71" i="31"/>
  <c r="I307" i="32"/>
  <c r="O75" i="31"/>
  <c r="F339" i="32"/>
  <c r="O79" i="31"/>
  <c r="C371" i="32"/>
  <c r="D85" i="24"/>
  <c r="H85" i="24"/>
  <c r="L85" i="24"/>
  <c r="P85" i="24"/>
  <c r="T85" i="24"/>
  <c r="X85" i="24"/>
  <c r="AB85" i="24"/>
  <c r="AF85" i="24"/>
  <c r="AJ85" i="24"/>
  <c r="AN85" i="24"/>
  <c r="AR85" i="24"/>
  <c r="AV85" i="24"/>
  <c r="AZ85" i="24"/>
  <c r="BD85" i="24"/>
  <c r="BH85" i="24"/>
  <c r="BL85" i="24"/>
  <c r="BP85" i="24"/>
  <c r="BT85" i="24"/>
  <c r="BX85" i="24"/>
  <c r="CB85" i="24"/>
  <c r="AE4" i="31"/>
  <c r="E26" i="32"/>
  <c r="AE8" i="31"/>
  <c r="I26" i="32"/>
  <c r="AE12" i="31"/>
  <c r="F58" i="32"/>
  <c r="AE16" i="31"/>
  <c r="C90" i="32"/>
  <c r="AE20" i="31"/>
  <c r="G90" i="32"/>
  <c r="AE24" i="31"/>
  <c r="D122" i="32"/>
  <c r="AE28" i="31"/>
  <c r="H122" i="32"/>
  <c r="AE32" i="31"/>
  <c r="E154" i="32"/>
  <c r="AE36" i="31"/>
  <c r="I154" i="32"/>
  <c r="AE40" i="31"/>
  <c r="F186" i="32"/>
  <c r="AE44" i="31"/>
  <c r="C218" i="32"/>
  <c r="CE91" i="24"/>
  <c r="G28" i="4"/>
  <c r="E28" i="4"/>
  <c r="D308" i="24"/>
  <c r="D383" i="24"/>
  <c r="D12" i="33" s="1"/>
  <c r="D416" i="24"/>
  <c r="F612" i="24"/>
  <c r="J612" i="24"/>
  <c r="F42" i="15"/>
  <c r="F44" i="15"/>
  <c r="F46" i="15"/>
  <c r="F47" i="15"/>
  <c r="F50" i="15"/>
  <c r="F51" i="15"/>
  <c r="F52" i="15"/>
  <c r="F53" i="15"/>
  <c r="F55" i="15"/>
  <c r="F57" i="15"/>
  <c r="F58" i="15"/>
  <c r="F59" i="15"/>
  <c r="C243" i="32"/>
  <c r="AE2" i="31"/>
  <c r="C26" i="32"/>
  <c r="AE34" i="31"/>
  <c r="G154" i="32"/>
  <c r="O4" i="31"/>
  <c r="E19" i="32"/>
  <c r="O8" i="31"/>
  <c r="I19" i="32"/>
  <c r="O12" i="31"/>
  <c r="F51" i="32"/>
  <c r="O16" i="31"/>
  <c r="C83" i="32"/>
  <c r="O20" i="31"/>
  <c r="G83" i="32"/>
  <c r="O24" i="31"/>
  <c r="D115" i="32"/>
  <c r="O28" i="31"/>
  <c r="H115" i="32"/>
  <c r="O32" i="31"/>
  <c r="E147" i="32"/>
  <c r="O40" i="31"/>
  <c r="F179" i="32"/>
  <c r="O44" i="31"/>
  <c r="C211" i="32"/>
  <c r="O48" i="31"/>
  <c r="G211" i="32"/>
  <c r="O52" i="31"/>
  <c r="D243" i="32"/>
  <c r="O56" i="31"/>
  <c r="H243" i="32"/>
  <c r="O60" i="31"/>
  <c r="E275" i="32"/>
  <c r="O64" i="31"/>
  <c r="I275" i="32"/>
  <c r="O68" i="31"/>
  <c r="F307" i="32"/>
  <c r="O72" i="31"/>
  <c r="C339" i="32"/>
  <c r="O76" i="31"/>
  <c r="G339" i="32"/>
  <c r="O80" i="31"/>
  <c r="D371" i="32"/>
  <c r="AE5" i="31"/>
  <c r="F26" i="32"/>
  <c r="AE9" i="31"/>
  <c r="C58" i="32"/>
  <c r="AE13" i="31"/>
  <c r="G58" i="32"/>
  <c r="AE17" i="31"/>
  <c r="D90" i="32"/>
  <c r="AE21" i="31"/>
  <c r="H90" i="32"/>
  <c r="AE25" i="31"/>
  <c r="E122" i="32"/>
  <c r="AE29" i="31"/>
  <c r="I122" i="32"/>
  <c r="AE33" i="31"/>
  <c r="F154" i="32"/>
  <c r="AE37" i="31"/>
  <c r="C186" i="32"/>
  <c r="AE45" i="31"/>
  <c r="D218" i="32"/>
  <c r="CF2" i="28"/>
  <c r="D5" i="7"/>
  <c r="D258" i="24"/>
  <c r="D27" i="7" s="1"/>
  <c r="C113" i="8"/>
  <c r="H26" i="32"/>
  <c r="I147" i="32"/>
  <c r="G186" i="32"/>
  <c r="F63" i="15"/>
  <c r="F64" i="15"/>
  <c r="F65" i="15"/>
  <c r="F69" i="15"/>
  <c r="C715" i="34"/>
  <c r="C648" i="34"/>
  <c r="M716" i="34" s="1"/>
  <c r="D615" i="34"/>
  <c r="I378" i="32" l="1"/>
  <c r="F21" i="32"/>
  <c r="C671" i="24"/>
  <c r="D350" i="24"/>
  <c r="C119" i="8"/>
  <c r="C675" i="24"/>
  <c r="C22" i="15"/>
  <c r="G22" i="15" s="1"/>
  <c r="D716" i="34"/>
  <c r="D711" i="34"/>
  <c r="D707" i="34"/>
  <c r="D703" i="34"/>
  <c r="D712" i="34"/>
  <c r="D708" i="34"/>
  <c r="D700" i="34"/>
  <c r="D696" i="34"/>
  <c r="D692" i="34"/>
  <c r="D688" i="34"/>
  <c r="D684" i="34"/>
  <c r="D680" i="34"/>
  <c r="D694" i="34"/>
  <c r="D693" i="34"/>
  <c r="D686" i="34"/>
  <c r="D685" i="34"/>
  <c r="D678" i="34"/>
  <c r="D677" i="34"/>
  <c r="D673" i="34"/>
  <c r="D669" i="34"/>
  <c r="D627" i="34"/>
  <c r="D710" i="34"/>
  <c r="D709" i="34"/>
  <c r="D706" i="34"/>
  <c r="D704" i="34"/>
  <c r="D701" i="34"/>
  <c r="D699" i="34"/>
  <c r="D691" i="34"/>
  <c r="D683" i="34"/>
  <c r="D674" i="34"/>
  <c r="D670" i="34"/>
  <c r="D647" i="34"/>
  <c r="D646" i="34"/>
  <c r="D645" i="34"/>
  <c r="D629" i="34"/>
  <c r="D626" i="34"/>
  <c r="D623" i="34"/>
  <c r="D621" i="34"/>
  <c r="D619" i="34"/>
  <c r="D617" i="34"/>
  <c r="D702" i="34"/>
  <c r="D698" i="34"/>
  <c r="D697" i="34"/>
  <c r="D690" i="34"/>
  <c r="D689" i="34"/>
  <c r="D682" i="34"/>
  <c r="D681" i="34"/>
  <c r="D675" i="34"/>
  <c r="D671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5" i="34"/>
  <c r="D624" i="34"/>
  <c r="D713" i="34"/>
  <c r="D695" i="34"/>
  <c r="D679" i="34"/>
  <c r="D672" i="34"/>
  <c r="D620" i="34"/>
  <c r="D622" i="34"/>
  <c r="D687" i="34"/>
  <c r="D676" i="34"/>
  <c r="D668" i="34"/>
  <c r="D616" i="34"/>
  <c r="D705" i="34"/>
  <c r="D628" i="34"/>
  <c r="D618" i="34"/>
  <c r="C167" i="8"/>
  <c r="D26" i="33"/>
  <c r="E414" i="24"/>
  <c r="C373" i="32"/>
  <c r="C92" i="15"/>
  <c r="G92" i="15" s="1"/>
  <c r="C622" i="24"/>
  <c r="I53" i="32"/>
  <c r="C28" i="15"/>
  <c r="C681" i="24"/>
  <c r="C21" i="32"/>
  <c r="C15" i="15"/>
  <c r="C668" i="24"/>
  <c r="CE85" i="24"/>
  <c r="I85" i="32"/>
  <c r="C35" i="15"/>
  <c r="C688" i="24"/>
  <c r="C94" i="15"/>
  <c r="G94" i="15" s="1"/>
  <c r="E373" i="32"/>
  <c r="I117" i="32"/>
  <c r="C42" i="15"/>
  <c r="G42" i="15" s="1"/>
  <c r="C695" i="24"/>
  <c r="C137" i="8"/>
  <c r="E380" i="24"/>
  <c r="I381" i="32"/>
  <c r="G612" i="24"/>
  <c r="CF91" i="24"/>
  <c r="F341" i="32"/>
  <c r="C88" i="15"/>
  <c r="G88" i="15" s="1"/>
  <c r="C644" i="24"/>
  <c r="D277" i="32"/>
  <c r="C72" i="15"/>
  <c r="G72" i="15" s="1"/>
  <c r="C636" i="24"/>
  <c r="I181" i="32"/>
  <c r="C709" i="24"/>
  <c r="C56" i="15"/>
  <c r="C40" i="15"/>
  <c r="G40" i="15" s="1"/>
  <c r="G117" i="32"/>
  <c r="C693" i="24"/>
  <c r="E53" i="32"/>
  <c r="C24" i="15"/>
  <c r="G24" i="15" s="1"/>
  <c r="C677" i="24"/>
  <c r="H85" i="32"/>
  <c r="C34" i="15"/>
  <c r="C687" i="24"/>
  <c r="F117" i="32"/>
  <c r="C39" i="15"/>
  <c r="C692" i="24"/>
  <c r="F181" i="32"/>
  <c r="C53" i="15"/>
  <c r="G53" i="15" s="1"/>
  <c r="C706" i="24"/>
  <c r="G53" i="32"/>
  <c r="C26" i="15"/>
  <c r="C679" i="24"/>
  <c r="G277" i="32"/>
  <c r="C75" i="15"/>
  <c r="G75" i="15" s="1"/>
  <c r="C635" i="24"/>
  <c r="C43" i="15"/>
  <c r="C149" i="32"/>
  <c r="C696" i="24"/>
  <c r="F277" i="32"/>
  <c r="C74" i="15"/>
  <c r="G74" i="15" s="1"/>
  <c r="C617" i="24"/>
  <c r="E117" i="32"/>
  <c r="C38" i="15"/>
  <c r="C691" i="24"/>
  <c r="E85" i="32"/>
  <c r="C31" i="15"/>
  <c r="G31" i="15" s="1"/>
  <c r="C684" i="24"/>
  <c r="G341" i="32"/>
  <c r="C89" i="15"/>
  <c r="G89" i="15" s="1"/>
  <c r="C645" i="24"/>
  <c r="E149" i="32"/>
  <c r="C45" i="15"/>
  <c r="C698" i="24"/>
  <c r="G309" i="32"/>
  <c r="C82" i="15"/>
  <c r="G82" i="15" s="1"/>
  <c r="C626" i="24"/>
  <c r="G181" i="32"/>
  <c r="C54" i="15"/>
  <c r="C707" i="24"/>
  <c r="I213" i="32"/>
  <c r="C63" i="15"/>
  <c r="G63" i="15" s="1"/>
  <c r="C625" i="24"/>
  <c r="G213" i="32"/>
  <c r="C61" i="15"/>
  <c r="C631" i="24"/>
  <c r="H277" i="32"/>
  <c r="C76" i="15"/>
  <c r="G76" i="15" s="1"/>
  <c r="C637" i="24"/>
  <c r="D149" i="32"/>
  <c r="C44" i="15"/>
  <c r="G44" i="15" s="1"/>
  <c r="C697" i="24"/>
  <c r="C87" i="15"/>
  <c r="G87" i="15" s="1"/>
  <c r="E341" i="32"/>
  <c r="C643" i="24"/>
  <c r="D373" i="32"/>
  <c r="C93" i="15"/>
  <c r="G93" i="15" s="1"/>
  <c r="C620" i="24"/>
  <c r="H117" i="32"/>
  <c r="C41" i="15"/>
  <c r="C694" i="24"/>
  <c r="F245" i="32"/>
  <c r="C67" i="15"/>
  <c r="G67" i="15" s="1"/>
  <c r="C633" i="24"/>
  <c r="C66" i="15"/>
  <c r="G66" i="15" s="1"/>
  <c r="E245" i="32"/>
  <c r="C632" i="24"/>
  <c r="G85" i="32"/>
  <c r="C33" i="15"/>
  <c r="C686" i="24"/>
  <c r="D53" i="32"/>
  <c r="C23" i="15"/>
  <c r="G23" i="15" s="1"/>
  <c r="C676" i="24"/>
  <c r="I149" i="32"/>
  <c r="C49" i="15"/>
  <c r="C702" i="24"/>
  <c r="C50" i="8"/>
  <c r="F309" i="24"/>
  <c r="D352" i="24"/>
  <c r="C103" i="8" s="1"/>
  <c r="I309" i="32"/>
  <c r="C84" i="15"/>
  <c r="G84" i="15" s="1"/>
  <c r="C640" i="24"/>
  <c r="G245" i="32"/>
  <c r="C68" i="15"/>
  <c r="G68" i="15" s="1"/>
  <c r="C624" i="24"/>
  <c r="E181" i="32"/>
  <c r="C705" i="24"/>
  <c r="C52" i="15"/>
  <c r="G52" i="15" s="1"/>
  <c r="C117" i="32"/>
  <c r="C36" i="15"/>
  <c r="C689" i="24"/>
  <c r="H21" i="32"/>
  <c r="C20" i="15"/>
  <c r="G20" i="15" s="1"/>
  <c r="C673" i="24"/>
  <c r="BN2" i="30"/>
  <c r="C117" i="8"/>
  <c r="D366" i="24"/>
  <c r="F16" i="6"/>
  <c r="F234" i="24"/>
  <c r="F149" i="32"/>
  <c r="C46" i="15"/>
  <c r="G46" i="15" s="1"/>
  <c r="C699" i="24"/>
  <c r="H181" i="32"/>
  <c r="C708" i="24"/>
  <c r="C55" i="15"/>
  <c r="G55" i="15" s="1"/>
  <c r="D245" i="32"/>
  <c r="C65" i="15"/>
  <c r="C630" i="24"/>
  <c r="E21" i="32"/>
  <c r="C17" i="15"/>
  <c r="C670" i="24"/>
  <c r="H309" i="32"/>
  <c r="C83" i="15"/>
  <c r="G83" i="15" s="1"/>
  <c r="C639" i="24"/>
  <c r="D181" i="32"/>
  <c r="C704" i="24"/>
  <c r="C51" i="15"/>
  <c r="G51" i="15" s="1"/>
  <c r="G21" i="32"/>
  <c r="C19" i="15"/>
  <c r="C672" i="24"/>
  <c r="D341" i="32"/>
  <c r="C86" i="15"/>
  <c r="G86" i="15" s="1"/>
  <c r="C642" i="24"/>
  <c r="C181" i="32"/>
  <c r="C50" i="15"/>
  <c r="G50" i="15" s="1"/>
  <c r="C703" i="24"/>
  <c r="G149" i="32"/>
  <c r="C47" i="15"/>
  <c r="G47" i="15" s="1"/>
  <c r="C700" i="24"/>
  <c r="C213" i="32"/>
  <c r="C57" i="15"/>
  <c r="G57" i="15" s="1"/>
  <c r="C710" i="24"/>
  <c r="H341" i="32"/>
  <c r="C90" i="15"/>
  <c r="G90" i="15" s="1"/>
  <c r="C646" i="24"/>
  <c r="H213" i="32"/>
  <c r="C62" i="15"/>
  <c r="C616" i="24"/>
  <c r="E277" i="32"/>
  <c r="C73" i="15"/>
  <c r="G73" i="15" s="1"/>
  <c r="C634" i="24"/>
  <c r="F53" i="32"/>
  <c r="C25" i="15"/>
  <c r="C678" i="24"/>
  <c r="F213" i="32"/>
  <c r="C713" i="24"/>
  <c r="C60" i="15"/>
  <c r="F309" i="32"/>
  <c r="C81" i="15"/>
  <c r="G81" i="15" s="1"/>
  <c r="C623" i="24"/>
  <c r="C309" i="32"/>
  <c r="C78" i="15"/>
  <c r="G78" i="15" s="1"/>
  <c r="C619" i="24"/>
  <c r="E309" i="32"/>
  <c r="C80" i="15"/>
  <c r="G80" i="15" s="1"/>
  <c r="C621" i="24"/>
  <c r="C245" i="32"/>
  <c r="C64" i="15"/>
  <c r="C628" i="24"/>
  <c r="H149" i="32"/>
  <c r="C701" i="24"/>
  <c r="C48" i="15"/>
  <c r="F85" i="32"/>
  <c r="C32" i="15"/>
  <c r="G32" i="15" s="1"/>
  <c r="C685" i="24"/>
  <c r="D21" i="32"/>
  <c r="C16" i="15"/>
  <c r="C669" i="24"/>
  <c r="D85" i="32"/>
  <c r="C30" i="15"/>
  <c r="C683" i="24"/>
  <c r="C277" i="32"/>
  <c r="C71" i="15"/>
  <c r="G71" i="15" s="1"/>
  <c r="C618" i="24"/>
  <c r="I277" i="32"/>
  <c r="C77" i="15"/>
  <c r="G77" i="15" s="1"/>
  <c r="C638" i="24"/>
  <c r="C85" i="32"/>
  <c r="C29" i="15"/>
  <c r="C682" i="24"/>
  <c r="C91" i="15"/>
  <c r="G91" i="15" s="1"/>
  <c r="I341" i="32"/>
  <c r="C647" i="24"/>
  <c r="E213" i="32"/>
  <c r="C712" i="24"/>
  <c r="C59" i="15"/>
  <c r="G59" i="15" s="1"/>
  <c r="H53" i="32"/>
  <c r="C27" i="15"/>
  <c r="C680" i="24"/>
  <c r="D213" i="32"/>
  <c r="C58" i="15"/>
  <c r="G58" i="15" s="1"/>
  <c r="C711" i="24"/>
  <c r="D309" i="32"/>
  <c r="C79" i="15"/>
  <c r="G79" i="15" s="1"/>
  <c r="C627" i="24"/>
  <c r="H245" i="32"/>
  <c r="C69" i="15"/>
  <c r="C614" i="24"/>
  <c r="I21" i="32"/>
  <c r="C21" i="15"/>
  <c r="C674" i="24"/>
  <c r="I245" i="32"/>
  <c r="C70" i="15"/>
  <c r="G70" i="15" s="1"/>
  <c r="C629" i="24"/>
  <c r="C341" i="32"/>
  <c r="C85" i="15"/>
  <c r="G85" i="15" s="1"/>
  <c r="C641" i="24"/>
  <c r="D117" i="32"/>
  <c r="C37" i="15"/>
  <c r="C690" i="24"/>
  <c r="G37" i="15" l="1"/>
  <c r="H37" i="15" s="1"/>
  <c r="I37" i="15" s="1"/>
  <c r="C120" i="8"/>
  <c r="D367" i="24"/>
  <c r="G33" i="15"/>
  <c r="H33" i="15" s="1"/>
  <c r="G45" i="15"/>
  <c r="H45" i="15" s="1"/>
  <c r="I45" i="15" s="1"/>
  <c r="G43" i="15"/>
  <c r="H43" i="15" s="1"/>
  <c r="I373" i="32"/>
  <c r="C716" i="24"/>
  <c r="D715" i="34"/>
  <c r="E623" i="34"/>
  <c r="G21" i="15"/>
  <c r="H21" i="15"/>
  <c r="I21" i="15" s="1"/>
  <c r="G27" i="15"/>
  <c r="H27" i="15" s="1"/>
  <c r="I27" i="15" s="1"/>
  <c r="G41" i="15"/>
  <c r="H41" i="15"/>
  <c r="I41" i="15" s="1"/>
  <c r="G38" i="15"/>
  <c r="H38" i="15" s="1"/>
  <c r="I38" i="15" s="1"/>
  <c r="G26" i="15"/>
  <c r="H26" i="15"/>
  <c r="I26" i="15" s="1"/>
  <c r="G28" i="15"/>
  <c r="H28" i="15" s="1"/>
  <c r="I28" i="15" s="1"/>
  <c r="G29" i="15"/>
  <c r="H29" i="15" s="1"/>
  <c r="I29" i="15" s="1"/>
  <c r="G16" i="15"/>
  <c r="H16" i="15" s="1"/>
  <c r="I16" i="15" s="1"/>
  <c r="G25" i="15"/>
  <c r="H25" i="15" s="1"/>
  <c r="I25" i="15" s="1"/>
  <c r="G19" i="15"/>
  <c r="H19" i="15" s="1"/>
  <c r="I19" i="15" s="1"/>
  <c r="G65" i="15"/>
  <c r="H65" i="15"/>
  <c r="I65" i="15" s="1"/>
  <c r="G49" i="15"/>
  <c r="H49" i="15"/>
  <c r="I49" i="15" s="1"/>
  <c r="G54" i="15"/>
  <c r="H54" i="15" s="1"/>
  <c r="I54" i="15" s="1"/>
  <c r="G34" i="15"/>
  <c r="H34" i="15"/>
  <c r="I34" i="15" s="1"/>
  <c r="G56" i="15"/>
  <c r="H56" i="15" s="1"/>
  <c r="I56" i="15" s="1"/>
  <c r="G35" i="15"/>
  <c r="H35" i="15" s="1"/>
  <c r="G15" i="15"/>
  <c r="H15" i="15" s="1"/>
  <c r="I15" i="15" s="1"/>
  <c r="E612" i="34"/>
  <c r="G69" i="15"/>
  <c r="H69" i="15" s="1"/>
  <c r="C715" i="24"/>
  <c r="C648" i="24"/>
  <c r="M716" i="24" s="1"/>
  <c r="D615" i="24"/>
  <c r="G30" i="15"/>
  <c r="H30" i="15" s="1"/>
  <c r="I30" i="15" s="1"/>
  <c r="G48" i="15"/>
  <c r="H48" i="15" s="1"/>
  <c r="I48" i="15" s="1"/>
  <c r="G64" i="15"/>
  <c r="H64" i="15" s="1"/>
  <c r="G17" i="15"/>
  <c r="H17" i="15" s="1"/>
  <c r="I17" i="15" s="1"/>
  <c r="G36" i="15"/>
  <c r="H36" i="15" s="1"/>
  <c r="G39" i="15"/>
  <c r="H39" i="15" s="1"/>
  <c r="I39" i="15" s="1"/>
  <c r="C121" i="8" l="1"/>
  <c r="D384" i="24"/>
  <c r="E716" i="34"/>
  <c r="E712" i="34"/>
  <c r="E708" i="34"/>
  <c r="E704" i="34"/>
  <c r="E713" i="34"/>
  <c r="E709" i="34"/>
  <c r="E710" i="34"/>
  <c r="E706" i="34"/>
  <c r="E705" i="34"/>
  <c r="E697" i="34"/>
  <c r="E693" i="34"/>
  <c r="E689" i="34"/>
  <c r="E685" i="34"/>
  <c r="E681" i="34"/>
  <c r="E677" i="34"/>
  <c r="E711" i="34"/>
  <c r="E707" i="34"/>
  <c r="E701" i="34"/>
  <c r="E700" i="34"/>
  <c r="E699" i="34"/>
  <c r="E692" i="34"/>
  <c r="E691" i="34"/>
  <c r="E684" i="34"/>
  <c r="E683" i="34"/>
  <c r="E674" i="34"/>
  <c r="E670" i="34"/>
  <c r="E647" i="34"/>
  <c r="E646" i="34"/>
  <c r="E645" i="34"/>
  <c r="E629" i="34"/>
  <c r="E626" i="34"/>
  <c r="E702" i="34"/>
  <c r="E698" i="34"/>
  <c r="E690" i="34"/>
  <c r="E682" i="34"/>
  <c r="E675" i="34"/>
  <c r="E671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5" i="34"/>
  <c r="E624" i="34"/>
  <c r="E696" i="34"/>
  <c r="E695" i="34"/>
  <c r="E688" i="34"/>
  <c r="E687" i="34"/>
  <c r="E680" i="34"/>
  <c r="E679" i="34"/>
  <c r="E676" i="34"/>
  <c r="E672" i="34"/>
  <c r="E668" i="34"/>
  <c r="E628" i="34"/>
  <c r="E703" i="34"/>
  <c r="E673" i="34"/>
  <c r="E686" i="34"/>
  <c r="E627" i="34"/>
  <c r="E669" i="34"/>
  <c r="E694" i="34"/>
  <c r="E678" i="34"/>
  <c r="D713" i="24"/>
  <c r="D709" i="24"/>
  <c r="D705" i="24"/>
  <c r="D701" i="24"/>
  <c r="D710" i="24"/>
  <c r="D706" i="24"/>
  <c r="D702" i="24"/>
  <c r="D716" i="24"/>
  <c r="D711" i="24"/>
  <c r="D707" i="24"/>
  <c r="D703" i="24"/>
  <c r="D704" i="24"/>
  <c r="D698" i="24"/>
  <c r="D694" i="24"/>
  <c r="D690" i="24"/>
  <c r="D686" i="24"/>
  <c r="D682" i="24"/>
  <c r="D678" i="24"/>
  <c r="D674" i="24"/>
  <c r="D670" i="24"/>
  <c r="D647" i="24"/>
  <c r="D646" i="24"/>
  <c r="D645" i="24"/>
  <c r="D629" i="24"/>
  <c r="D626" i="24"/>
  <c r="D623" i="24"/>
  <c r="D621" i="24"/>
  <c r="D619" i="24"/>
  <c r="D617" i="24"/>
  <c r="D673" i="24"/>
  <c r="D708" i="24"/>
  <c r="D699" i="24"/>
  <c r="D695" i="24"/>
  <c r="D691" i="24"/>
  <c r="D687" i="24"/>
  <c r="D683" i="24"/>
  <c r="D679" i="24"/>
  <c r="D675" i="24"/>
  <c r="D671" i="24"/>
  <c r="D644" i="24"/>
  <c r="D643" i="24"/>
  <c r="D642" i="24"/>
  <c r="D641" i="24"/>
  <c r="D640" i="24"/>
  <c r="D639" i="24"/>
  <c r="D638" i="24"/>
  <c r="D637" i="24"/>
  <c r="D636" i="24"/>
  <c r="D635" i="24"/>
  <c r="D634" i="24"/>
  <c r="D633" i="24"/>
  <c r="D632" i="24"/>
  <c r="D631" i="24"/>
  <c r="D630" i="24"/>
  <c r="D625" i="24"/>
  <c r="D624" i="24"/>
  <c r="D697" i="24"/>
  <c r="D685" i="24"/>
  <c r="D681" i="24"/>
  <c r="D677" i="24"/>
  <c r="D627" i="24"/>
  <c r="D712" i="24"/>
  <c r="D696" i="24"/>
  <c r="D692" i="24"/>
  <c r="D688" i="24"/>
  <c r="D684" i="24"/>
  <c r="D680" i="24"/>
  <c r="D676" i="24"/>
  <c r="D672" i="24"/>
  <c r="D668" i="24"/>
  <c r="D628" i="24"/>
  <c r="D622" i="24"/>
  <c r="D620" i="24"/>
  <c r="D618" i="24"/>
  <c r="D616" i="24"/>
  <c r="D700" i="24"/>
  <c r="D693" i="24"/>
  <c r="D689" i="24"/>
  <c r="D669" i="24"/>
  <c r="E715" i="34" l="1"/>
  <c r="F624" i="34"/>
  <c r="C138" i="8"/>
  <c r="D417" i="24"/>
  <c r="D715" i="24"/>
  <c r="E623" i="24"/>
  <c r="E612" i="24"/>
  <c r="F713" i="34" l="1"/>
  <c r="F709" i="34"/>
  <c r="F705" i="34"/>
  <c r="F701" i="34"/>
  <c r="F710" i="34"/>
  <c r="F706" i="34"/>
  <c r="F712" i="34"/>
  <c r="F708" i="34"/>
  <c r="F704" i="34"/>
  <c r="F703" i="34"/>
  <c r="F702" i="34"/>
  <c r="F698" i="34"/>
  <c r="F694" i="34"/>
  <c r="F690" i="34"/>
  <c r="F686" i="34"/>
  <c r="F682" i="34"/>
  <c r="F678" i="34"/>
  <c r="F716" i="34"/>
  <c r="F675" i="34"/>
  <c r="F671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25" i="34"/>
  <c r="F711" i="34"/>
  <c r="F697" i="34"/>
  <c r="F696" i="34"/>
  <c r="F695" i="34"/>
  <c r="F689" i="34"/>
  <c r="F688" i="34"/>
  <c r="F687" i="34"/>
  <c r="F681" i="34"/>
  <c r="F680" i="34"/>
  <c r="F679" i="34"/>
  <c r="F676" i="34"/>
  <c r="F672" i="34"/>
  <c r="F668" i="34"/>
  <c r="F628" i="34"/>
  <c r="F673" i="34"/>
  <c r="F669" i="34"/>
  <c r="F627" i="34"/>
  <c r="F691" i="34"/>
  <c r="F685" i="34"/>
  <c r="F674" i="34"/>
  <c r="F646" i="34"/>
  <c r="F629" i="34"/>
  <c r="F692" i="34"/>
  <c r="F647" i="34"/>
  <c r="F707" i="34"/>
  <c r="F699" i="34"/>
  <c r="F693" i="34"/>
  <c r="F683" i="34"/>
  <c r="F677" i="34"/>
  <c r="F670" i="34"/>
  <c r="F626" i="34"/>
  <c r="F684" i="34"/>
  <c r="F645" i="34"/>
  <c r="F700" i="34"/>
  <c r="C168" i="8"/>
  <c r="D421" i="24"/>
  <c r="E710" i="24"/>
  <c r="E706" i="24"/>
  <c r="E702" i="24"/>
  <c r="E716" i="24"/>
  <c r="E711" i="24"/>
  <c r="E707" i="24"/>
  <c r="E703" i="24"/>
  <c r="E712" i="24"/>
  <c r="E708" i="24"/>
  <c r="E704" i="24"/>
  <c r="E700" i="24"/>
  <c r="E701" i="24"/>
  <c r="E699" i="24"/>
  <c r="E695" i="24"/>
  <c r="E691" i="24"/>
  <c r="E687" i="24"/>
  <c r="E683" i="24"/>
  <c r="E679" i="24"/>
  <c r="E675" i="24"/>
  <c r="E671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5" i="24"/>
  <c r="E624" i="24"/>
  <c r="F624" i="24" s="1"/>
  <c r="F703" i="24" s="1"/>
  <c r="E686" i="24"/>
  <c r="E678" i="24"/>
  <c r="E674" i="24"/>
  <c r="E645" i="24"/>
  <c r="E705" i="24"/>
  <c r="E696" i="24"/>
  <c r="E692" i="24"/>
  <c r="E688" i="24"/>
  <c r="E684" i="24"/>
  <c r="E680" i="24"/>
  <c r="E676" i="24"/>
  <c r="E672" i="24"/>
  <c r="E668" i="24"/>
  <c r="E628" i="24"/>
  <c r="E713" i="24"/>
  <c r="E698" i="24"/>
  <c r="E690" i="24"/>
  <c r="E682" i="24"/>
  <c r="E647" i="24"/>
  <c r="E629" i="24"/>
  <c r="E709" i="24"/>
  <c r="E697" i="24"/>
  <c r="E693" i="24"/>
  <c r="E689" i="24"/>
  <c r="E685" i="24"/>
  <c r="E681" i="24"/>
  <c r="E677" i="24"/>
  <c r="E673" i="24"/>
  <c r="E669" i="24"/>
  <c r="E627" i="24"/>
  <c r="E694" i="24"/>
  <c r="E670" i="24"/>
  <c r="E646" i="24"/>
  <c r="E626" i="24"/>
  <c r="F644" i="24" l="1"/>
  <c r="F645" i="24"/>
  <c r="F710" i="24"/>
  <c r="F693" i="24"/>
  <c r="F698" i="24"/>
  <c r="F705" i="24"/>
  <c r="F646" i="24"/>
  <c r="F706" i="24"/>
  <c r="F683" i="24"/>
  <c r="F697" i="24"/>
  <c r="F709" i="24"/>
  <c r="F636" i="24"/>
  <c r="F678" i="24"/>
  <c r="F635" i="24"/>
  <c r="F669" i="24"/>
  <c r="F637" i="24"/>
  <c r="F684" i="24"/>
  <c r="F712" i="24"/>
  <c r="F668" i="24"/>
  <c r="F671" i="24"/>
  <c r="F682" i="24"/>
  <c r="F638" i="24"/>
  <c r="F677" i="24"/>
  <c r="F640" i="24"/>
  <c r="F688" i="24"/>
  <c r="F707" i="24"/>
  <c r="F695" i="24"/>
  <c r="F647" i="24"/>
  <c r="F690" i="24"/>
  <c r="F625" i="24"/>
  <c r="G625" i="24" s="1"/>
  <c r="F641" i="24"/>
  <c r="F699" i="24"/>
  <c r="F681" i="24"/>
  <c r="F702" i="24"/>
  <c r="F679" i="24"/>
  <c r="F672" i="24"/>
  <c r="F692" i="24"/>
  <c r="F704" i="24"/>
  <c r="F711" i="24"/>
  <c r="F633" i="24"/>
  <c r="F626" i="24"/>
  <c r="F674" i="24"/>
  <c r="F694" i="24"/>
  <c r="F630" i="24"/>
  <c r="F643" i="24"/>
  <c r="F627" i="24"/>
  <c r="F685" i="24"/>
  <c r="F634" i="24"/>
  <c r="F687" i="24"/>
  <c r="F676" i="24"/>
  <c r="F701" i="24"/>
  <c r="F708" i="24"/>
  <c r="F716" i="24"/>
  <c r="F639" i="24"/>
  <c r="F629" i="24"/>
  <c r="F670" i="24"/>
  <c r="F686" i="24"/>
  <c r="F700" i="24"/>
  <c r="F632" i="24"/>
  <c r="F642" i="24"/>
  <c r="F691" i="24"/>
  <c r="F673" i="24"/>
  <c r="F689" i="24"/>
  <c r="F631" i="24"/>
  <c r="F675" i="24"/>
  <c r="F628" i="24"/>
  <c r="F680" i="24"/>
  <c r="F696" i="24"/>
  <c r="F713" i="24"/>
  <c r="E715" i="24"/>
  <c r="C172" i="8"/>
  <c r="D424" i="24"/>
  <c r="C177" i="8" s="1"/>
  <c r="F715" i="34"/>
  <c r="G625" i="34"/>
  <c r="G712" i="24" l="1"/>
  <c r="G677" i="24"/>
  <c r="G670" i="24"/>
  <c r="G671" i="24"/>
  <c r="G707" i="24"/>
  <c r="G702" i="24"/>
  <c r="G698" i="24"/>
  <c r="G699" i="24"/>
  <c r="G636" i="24"/>
  <c r="G701" i="24"/>
  <c r="G676" i="24"/>
  <c r="G688" i="24"/>
  <c r="G639" i="24"/>
  <c r="G681" i="24"/>
  <c r="G713" i="24"/>
  <c r="G672" i="24"/>
  <c r="G668" i="24"/>
  <c r="G634" i="24"/>
  <c r="G706" i="24"/>
  <c r="G709" i="24"/>
  <c r="G692" i="24"/>
  <c r="G629" i="24"/>
  <c r="G641" i="24"/>
  <c r="G628" i="24"/>
  <c r="G689" i="24"/>
  <c r="G682" i="24"/>
  <c r="G683" i="24"/>
  <c r="G632" i="24"/>
  <c r="G711" i="24"/>
  <c r="G694" i="24"/>
  <c r="G695" i="24"/>
  <c r="G635" i="24"/>
  <c r="G674" i="24"/>
  <c r="G627" i="24"/>
  <c r="G691" i="24"/>
  <c r="G638" i="24"/>
  <c r="G700" i="24"/>
  <c r="G703" i="24"/>
  <c r="G637" i="24"/>
  <c r="G708" i="24"/>
  <c r="G673" i="24"/>
  <c r="G647" i="24"/>
  <c r="G644" i="24"/>
  <c r="G696" i="24"/>
  <c r="G685" i="24"/>
  <c r="G678" i="24"/>
  <c r="G679" i="24"/>
  <c r="G631" i="24"/>
  <c r="G675" i="24"/>
  <c r="G645" i="24"/>
  <c r="G710" i="24"/>
  <c r="G697" i="24"/>
  <c r="G693" i="24"/>
  <c r="G686" i="24"/>
  <c r="G687" i="24"/>
  <c r="G633" i="24"/>
  <c r="G705" i="24"/>
  <c r="G684" i="24"/>
  <c r="G626" i="24"/>
  <c r="G640" i="24"/>
  <c r="G704" i="24"/>
  <c r="G669" i="24"/>
  <c r="G646" i="24"/>
  <c r="G643" i="24"/>
  <c r="G680" i="24"/>
  <c r="G630" i="24"/>
  <c r="G642" i="24"/>
  <c r="G716" i="24"/>
  <c r="G690" i="24"/>
  <c r="F715" i="24"/>
  <c r="G710" i="34"/>
  <c r="G706" i="34"/>
  <c r="G702" i="34"/>
  <c r="G716" i="34"/>
  <c r="G711" i="34"/>
  <c r="G707" i="34"/>
  <c r="G699" i="34"/>
  <c r="G695" i="34"/>
  <c r="G691" i="34"/>
  <c r="G687" i="34"/>
  <c r="G683" i="34"/>
  <c r="G679" i="34"/>
  <c r="G713" i="34"/>
  <c r="G709" i="34"/>
  <c r="G708" i="34"/>
  <c r="G704" i="34"/>
  <c r="G698" i="34"/>
  <c r="G697" i="34"/>
  <c r="G696" i="34"/>
  <c r="G690" i="34"/>
  <c r="G689" i="34"/>
  <c r="G688" i="34"/>
  <c r="G682" i="34"/>
  <c r="G681" i="34"/>
  <c r="G680" i="34"/>
  <c r="G676" i="34"/>
  <c r="G672" i="34"/>
  <c r="G668" i="34"/>
  <c r="G628" i="34"/>
  <c r="G673" i="34"/>
  <c r="G669" i="34"/>
  <c r="G627" i="34"/>
  <c r="G712" i="34"/>
  <c r="G705" i="34"/>
  <c r="G703" i="34"/>
  <c r="G700" i="34"/>
  <c r="G694" i="34"/>
  <c r="G693" i="34"/>
  <c r="G692" i="34"/>
  <c r="G686" i="34"/>
  <c r="G685" i="34"/>
  <c r="G684" i="34"/>
  <c r="G678" i="34"/>
  <c r="G677" i="34"/>
  <c r="G674" i="34"/>
  <c r="G670" i="34"/>
  <c r="G647" i="34"/>
  <c r="G646" i="34"/>
  <c r="G645" i="34"/>
  <c r="G629" i="34"/>
  <c r="G626" i="34"/>
  <c r="G701" i="34"/>
  <c r="G643" i="34"/>
  <c r="G641" i="34"/>
  <c r="G639" i="34"/>
  <c r="G637" i="34"/>
  <c r="G635" i="34"/>
  <c r="G633" i="34"/>
  <c r="G631" i="34"/>
  <c r="G675" i="34"/>
  <c r="G644" i="34"/>
  <c r="G642" i="34"/>
  <c r="G640" i="34"/>
  <c r="G638" i="34"/>
  <c r="G636" i="34"/>
  <c r="G634" i="34"/>
  <c r="G632" i="34"/>
  <c r="G630" i="34"/>
  <c r="G671" i="34"/>
  <c r="G715" i="24" l="1"/>
  <c r="H628" i="24"/>
  <c r="H711" i="24" s="1"/>
  <c r="G715" i="34"/>
  <c r="H628" i="34"/>
  <c r="H710" i="24" l="1"/>
  <c r="H685" i="24"/>
  <c r="H643" i="24"/>
  <c r="H681" i="24"/>
  <c r="H713" i="24"/>
  <c r="H635" i="24"/>
  <c r="H673" i="24"/>
  <c r="H639" i="24"/>
  <c r="H687" i="24"/>
  <c r="H674" i="24"/>
  <c r="H640" i="24"/>
  <c r="H707" i="24"/>
  <c r="H709" i="24"/>
  <c r="H701" i="24"/>
  <c r="H636" i="24"/>
  <c r="H692" i="24"/>
  <c r="H634" i="24"/>
  <c r="H645" i="24"/>
  <c r="H689" i="24"/>
  <c r="H646" i="24"/>
  <c r="H712" i="24"/>
  <c r="H675" i="24"/>
  <c r="H703" i="24"/>
  <c r="H633" i="24"/>
  <c r="H693" i="24"/>
  <c r="H680" i="24"/>
  <c r="H677" i="24"/>
  <c r="H631" i="24"/>
  <c r="H668" i="24"/>
  <c r="H672" i="24"/>
  <c r="H699" i="24"/>
  <c r="H702" i="24"/>
  <c r="H637" i="24"/>
  <c r="H698" i="24"/>
  <c r="H630" i="24"/>
  <c r="H670" i="24"/>
  <c r="H716" i="24"/>
  <c r="H684" i="24"/>
  <c r="H690" i="24"/>
  <c r="H688" i="24"/>
  <c r="H644" i="24"/>
  <c r="H694" i="24"/>
  <c r="H676" i="24"/>
  <c r="H641" i="24"/>
  <c r="H682" i="24"/>
  <c r="H697" i="24"/>
  <c r="H638" i="24"/>
  <c r="H686" i="24"/>
  <c r="H691" i="24"/>
  <c r="H700" i="24"/>
  <c r="H679" i="24"/>
  <c r="H669" i="24"/>
  <c r="H695" i="24"/>
  <c r="H708" i="24"/>
  <c r="H632" i="24"/>
  <c r="H683" i="24"/>
  <c r="H678" i="24"/>
  <c r="H705" i="24"/>
  <c r="H704" i="24"/>
  <c r="H671" i="24"/>
  <c r="H647" i="24"/>
  <c r="H706" i="24"/>
  <c r="H696" i="24"/>
  <c r="H642" i="24"/>
  <c r="H629" i="24"/>
  <c r="I629" i="24" s="1"/>
  <c r="H716" i="34"/>
  <c r="H711" i="34"/>
  <c r="H707" i="34"/>
  <c r="H703" i="34"/>
  <c r="H712" i="34"/>
  <c r="H708" i="34"/>
  <c r="H701" i="34"/>
  <c r="H700" i="34"/>
  <c r="H696" i="34"/>
  <c r="H692" i="34"/>
  <c r="H688" i="34"/>
  <c r="H684" i="34"/>
  <c r="H680" i="34"/>
  <c r="H710" i="34"/>
  <c r="H709" i="34"/>
  <c r="H706" i="34"/>
  <c r="H702" i="34"/>
  <c r="H695" i="34"/>
  <c r="H687" i="34"/>
  <c r="H679" i="34"/>
  <c r="H673" i="34"/>
  <c r="H669" i="34"/>
  <c r="H705" i="34"/>
  <c r="H694" i="34"/>
  <c r="H693" i="34"/>
  <c r="H686" i="34"/>
  <c r="H685" i="34"/>
  <c r="H678" i="34"/>
  <c r="H677" i="34"/>
  <c r="H674" i="34"/>
  <c r="H670" i="34"/>
  <c r="H647" i="34"/>
  <c r="H646" i="34"/>
  <c r="H645" i="34"/>
  <c r="H629" i="34"/>
  <c r="H713" i="34"/>
  <c r="H699" i="34"/>
  <c r="H691" i="34"/>
  <c r="H683" i="34"/>
  <c r="H675" i="34"/>
  <c r="H671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4" i="34"/>
  <c r="H698" i="34"/>
  <c r="H689" i="34"/>
  <c r="H682" i="34"/>
  <c r="H676" i="34"/>
  <c r="H668" i="34"/>
  <c r="H672" i="34"/>
  <c r="H690" i="34"/>
  <c r="H681" i="34"/>
  <c r="H697" i="34"/>
  <c r="H715" i="24" l="1"/>
  <c r="I702" i="24"/>
  <c r="I691" i="24"/>
  <c r="I638" i="24"/>
  <c r="I646" i="24"/>
  <c r="I672" i="24"/>
  <c r="I689" i="24"/>
  <c r="I686" i="24"/>
  <c r="I716" i="24"/>
  <c r="I712" i="24"/>
  <c r="I705" i="24"/>
  <c r="I687" i="24"/>
  <c r="I671" i="24"/>
  <c r="I641" i="24"/>
  <c r="I637" i="24"/>
  <c r="I633" i="24"/>
  <c r="I701" i="24"/>
  <c r="I709" i="24"/>
  <c r="I684" i="24"/>
  <c r="I668" i="24"/>
  <c r="I713" i="24"/>
  <c r="I685" i="24"/>
  <c r="I669" i="24"/>
  <c r="I674" i="24"/>
  <c r="I699" i="24"/>
  <c r="I640" i="24"/>
  <c r="I632" i="24"/>
  <c r="I696" i="24"/>
  <c r="I694" i="24"/>
  <c r="I697" i="24"/>
  <c r="I698" i="24"/>
  <c r="I647" i="24"/>
  <c r="I706" i="24"/>
  <c r="I707" i="24"/>
  <c r="I704" i="24"/>
  <c r="I695" i="24"/>
  <c r="I643" i="24"/>
  <c r="I639" i="24"/>
  <c r="I635" i="24"/>
  <c r="I631" i="24"/>
  <c r="I692" i="24"/>
  <c r="I676" i="24"/>
  <c r="I693" i="24"/>
  <c r="I690" i="24"/>
  <c r="I703" i="24"/>
  <c r="I700" i="24"/>
  <c r="I675" i="24"/>
  <c r="I642" i="24"/>
  <c r="I634" i="24"/>
  <c r="I630" i="24"/>
  <c r="I688" i="24"/>
  <c r="I645" i="24"/>
  <c r="I673" i="24"/>
  <c r="I710" i="24"/>
  <c r="I711" i="24"/>
  <c r="I708" i="24"/>
  <c r="I683" i="24"/>
  <c r="I644" i="24"/>
  <c r="I636" i="24"/>
  <c r="I682" i="24"/>
  <c r="I680" i="24"/>
  <c r="I681" i="24"/>
  <c r="I679" i="24"/>
  <c r="I670" i="24"/>
  <c r="I678" i="24"/>
  <c r="I677" i="24"/>
  <c r="H715" i="34"/>
  <c r="I629" i="34"/>
  <c r="I715" i="24" l="1"/>
  <c r="J630" i="24"/>
  <c r="I716" i="34"/>
  <c r="I712" i="34"/>
  <c r="I708" i="34"/>
  <c r="I704" i="34"/>
  <c r="I700" i="34"/>
  <c r="I713" i="34"/>
  <c r="I709" i="34"/>
  <c r="I711" i="34"/>
  <c r="I707" i="34"/>
  <c r="I697" i="34"/>
  <c r="I693" i="34"/>
  <c r="I689" i="34"/>
  <c r="I685" i="34"/>
  <c r="I681" i="34"/>
  <c r="I677" i="34"/>
  <c r="I710" i="34"/>
  <c r="I705" i="34"/>
  <c r="I694" i="34"/>
  <c r="I686" i="34"/>
  <c r="I678" i="34"/>
  <c r="I674" i="34"/>
  <c r="I670" i="34"/>
  <c r="I647" i="34"/>
  <c r="I646" i="34"/>
  <c r="I645" i="34"/>
  <c r="I703" i="34"/>
  <c r="I699" i="34"/>
  <c r="I692" i="34"/>
  <c r="I691" i="34"/>
  <c r="I684" i="34"/>
  <c r="I683" i="34"/>
  <c r="I675" i="34"/>
  <c r="I671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701" i="34"/>
  <c r="I698" i="34"/>
  <c r="I690" i="34"/>
  <c r="I682" i="34"/>
  <c r="I676" i="34"/>
  <c r="I672" i="34"/>
  <c r="I668" i="34"/>
  <c r="I706" i="34"/>
  <c r="I696" i="34"/>
  <c r="I687" i="34"/>
  <c r="I680" i="34"/>
  <c r="I669" i="34"/>
  <c r="I702" i="34"/>
  <c r="I688" i="34"/>
  <c r="I695" i="34"/>
  <c r="I679" i="34"/>
  <c r="I673" i="34"/>
  <c r="J711" i="24" l="1"/>
  <c r="J708" i="24"/>
  <c r="J705" i="24"/>
  <c r="J692" i="24"/>
  <c r="J676" i="24"/>
  <c r="J683" i="24"/>
  <c r="J638" i="24"/>
  <c r="J697" i="24"/>
  <c r="J681" i="24"/>
  <c r="J700" i="24"/>
  <c r="J639" i="24"/>
  <c r="J698" i="24"/>
  <c r="J682" i="24"/>
  <c r="J647" i="24"/>
  <c r="J675" i="24"/>
  <c r="J637" i="24"/>
  <c r="J707" i="24"/>
  <c r="J704" i="24"/>
  <c r="J701" i="24"/>
  <c r="J688" i="24"/>
  <c r="J672" i="24"/>
  <c r="J671" i="24"/>
  <c r="J635" i="24"/>
  <c r="J693" i="24"/>
  <c r="J677" i="24"/>
  <c r="J695" i="24"/>
  <c r="J636" i="24"/>
  <c r="J694" i="24"/>
  <c r="J678" i="24"/>
  <c r="J646" i="24"/>
  <c r="J644" i="24"/>
  <c r="J634" i="24"/>
  <c r="J703" i="24"/>
  <c r="J713" i="24"/>
  <c r="J702" i="24"/>
  <c r="J684" i="24"/>
  <c r="J668" i="24"/>
  <c r="J643" i="24"/>
  <c r="J632" i="24"/>
  <c r="J689" i="24"/>
  <c r="J673" i="24"/>
  <c r="J687" i="24"/>
  <c r="J633" i="24"/>
  <c r="J690" i="24"/>
  <c r="J674" i="24"/>
  <c r="J645" i="24"/>
  <c r="J642" i="24"/>
  <c r="J631" i="24"/>
  <c r="J709" i="24"/>
  <c r="J641" i="24"/>
  <c r="J679" i="24"/>
  <c r="J691" i="24"/>
  <c r="J696" i="24"/>
  <c r="J706" i="24"/>
  <c r="J710" i="24"/>
  <c r="J640" i="24"/>
  <c r="J699" i="24"/>
  <c r="J670" i="24"/>
  <c r="J716" i="24"/>
  <c r="J680" i="24"/>
  <c r="J685" i="24"/>
  <c r="J686" i="24"/>
  <c r="J712" i="24"/>
  <c r="J669" i="24"/>
  <c r="I715" i="34"/>
  <c r="J630" i="34"/>
  <c r="K644" i="24" l="1"/>
  <c r="K697" i="24" s="1"/>
  <c r="L647" i="24"/>
  <c r="L702" i="24" s="1"/>
  <c r="M702" i="24" s="1"/>
  <c r="I151" i="32" s="1"/>
  <c r="J715" i="24"/>
  <c r="J713" i="34"/>
  <c r="J709" i="34"/>
  <c r="J705" i="34"/>
  <c r="J701" i="34"/>
  <c r="J710" i="34"/>
  <c r="J706" i="34"/>
  <c r="J698" i="34"/>
  <c r="J694" i="34"/>
  <c r="J690" i="34"/>
  <c r="J686" i="34"/>
  <c r="J682" i="34"/>
  <c r="J678" i="34"/>
  <c r="J716" i="34"/>
  <c r="J712" i="34"/>
  <c r="J708" i="34"/>
  <c r="J711" i="34"/>
  <c r="J703" i="34"/>
  <c r="J699" i="34"/>
  <c r="J693" i="34"/>
  <c r="J692" i="34"/>
  <c r="J691" i="34"/>
  <c r="J685" i="34"/>
  <c r="J684" i="34"/>
  <c r="J683" i="34"/>
  <c r="J677" i="34"/>
  <c r="J675" i="34"/>
  <c r="J671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700" i="34"/>
  <c r="J676" i="34"/>
  <c r="J672" i="34"/>
  <c r="J668" i="34"/>
  <c r="J707" i="34"/>
  <c r="J704" i="34"/>
  <c r="J702" i="34"/>
  <c r="J697" i="34"/>
  <c r="J696" i="34"/>
  <c r="J695" i="34"/>
  <c r="J689" i="34"/>
  <c r="J688" i="34"/>
  <c r="J687" i="34"/>
  <c r="J681" i="34"/>
  <c r="J680" i="34"/>
  <c r="J679" i="34"/>
  <c r="J673" i="34"/>
  <c r="J669" i="34"/>
  <c r="J647" i="34"/>
  <c r="J670" i="34"/>
  <c r="J645" i="34"/>
  <c r="J674" i="34"/>
  <c r="J646" i="34"/>
  <c r="K690" i="24" l="1"/>
  <c r="L696" i="24"/>
  <c r="M696" i="24" s="1"/>
  <c r="C151" i="32" s="1"/>
  <c r="K687" i="24"/>
  <c r="K668" i="24"/>
  <c r="K715" i="24" s="1"/>
  <c r="K688" i="24"/>
  <c r="K701" i="24"/>
  <c r="K699" i="24"/>
  <c r="K675" i="24"/>
  <c r="K694" i="24"/>
  <c r="L683" i="24"/>
  <c r="M683" i="24" s="1"/>
  <c r="D87" i="32" s="1"/>
  <c r="K707" i="24"/>
  <c r="K686" i="24"/>
  <c r="K702" i="24"/>
  <c r="K706" i="24"/>
  <c r="K710" i="24"/>
  <c r="K669" i="24"/>
  <c r="K679" i="24"/>
  <c r="K683" i="24"/>
  <c r="K709" i="24"/>
  <c r="L688" i="24"/>
  <c r="M688" i="24" s="1"/>
  <c r="I87" i="32" s="1"/>
  <c r="L692" i="24"/>
  <c r="M692" i="24" s="1"/>
  <c r="F55" i="32" s="1"/>
  <c r="L713" i="24"/>
  <c r="M713" i="24" s="1"/>
  <c r="F215" i="32" s="1"/>
  <c r="L677" i="24"/>
  <c r="M677" i="24" s="1"/>
  <c r="L676" i="24"/>
  <c r="M676" i="24" s="1"/>
  <c r="D55" i="32" s="1"/>
  <c r="L684" i="24"/>
  <c r="M684" i="24" s="1"/>
  <c r="E87" i="32" s="1"/>
  <c r="L690" i="24"/>
  <c r="M690" i="24" s="1"/>
  <c r="D119" i="32" s="1"/>
  <c r="L697" i="24"/>
  <c r="M697" i="24" s="1"/>
  <c r="D151" i="32" s="1"/>
  <c r="L700" i="24"/>
  <c r="M700" i="24" s="1"/>
  <c r="G151" i="32" s="1"/>
  <c r="L701" i="24"/>
  <c r="M701" i="24" s="1"/>
  <c r="H151" i="32" s="1"/>
  <c r="K698" i="24"/>
  <c r="L682" i="24"/>
  <c r="M682" i="24" s="1"/>
  <c r="C87" i="32" s="1"/>
  <c r="L693" i="24"/>
  <c r="M693" i="24" s="1"/>
  <c r="G55" i="32" s="1"/>
  <c r="L695" i="24"/>
  <c r="M695" i="24" s="1"/>
  <c r="I119" i="32" s="1"/>
  <c r="L686" i="24"/>
  <c r="M686" i="24" s="1"/>
  <c r="G87" i="32" s="1"/>
  <c r="L669" i="24"/>
  <c r="M669" i="24" s="1"/>
  <c r="D23" i="32" s="1"/>
  <c r="L675" i="24"/>
  <c r="M675" i="24" s="1"/>
  <c r="C55" i="32" s="1"/>
  <c r="L672" i="24"/>
  <c r="M672" i="24" s="1"/>
  <c r="G23" i="32" s="1"/>
  <c r="L680" i="24"/>
  <c r="M680" i="24" s="1"/>
  <c r="H55" i="32" s="1"/>
  <c r="L707" i="24"/>
  <c r="M707" i="24" s="1"/>
  <c r="G183" i="32" s="1"/>
  <c r="L711" i="24"/>
  <c r="M711" i="24" s="1"/>
  <c r="D215" i="32" s="1"/>
  <c r="L674" i="24"/>
  <c r="M674" i="24" s="1"/>
  <c r="I23" i="32" s="1"/>
  <c r="L689" i="24"/>
  <c r="M689" i="24" s="1"/>
  <c r="C119" i="32" s="1"/>
  <c r="K676" i="24"/>
  <c r="K695" i="24"/>
  <c r="K705" i="24"/>
  <c r="K680" i="24"/>
  <c r="K700" i="24"/>
  <c r="K713" i="24"/>
  <c r="L705" i="24"/>
  <c r="M705" i="24" s="1"/>
  <c r="E183" i="32" s="1"/>
  <c r="L668" i="24"/>
  <c r="L715" i="24" s="1"/>
  <c r="L706" i="24"/>
  <c r="M706" i="24" s="1"/>
  <c r="F183" i="32" s="1"/>
  <c r="L679" i="24"/>
  <c r="M679" i="24" s="1"/>
  <c r="L708" i="24"/>
  <c r="M708" i="24" s="1"/>
  <c r="H183" i="32" s="1"/>
  <c r="L712" i="24"/>
  <c r="M712" i="24" s="1"/>
  <c r="E215" i="32" s="1"/>
  <c r="L671" i="24"/>
  <c r="M671" i="24" s="1"/>
  <c r="F23" i="32" s="1"/>
  <c r="L716" i="24"/>
  <c r="L678" i="24"/>
  <c r="M678" i="24" s="1"/>
  <c r="L694" i="24"/>
  <c r="M694" i="24" s="1"/>
  <c r="H119" i="32" s="1"/>
  <c r="L704" i="24"/>
  <c r="M704" i="24" s="1"/>
  <c r="D183" i="32" s="1"/>
  <c r="L709" i="24"/>
  <c r="M709" i="24" s="1"/>
  <c r="I183" i="32" s="1"/>
  <c r="L681" i="24"/>
  <c r="M681" i="24" s="1"/>
  <c r="I55" i="32" s="1"/>
  <c r="L685" i="24"/>
  <c r="M685" i="24" s="1"/>
  <c r="F87" i="32" s="1"/>
  <c r="L698" i="24"/>
  <c r="M698" i="24" s="1"/>
  <c r="E151" i="32" s="1"/>
  <c r="L673" i="24"/>
  <c r="M673" i="24" s="1"/>
  <c r="H23" i="32" s="1"/>
  <c r="L670" i="24"/>
  <c r="M670" i="24" s="1"/>
  <c r="E23" i="32" s="1"/>
  <c r="L710" i="24"/>
  <c r="M710" i="24" s="1"/>
  <c r="C215" i="32" s="1"/>
  <c r="L687" i="24"/>
  <c r="M687" i="24" s="1"/>
  <c r="H87" i="32" s="1"/>
  <c r="L699" i="24"/>
  <c r="M699" i="24" s="1"/>
  <c r="F151" i="32" s="1"/>
  <c r="L691" i="24"/>
  <c r="M691" i="24" s="1"/>
  <c r="E119" i="32" s="1"/>
  <c r="L703" i="24"/>
  <c r="M703" i="24" s="1"/>
  <c r="C183" i="32" s="1"/>
  <c r="K704" i="24"/>
  <c r="K670" i="24"/>
  <c r="K716" i="24"/>
  <c r="K672" i="24"/>
  <c r="K673" i="24"/>
  <c r="K708" i="24"/>
  <c r="K692" i="24"/>
  <c r="K677" i="24"/>
  <c r="K712" i="24"/>
  <c r="K696" i="24"/>
  <c r="K681" i="24"/>
  <c r="K703" i="24"/>
  <c r="K691" i="24"/>
  <c r="K685" i="24"/>
  <c r="K684" i="24"/>
  <c r="K674" i="24"/>
  <c r="K689" i="24"/>
  <c r="K711" i="24"/>
  <c r="K678" i="24"/>
  <c r="K693" i="24"/>
  <c r="K671" i="24"/>
  <c r="K682" i="24"/>
  <c r="F119" i="32"/>
  <c r="M668" i="24"/>
  <c r="L647" i="34"/>
  <c r="L711" i="34" s="1"/>
  <c r="K644" i="34"/>
  <c r="J715" i="34"/>
  <c r="E55" i="32" l="1"/>
  <c r="G119" i="32"/>
  <c r="C23" i="32"/>
  <c r="M715" i="24"/>
  <c r="L716" i="34"/>
  <c r="L686" i="34"/>
  <c r="L687" i="34"/>
  <c r="L705" i="34"/>
  <c r="L690" i="34"/>
  <c r="L699" i="34"/>
  <c r="L680" i="34"/>
  <c r="L695" i="34"/>
  <c r="L692" i="34"/>
  <c r="L675" i="34"/>
  <c r="L685" i="34"/>
  <c r="L673" i="34"/>
  <c r="L703" i="34"/>
  <c r="L668" i="34"/>
  <c r="L670" i="34"/>
  <c r="L689" i="34"/>
  <c r="L696" i="34"/>
  <c r="L700" i="34"/>
  <c r="L671" i="34"/>
  <c r="L706" i="34"/>
  <c r="L669" i="34"/>
  <c r="L701" i="34"/>
  <c r="L712" i="34"/>
  <c r="L691" i="34"/>
  <c r="L709" i="34"/>
  <c r="L676" i="34"/>
  <c r="L677" i="34"/>
  <c r="L693" i="34"/>
  <c r="L674" i="34"/>
  <c r="L704" i="34"/>
  <c r="L681" i="34"/>
  <c r="L697" i="34"/>
  <c r="L684" i="34"/>
  <c r="L702" i="34"/>
  <c r="L707" i="34"/>
  <c r="L672" i="34"/>
  <c r="L683" i="34"/>
  <c r="L710" i="34"/>
  <c r="L678" i="34"/>
  <c r="L694" i="34"/>
  <c r="L679" i="34"/>
  <c r="L713" i="34"/>
  <c r="L682" i="34"/>
  <c r="L698" i="34"/>
  <c r="L688" i="34"/>
  <c r="L708" i="34"/>
  <c r="K710" i="34"/>
  <c r="K706" i="34"/>
  <c r="K702" i="34"/>
  <c r="K716" i="34"/>
  <c r="K711" i="34"/>
  <c r="M711" i="34" s="1"/>
  <c r="K707" i="34"/>
  <c r="K713" i="34"/>
  <c r="K709" i="34"/>
  <c r="K705" i="34"/>
  <c r="K704" i="34"/>
  <c r="K703" i="34"/>
  <c r="K699" i="34"/>
  <c r="K695" i="34"/>
  <c r="K691" i="34"/>
  <c r="K687" i="34"/>
  <c r="K683" i="34"/>
  <c r="K679" i="34"/>
  <c r="K700" i="34"/>
  <c r="K676" i="34"/>
  <c r="K672" i="34"/>
  <c r="K668" i="34"/>
  <c r="K712" i="34"/>
  <c r="K701" i="34"/>
  <c r="K698" i="34"/>
  <c r="K697" i="34"/>
  <c r="K696" i="34"/>
  <c r="K690" i="34"/>
  <c r="K689" i="34"/>
  <c r="K688" i="34"/>
  <c r="K682" i="34"/>
  <c r="K681" i="34"/>
  <c r="K680" i="34"/>
  <c r="K673" i="34"/>
  <c r="K669" i="34"/>
  <c r="K674" i="34"/>
  <c r="K670" i="34"/>
  <c r="K708" i="34"/>
  <c r="K692" i="34"/>
  <c r="K686" i="34"/>
  <c r="K675" i="34"/>
  <c r="K693" i="34"/>
  <c r="K677" i="34"/>
  <c r="K694" i="34"/>
  <c r="K684" i="34"/>
  <c r="K678" i="34"/>
  <c r="M678" i="34" s="1"/>
  <c r="K671" i="34"/>
  <c r="K685" i="34"/>
  <c r="M699" i="34" l="1"/>
  <c r="M674" i="34"/>
  <c r="M691" i="34"/>
  <c r="M706" i="34"/>
  <c r="M675" i="34"/>
  <c r="M690" i="34"/>
  <c r="M709" i="34"/>
  <c r="M703" i="34"/>
  <c r="M688" i="34"/>
  <c r="M684" i="34"/>
  <c r="M686" i="34"/>
  <c r="M692" i="34"/>
  <c r="M669" i="34"/>
  <c r="M696" i="34"/>
  <c r="M700" i="34"/>
  <c r="M668" i="34"/>
  <c r="M673" i="34"/>
  <c r="M695" i="34"/>
  <c r="M705" i="34"/>
  <c r="M680" i="34"/>
  <c r="M689" i="34"/>
  <c r="M685" i="34"/>
  <c r="M687" i="34"/>
  <c r="M679" i="34"/>
  <c r="M683" i="34"/>
  <c r="M670" i="34"/>
  <c r="M671" i="34"/>
  <c r="M682" i="34"/>
  <c r="M712" i="34"/>
  <c r="M701" i="34"/>
  <c r="M708" i="34"/>
  <c r="M710" i="34"/>
  <c r="M707" i="34"/>
  <c r="M704" i="34"/>
  <c r="M676" i="34"/>
  <c r="M677" i="34"/>
  <c r="L715" i="34"/>
  <c r="M697" i="34"/>
  <c r="M693" i="34"/>
  <c r="M698" i="34"/>
  <c r="M672" i="34"/>
  <c r="M694" i="34"/>
  <c r="M681" i="34"/>
  <c r="M713" i="34"/>
  <c r="M702" i="34"/>
  <c r="K715" i="34"/>
  <c r="M715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Justin Gertler</author>
  </authors>
  <commentList>
    <comment ref="G307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  <comment ref="F308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  <comment ref="G351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Enter Unrestricted Fund Balance from Balance Sheet</t>
        </r>
      </text>
    </comment>
    <comment ref="G424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  <comment ref="H424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Justin Gertler:</t>
        </r>
        <r>
          <rPr>
            <sz val="9"/>
            <color indexed="81"/>
            <rFont val="Tahoma"/>
            <family val="2"/>
          </rPr>
          <t xml:space="preserve">
From old worksheet. Ignore
</t>
        </r>
      </text>
    </comment>
  </commentList>
</comments>
</file>

<file path=xl/sharedStrings.xml><?xml version="1.0" encoding="utf-8"?>
<sst xmlns="http://schemas.openxmlformats.org/spreadsheetml/2006/main" count="4859" uniqueCount="1390">
  <si>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</si>
  <si>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</si>
  <si>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</si>
  <si>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</si>
  <si>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</si>
  <si>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</si>
  <si>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</si>
  <si>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</si>
  <si>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</si>
  <si>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</si>
  <si>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</si>
  <si>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</si>
  <si>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</si>
  <si>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</si>
  <si>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</si>
  <si>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</si>
  <si>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</si>
  <si>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</si>
  <si>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</si>
  <si>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</si>
  <si>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</si>
  <si>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</si>
  <si>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</si>
  <si>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</si>
  <si>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</si>
  <si>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</si>
  <si>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</si>
  <si>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</si>
  <si>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</si>
  <si>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</si>
  <si>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</si>
  <si>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</si>
  <si>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</si>
  <si>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</si>
  <si>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</si>
  <si>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</si>
  <si>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</si>
  <si>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</si>
  <si>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</si>
  <si>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</si>
  <si>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</si>
  <si>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</si>
  <si>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</si>
  <si>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</si>
  <si>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</si>
  <si>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</si>
  <si>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</si>
  <si>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</si>
  <si>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</si>
  <si>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</si>
  <si>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</si>
  <si>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</si>
  <si>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</si>
  <si>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</si>
  <si>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</si>
  <si>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</si>
  <si>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</si>
  <si>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</si>
  <si>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</si>
  <si>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</si>
  <si>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</si>
  <si>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</si>
  <si>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</si>
  <si>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</si>
  <si>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</si>
  <si>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</si>
  <si>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</si>
  <si>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</si>
  <si>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</si>
  <si>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</si>
  <si>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</si>
  <si>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</si>
  <si>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</si>
  <si>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</si>
  <si>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</si>
  <si>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</si>
  <si>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</si>
  <si>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</si>
  <si>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</si>
  <si>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</si>
  <si>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</si>
  <si>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</si>
  <si>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</si>
  <si>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</si>
  <si>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</si>
  <si>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</si>
  <si>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</si>
  <si>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</si>
  <si>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</si>
  <si>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</si>
  <si>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</si>
  <si>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</si>
  <si>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</si>
  <si>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</si>
  <si>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</si>
  <si>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</si>
  <si>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</si>
  <si>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</si>
  <si>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</si>
  <si>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</si>
  <si>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</si>
  <si>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</si>
  <si>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</si>
  <si>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</si>
  <si>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</si>
  <si>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</si>
  <si>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</si>
  <si>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</si>
  <si>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</si>
  <si>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</si>
  <si>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</si>
  <si>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</si>
  <si>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</si>
  <si>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</si>
  <si>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</si>
  <si>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</si>
  <si>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</si>
  <si>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</si>
  <si>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</si>
  <si>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</si>
  <si>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</si>
  <si>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</si>
  <si>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</si>
  <si>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</si>
  <si>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</si>
  <si>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</si>
  <si>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</si>
  <si>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</si>
  <si>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</si>
  <si>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</si>
  <si>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</si>
  <si>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</si>
  <si>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</si>
  <si>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</si>
  <si>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</si>
  <si>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</si>
  <si>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</si>
  <si>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</si>
  <si>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</si>
  <si>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</si>
  <si>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</si>
  <si>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</si>
  <si>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</si>
  <si>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</si>
  <si>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</si>
  <si>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</si>
  <si>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</si>
  <si>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</si>
  <si>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</si>
  <si>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</si>
  <si>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</si>
  <si>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</si>
  <si>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</si>
  <si>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</si>
  <si>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</si>
  <si>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</si>
  <si>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</si>
  <si>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</si>
  <si>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</si>
  <si>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</si>
  <si>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</si>
  <si>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</si>
  <si>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</si>
  <si>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</si>
  <si>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</si>
  <si>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</si>
  <si>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</si>
  <si>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</si>
  <si>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</si>
  <si>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</si>
  <si>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</si>
  <si>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</si>
  <si>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</si>
  <si>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</si>
  <si>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</si>
  <si>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</si>
  <si>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</si>
  <si>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</si>
  <si>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</si>
  <si>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</si>
  <si>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</si>
  <si>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</si>
  <si>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</si>
  <si>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</si>
  <si>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</si>
  <si>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</si>
  <si>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</si>
  <si>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</si>
  <si>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</si>
  <si>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</si>
  <si>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</si>
  <si>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</si>
  <si>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</si>
  <si>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</si>
  <si>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</si>
  <si>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</si>
  <si>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</si>
  <si>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</si>
  <si>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</si>
  <si>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</si>
  <si>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</si>
  <si>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</si>
  <si>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</si>
  <si>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</si>
  <si>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</si>
  <si>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</si>
  <si>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</si>
  <si>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</si>
  <si>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</si>
  <si>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</si>
  <si>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</si>
  <si>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</si>
  <si>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</si>
  <si>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</si>
  <si>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</si>
  <si>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</si>
  <si>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</si>
  <si>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</si>
  <si>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</si>
  <si>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</si>
  <si>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</si>
  <si>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</si>
  <si>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</si>
  <si>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</si>
  <si>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</si>
  <si>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</si>
  <si>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</si>
  <si>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</si>
  <si>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</si>
  <si>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</si>
  <si>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</si>
  <si>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</si>
  <si>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</si>
  <si>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</si>
  <si>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</si>
  <si>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</si>
  <si>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</si>
  <si>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</si>
  <si>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</si>
  <si>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</si>
  <si>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</si>
  <si>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</si>
  <si>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</si>
  <si>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</si>
  <si>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</si>
  <si>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</si>
  <si>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</si>
  <si>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</si>
  <si>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</si>
  <si>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</si>
  <si>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</si>
  <si>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</si>
  <si>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</si>
  <si>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</si>
  <si>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</si>
  <si>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</si>
  <si>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</si>
  <si>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</si>
  <si>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</si>
  <si>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</si>
  <si>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</si>
  <si>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</si>
  <si>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</si>
  <si>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</si>
  <si>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</si>
  <si>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</si>
  <si>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</si>
  <si>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</si>
  <si>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</si>
  <si>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</si>
  <si>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</si>
  <si>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</si>
  <si>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</si>
  <si>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</si>
  <si>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</si>
  <si>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</si>
  <si>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</si>
  <si>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</si>
  <si>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</si>
  <si>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</si>
  <si>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</si>
  <si>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</si>
  <si>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</si>
  <si>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</si>
  <si>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</si>
  <si>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</si>
  <si>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</si>
  <si>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</si>
  <si>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</si>
  <si>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</si>
  <si>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</si>
  <si>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</si>
  <si>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</si>
  <si>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</si>
  <si>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</si>
  <si>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</si>
  <si>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</si>
  <si>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</si>
  <si>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</si>
  <si>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</si>
  <si>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164</t>
  </si>
  <si>
    <t>Hospital Name</t>
  </si>
  <si>
    <t>EvergreenHealth Kirkland / King Country Public Hos #2</t>
  </si>
  <si>
    <t>Mailing Address</t>
  </si>
  <si>
    <t>12040 NE 128th Street</t>
  </si>
  <si>
    <t>City</t>
  </si>
  <si>
    <t>Kirkland</t>
  </si>
  <si>
    <t>State</t>
  </si>
  <si>
    <t>Washington</t>
  </si>
  <si>
    <t>Zip</t>
  </si>
  <si>
    <t>County</t>
  </si>
  <si>
    <t>King</t>
  </si>
  <si>
    <t>Chief Executive Officer</t>
  </si>
  <si>
    <t>Chief Financial Officer</t>
  </si>
  <si>
    <t>Chair of Governing Board</t>
  </si>
  <si>
    <t>Telephone Number</t>
  </si>
  <si>
    <t>425-899-1000</t>
  </si>
  <si>
    <t>Facsimile Number</t>
  </si>
  <si>
    <t>425-899-1684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</si>
  <si>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</si>
  <si>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</si>
  <si>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</si>
  <si>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</si>
  <si>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</si>
  <si>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</si>
  <si>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</si>
  <si>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</si>
  <si>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</si>
  <si>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</si>
  <si>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</si>
  <si>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</si>
  <si>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</si>
  <si>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</si>
  <si>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</si>
  <si>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</si>
  <si>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</si>
  <si>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</si>
  <si>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</si>
  <si>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</si>
  <si>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</si>
  <si>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</si>
  <si>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</si>
  <si>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</si>
  <si>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</si>
  <si>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</si>
  <si>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</si>
  <si>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</si>
  <si>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</si>
  <si>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</si>
  <si>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</si>
  <si>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</si>
  <si>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</si>
  <si>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</si>
  <si>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</si>
  <si>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</si>
  <si>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</si>
  <si>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</si>
  <si>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</si>
  <si>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</si>
  <si>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</si>
  <si>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</si>
  <si>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</si>
  <si>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</si>
  <si>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</si>
  <si>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</si>
  <si>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</si>
  <si>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</si>
  <si>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</si>
  <si>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</si>
  <si>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</si>
  <si>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</si>
  <si>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</si>
  <si>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</si>
  <si>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</si>
  <si>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</si>
  <si>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</si>
  <si>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</si>
  <si>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</si>
  <si>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</si>
  <si>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</si>
  <si>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</si>
  <si>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</si>
  <si>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</si>
  <si>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</si>
  <si>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</si>
  <si>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</si>
  <si>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</si>
  <si>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</si>
  <si>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</si>
  <si>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</si>
  <si>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</si>
  <si>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</si>
  <si>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</si>
  <si>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</si>
  <si>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</si>
  <si>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</si>
  <si>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</si>
  <si>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</si>
  <si>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</si>
  <si>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</si>
  <si>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</si>
  <si>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</si>
  <si>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</si>
  <si>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</si>
  <si>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</si>
  <si>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</si>
  <si>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</si>
  <si>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</si>
  <si>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</si>
  <si>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</si>
  <si>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</si>
  <si>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</si>
  <si>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</si>
  <si>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</si>
  <si>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</si>
  <si>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</si>
  <si>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</si>
  <si>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</si>
  <si>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</si>
  <si>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</si>
  <si>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</si>
  <si>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</si>
  <si>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</si>
  <si>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</si>
  <si>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</si>
  <si>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</si>
  <si>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</si>
  <si>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</si>
  <si>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</si>
  <si>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</si>
  <si>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</si>
  <si>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</si>
  <si>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</si>
  <si>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</si>
  <si>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</si>
  <si>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</si>
  <si>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</si>
  <si>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</si>
  <si>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</si>
  <si>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</si>
  <si>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</si>
  <si>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</si>
  <si>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</si>
  <si>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</si>
  <si>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</si>
  <si>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</si>
  <si>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</si>
  <si>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</si>
  <si>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</si>
  <si>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</si>
  <si>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</si>
  <si>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</si>
  <si>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</si>
  <si>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</si>
  <si>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</si>
  <si>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</si>
  <si>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</si>
  <si>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</si>
  <si>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</si>
  <si>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</si>
  <si>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</si>
  <si>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</si>
  <si>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</si>
  <si>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</si>
  <si>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</si>
  <si>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</si>
  <si>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</si>
  <si>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</si>
  <si>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</si>
  <si>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</si>
  <si>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</si>
  <si>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</si>
  <si>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</si>
  <si>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</si>
  <si>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</si>
  <si>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</si>
  <si>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</si>
  <si>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</si>
  <si>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</si>
  <si>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</si>
  <si>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</si>
  <si>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</si>
  <si>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</si>
  <si>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</si>
  <si>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</si>
  <si>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</si>
  <si>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</si>
  <si>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</si>
  <si>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</si>
  <si>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</si>
  <si>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</si>
  <si>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</si>
  <si>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</si>
  <si>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</si>
  <si>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</si>
  <si>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</si>
  <si>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</si>
  <si>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</si>
  <si>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</si>
  <si>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</si>
  <si>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</si>
  <si>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</si>
  <si>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</si>
  <si>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</si>
  <si>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</si>
  <si>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</si>
  <si>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</si>
  <si>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</si>
  <si>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</si>
  <si>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</si>
  <si>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</si>
  <si>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</si>
  <si>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</si>
  <si>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</si>
  <si>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</si>
  <si>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</si>
  <si>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</si>
  <si>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</si>
  <si>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</si>
  <si>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</si>
  <si>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</si>
  <si>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</si>
  <si>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</si>
  <si>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</si>
  <si>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</si>
  <si>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</si>
  <si>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</si>
  <si>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</si>
  <si>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</si>
  <si>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</si>
  <si>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</si>
  <si>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</si>
  <si>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</si>
  <si>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</si>
  <si>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</si>
  <si>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</si>
  <si>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</si>
  <si>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</si>
  <si>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</si>
  <si>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</si>
  <si>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</si>
  <si>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</si>
  <si>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</si>
  <si>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</si>
  <si>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</si>
  <si>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</si>
  <si>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</si>
  <si>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</si>
  <si>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</si>
  <si>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</si>
  <si>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</si>
  <si>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</si>
  <si>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</si>
  <si>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</si>
  <si>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</si>
  <si>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</si>
  <si>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</si>
  <si>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</si>
  <si>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</si>
  <si>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</si>
  <si>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</si>
  <si>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</si>
  <si>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</si>
  <si>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</si>
  <si>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</si>
  <si>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</si>
  <si>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</si>
  <si>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</si>
  <si>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</si>
  <si>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</si>
  <si>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</si>
  <si>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</si>
  <si>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</si>
  <si>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</si>
  <si>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</si>
  <si>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</si>
  <si>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</si>
  <si>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</si>
  <si>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</si>
  <si>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</si>
  <si>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</si>
  <si>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</si>
  <si>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</si>
  <si>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</si>
  <si>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</si>
  <si>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</si>
  <si>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</si>
  <si>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</si>
  <si>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</si>
  <si>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</si>
  <si>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</si>
  <si>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</si>
  <si>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</si>
  <si>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</si>
  <si>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</si>
  <si>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</si>
  <si>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</si>
  <si>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</si>
  <si>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</si>
  <si>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</si>
  <si>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</si>
  <si>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</si>
  <si>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</si>
  <si>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</si>
  <si>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</si>
  <si>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</si>
  <si>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</si>
  <si>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</si>
  <si>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</si>
  <si>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</si>
  <si>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</si>
  <si>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</si>
  <si>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</si>
  <si>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</si>
  <si>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</si>
  <si>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</si>
  <si>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</si>
  <si>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</si>
  <si>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</si>
  <si>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</si>
  <si>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</si>
  <si>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</si>
  <si>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</si>
  <si>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</si>
  <si>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</si>
  <si>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</si>
  <si>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</si>
  <si>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</si>
  <si>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</si>
  <si>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</si>
  <si>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</si>
  <si>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</si>
  <si>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</si>
  <si>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</si>
  <si>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</si>
  <si>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</si>
  <si>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</si>
  <si>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</si>
  <si>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</si>
  <si>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</si>
  <si>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</si>
  <si>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</si>
  <si>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</si>
  <si>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</si>
  <si>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</si>
  <si>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</si>
  <si>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</si>
  <si>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</si>
  <si>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</si>
  <si>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</si>
  <si>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</si>
  <si>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</si>
  <si>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</si>
  <si>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</si>
  <si>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</si>
  <si>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</si>
  <si>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</si>
  <si>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</si>
  <si>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</si>
  <si>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</si>
  <si>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</si>
  <si>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</si>
  <si>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</si>
  <si>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</si>
  <si>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</si>
  <si>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</si>
  <si>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</si>
  <si>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</si>
  <si>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</si>
  <si>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</si>
  <si>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</si>
  <si>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</si>
  <si>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</si>
  <si>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</si>
  <si>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</si>
  <si>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</si>
  <si>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</si>
  <si>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</si>
  <si>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</si>
  <si>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</si>
  <si>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</si>
  <si>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</si>
  <si>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</si>
  <si>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</si>
  <si>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</si>
  <si>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</si>
  <si>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</si>
  <si>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</si>
  <si>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</si>
  <si>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</si>
  <si>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</si>
  <si>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</si>
  <si>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</si>
  <si>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</si>
  <si>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</si>
  <si>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</si>
  <si>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</si>
  <si>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</si>
  <si>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</si>
  <si>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</si>
  <si>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</si>
  <si>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</si>
  <si>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</si>
  <si>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</si>
  <si>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</si>
  <si>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</si>
  <si>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</si>
  <si>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</si>
  <si>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</si>
  <si>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</si>
  <si>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</si>
  <si>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</si>
  <si>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</si>
  <si>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</si>
  <si>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</si>
  <si>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</si>
  <si>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</si>
  <si>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</si>
  <si>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</si>
  <si>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</si>
  <si>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</si>
  <si>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</si>
  <si>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</si>
  <si>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</si>
  <si>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</si>
  <si>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</si>
  <si>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</si>
  <si>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</si>
  <si>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</si>
  <si>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</si>
  <si>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</si>
  <si>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</si>
  <si>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</si>
  <si>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</si>
  <si>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</si>
  <si>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</si>
  <si>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</si>
  <si>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</si>
  <si>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</si>
  <si>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</si>
  <si>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</si>
  <si>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</si>
  <si>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</si>
  <si>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</si>
  <si>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</si>
  <si>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</si>
  <si>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</si>
  <si>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</si>
  <si>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</si>
  <si>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</si>
  <si>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</si>
  <si>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</si>
  <si>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</si>
  <si>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</si>
  <si>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</si>
  <si>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</si>
  <si>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</si>
  <si>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</si>
  <si>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</si>
  <si>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</si>
  <si>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</si>
  <si>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</si>
  <si>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</si>
  <si>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</si>
  <si>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</si>
  <si>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</si>
  <si>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</si>
  <si>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</si>
  <si>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</si>
  <si>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</si>
  <si>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</si>
  <si>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</si>
  <si>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</si>
  <si>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</si>
  <si>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</si>
  <si>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</si>
  <si>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</si>
  <si>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</si>
  <si>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</si>
  <si>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</si>
  <si>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</si>
  <si>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</si>
  <si>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</si>
  <si>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</si>
  <si>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</si>
  <si>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</si>
  <si>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</si>
  <si>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</si>
  <si>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</si>
  <si>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</si>
  <si>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</si>
  <si>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</si>
  <si>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</si>
  <si>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</si>
  <si>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</si>
  <si>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</si>
  <si>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</si>
  <si>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</si>
  <si>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</si>
  <si>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</si>
  <si>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</si>
  <si>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</si>
  <si>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</si>
  <si>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</si>
  <si>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</si>
  <si>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</si>
  <si>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</si>
  <si>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</si>
  <si>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</si>
  <si>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</si>
  <si>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</si>
  <si>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</si>
  <si>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</si>
  <si>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</si>
  <si>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</si>
  <si>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</si>
  <si>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</si>
  <si>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</si>
  <si>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</si>
  <si>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</si>
  <si>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</si>
  <si>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</si>
  <si>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</si>
  <si>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</si>
  <si>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</si>
  <si>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</si>
  <si>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</si>
  <si>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</si>
  <si>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</si>
  <si>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</si>
  <si>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</si>
  <si>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</si>
  <si>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</si>
  <si>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</si>
  <si>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</si>
  <si>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</si>
  <si>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</si>
  <si>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</si>
  <si>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</si>
  <si>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</si>
  <si>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</si>
  <si>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</si>
  <si>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</si>
  <si>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</si>
  <si>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</si>
  <si>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</si>
  <si>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</si>
  <si>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</si>
  <si>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</si>
  <si>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</si>
  <si>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</si>
  <si>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</si>
  <si>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</si>
  <si>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</si>
  <si>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</si>
  <si>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</si>
  <si>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</si>
  <si>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</si>
  <si>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</si>
  <si>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</si>
  <si>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</si>
  <si>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</si>
  <si>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</si>
  <si>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</si>
  <si>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</si>
  <si>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</si>
  <si>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</si>
  <si>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</si>
  <si>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</si>
  <si>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</si>
  <si>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</si>
  <si>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</si>
  <si>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</si>
  <si>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</si>
  <si>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</si>
  <si>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</si>
  <si>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</si>
  <si>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</si>
  <si>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</si>
  <si>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</si>
  <si>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</si>
  <si>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</si>
  <si>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</si>
  <si>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</si>
  <si>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</si>
  <si>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</si>
  <si>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</si>
  <si>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</si>
  <si>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</si>
  <si>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</si>
  <si>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</si>
  <si>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</si>
  <si>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</si>
  <si>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</si>
  <si>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</si>
  <si>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</si>
  <si>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</si>
  <si>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</si>
  <si>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</si>
  <si>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</si>
  <si>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</si>
  <si>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</si>
  <si>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</si>
  <si>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</si>
  <si>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</si>
  <si>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</si>
  <si>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</si>
  <si>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</si>
  <si>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</si>
  <si>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</si>
  <si>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</si>
  <si>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</si>
  <si>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</si>
  <si>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</si>
  <si>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</si>
  <si>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</si>
  <si>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</si>
  <si>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</si>
  <si>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</si>
  <si>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</si>
  <si>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</si>
  <si>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</si>
  <si>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</si>
  <si>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</si>
  <si>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</si>
  <si>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</si>
  <si>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</si>
  <si>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</si>
  <si>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</si>
  <si>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</si>
  <si>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</si>
  <si>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</si>
  <si>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</si>
  <si>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</si>
  <si>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</si>
  <si>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</si>
  <si>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</si>
  <si>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</si>
  <si>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</si>
  <si>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</si>
  <si>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</si>
  <si>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</si>
  <si>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</si>
  <si>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</si>
  <si>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</si>
  <si>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</si>
  <si>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</si>
  <si>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</si>
  <si>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</si>
  <si>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</si>
  <si>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</si>
  <si>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</si>
  <si>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</si>
  <si>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</si>
  <si>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</si>
  <si>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</si>
  <si>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</si>
  <si>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</si>
  <si>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</si>
  <si>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</si>
  <si>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</si>
  <si>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</si>
  <si>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</si>
  <si>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</si>
  <si>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</si>
  <si>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</si>
  <si>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</si>
  <si>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</si>
  <si>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</si>
  <si>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</si>
  <si>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</si>
  <si>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</si>
  <si>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</si>
  <si>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</si>
  <si>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</si>
  <si>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</si>
  <si>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</si>
  <si>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</si>
  <si>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</si>
  <si>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</si>
  <si>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</si>
  <si>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</si>
  <si>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</si>
  <si>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</si>
  <si>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</si>
  <si>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</si>
  <si>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</si>
  <si>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</si>
  <si>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</si>
  <si>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</si>
  <si>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</si>
  <si>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</si>
  <si>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</si>
  <si>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</si>
  <si>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</si>
  <si>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</si>
  <si>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</si>
  <si>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</si>
  <si>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</si>
  <si>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</si>
  <si>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</si>
  <si>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</si>
  <si>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</si>
  <si>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</si>
  <si>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</si>
  <si>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</si>
  <si>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</si>
  <si>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</si>
  <si>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</si>
  <si>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</si>
  <si>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</si>
  <si>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</si>
  <si>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</si>
  <si>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</si>
  <si>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</si>
  <si>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</si>
  <si>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</si>
  <si>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</si>
  <si>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</si>
  <si>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</si>
  <si>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</si>
  <si>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</si>
  <si>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</si>
  <si>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</si>
  <si>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</si>
  <si>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</si>
  <si>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</si>
  <si>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</si>
  <si>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</si>
  <si>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</si>
  <si>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</si>
  <si>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</si>
  <si>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</si>
  <si>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</si>
  <si>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</si>
  <si>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</si>
  <si>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</si>
  <si>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</si>
  <si>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</si>
  <si>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</si>
  <si>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</si>
  <si>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</si>
  <si>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</si>
  <si>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</si>
  <si>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</si>
  <si>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</si>
  <si>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</si>
  <si>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</si>
  <si>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</si>
  <si>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</si>
  <si>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</si>
  <si>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</si>
  <si>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</si>
  <si>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</si>
  <si>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</si>
  <si>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</si>
  <si>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</si>
  <si>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Dr. Ettore Palazzo</t>
  </si>
  <si>
    <t>Frank Hemeon, Interim</t>
  </si>
  <si>
    <t>Virgil Snyder</t>
  </si>
  <si>
    <t>Justin Gertler</t>
  </si>
  <si>
    <t>jcgertler@evergreenhealthcare.org</t>
  </si>
  <si>
    <t>variance</t>
  </si>
  <si>
    <t>Additional Classification Necessary - See Responses-2 Tab</t>
  </si>
  <si>
    <t>variance from income statement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</si>
  <si>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</si>
  <si>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</si>
  <si>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</si>
  <si>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</si>
  <si>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</si>
  <si>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</si>
  <si>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</si>
  <si>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</si>
  <si>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</si>
  <si>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</si>
  <si>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</si>
  <si>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</si>
  <si>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</si>
  <si>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</si>
  <si>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</si>
  <si>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</si>
  <si>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</si>
  <si>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</si>
  <si>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</si>
  <si>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</si>
  <si>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</si>
  <si>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</si>
  <si>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</si>
  <si>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</si>
  <si>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</si>
  <si>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</si>
  <si>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</si>
  <si>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</si>
  <si>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</si>
  <si>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</si>
  <si>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</si>
  <si>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</si>
  <si>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</si>
  <si>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</si>
  <si>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</si>
  <si>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</si>
  <si>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</si>
  <si>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</si>
  <si>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</si>
  <si>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</si>
  <si>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</si>
  <si>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</si>
  <si>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</si>
  <si>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</si>
  <si>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</si>
  <si>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</si>
  <si>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</si>
  <si>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</si>
  <si>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</si>
  <si>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</si>
  <si>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</si>
  <si>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</si>
  <si>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</si>
  <si>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</si>
  <si>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</si>
  <si>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</si>
  <si>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</si>
  <si>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</si>
  <si>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</si>
  <si>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</si>
  <si>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</si>
  <si>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</si>
  <si>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</si>
  <si>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</si>
  <si>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</si>
  <si>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</si>
  <si>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</si>
  <si>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</si>
  <si>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</si>
  <si>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</si>
  <si>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</si>
  <si>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</si>
  <si>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</si>
  <si>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</si>
  <si>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</si>
  <si>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</si>
  <si>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</si>
  <si>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</si>
  <si>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</si>
  <si>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</si>
  <si>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</si>
  <si>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</si>
  <si>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</si>
  <si>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</si>
  <si>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</si>
  <si>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</si>
  <si>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</si>
  <si>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</si>
  <si>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</si>
  <si>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</si>
  <si>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</si>
  <si>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</si>
  <si>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</si>
  <si>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</si>
  <si>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</si>
  <si>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</si>
  <si>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</si>
  <si>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</si>
  <si>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</si>
  <si>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</si>
  <si>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</si>
  <si>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</si>
  <si>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</si>
  <si>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</si>
  <si>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</si>
  <si>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</si>
  <si>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</si>
  <si>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</si>
  <si>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</si>
  <si>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</si>
  <si>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</si>
  <si>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</si>
  <si>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</si>
  <si>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</si>
  <si>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</si>
  <si>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</si>
  <si>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</si>
  <si>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</si>
  <si>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</si>
  <si>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</si>
  <si>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</si>
  <si>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</si>
  <si>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</si>
  <si>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</si>
  <si>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</si>
  <si>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</si>
  <si>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</si>
  <si>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</si>
  <si>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</si>
  <si>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</si>
  <si>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</si>
  <si>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</si>
  <si>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</si>
  <si>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</si>
  <si>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</si>
  <si>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</si>
  <si>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</si>
  <si>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</si>
  <si>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</si>
  <si>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</si>
  <si>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</si>
  <si>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</si>
  <si>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</si>
  <si>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</si>
  <si>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</si>
  <si>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</si>
  <si>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</si>
  <si>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</si>
  <si>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</si>
  <si>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</si>
  <si>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</si>
  <si>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</si>
  <si>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</si>
  <si>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</si>
  <si>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</si>
  <si>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</si>
  <si>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</si>
  <si>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</si>
  <si>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</si>
  <si>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</si>
  <si>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</si>
  <si>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</si>
  <si>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</si>
  <si>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</si>
  <si>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</si>
  <si>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</si>
  <si>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</si>
  <si>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</si>
  <si>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</si>
  <si>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</si>
  <si>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</si>
  <si>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</si>
  <si>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</si>
  <si>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</si>
  <si>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</si>
  <si>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</si>
  <si>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</si>
  <si>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</si>
  <si>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</si>
  <si>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</si>
  <si>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</si>
  <si>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</si>
  <si>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</si>
  <si>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</si>
  <si>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</si>
  <si>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</si>
  <si>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</si>
  <si>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</si>
  <si>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</si>
  <si>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</si>
  <si>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</si>
  <si>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</si>
  <si>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</si>
  <si>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</si>
  <si>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</si>
  <si>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</si>
  <si>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</si>
  <si>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</si>
  <si>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</si>
  <si>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</si>
  <si>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</si>
  <si>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</si>
  <si>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</si>
  <si>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</si>
  <si>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</si>
  <si>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</si>
  <si>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</si>
  <si>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</si>
  <si>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</si>
  <si>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</si>
  <si>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</si>
  <si>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</si>
  <si>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</si>
  <si>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</si>
  <si>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</si>
  <si>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</si>
  <si>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</si>
  <si>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</si>
  <si>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</si>
  <si>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</si>
  <si>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</si>
  <si>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</si>
  <si>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</si>
  <si>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</si>
  <si>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</si>
  <si>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</si>
  <si>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</si>
  <si>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</si>
  <si>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</si>
  <si>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</si>
  <si>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</si>
  <si>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</si>
  <si>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</si>
  <si>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</si>
  <si>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</si>
  <si>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</si>
  <si>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</si>
  <si>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</si>
  <si>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</si>
  <si>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</si>
  <si>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</si>
  <si>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</si>
  <si>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</si>
  <si>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</si>
  <si>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</si>
  <si>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</si>
  <si>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</si>
  <si>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</si>
  <si>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</si>
  <si>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</si>
  <si>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</si>
  <si>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</si>
  <si>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</si>
  <si>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</si>
  <si>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</si>
  <si>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</si>
  <si>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</si>
  <si>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</si>
  <si>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</si>
  <si>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</si>
  <si>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</si>
  <si>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</si>
  <si>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</si>
  <si>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</si>
  <si>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</si>
  <si>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</si>
  <si>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</si>
  <si>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</si>
  <si>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</si>
  <si>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</si>
  <si>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</si>
  <si>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</si>
  <si>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</si>
  <si>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</si>
  <si>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</si>
  <si>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</si>
  <si>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</si>
  <si>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</si>
  <si>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</si>
  <si>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</si>
  <si>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</si>
  <si>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</si>
  <si>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</si>
  <si>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</si>
  <si>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</si>
  <si>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</si>
  <si>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</si>
  <si>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</si>
  <si>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</si>
  <si>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</si>
  <si>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</si>
  <si>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</si>
  <si>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</si>
  <si>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</si>
  <si>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</si>
  <si>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</si>
  <si>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</si>
  <si>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</si>
  <si>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</si>
  <si>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</si>
  <si>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</si>
  <si>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</si>
  <si>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</si>
  <si>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</si>
  <si>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</si>
  <si>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Other Services Revenue</t>
  </si>
  <si>
    <t>Management Services</t>
  </si>
  <si>
    <t>Research Revenue</t>
  </si>
  <si>
    <t>Other Misc</t>
  </si>
  <si>
    <t>Building Lease Cam</t>
  </si>
  <si>
    <t>Prof Fees Adj</t>
  </si>
  <si>
    <t>Memberships</t>
  </si>
  <si>
    <t>Mileage</t>
  </si>
  <si>
    <t>Med Mal Reserves Expense</t>
  </si>
  <si>
    <t>Credit Card Fees</t>
  </si>
  <si>
    <t>Foundation Consolidation</t>
  </si>
  <si>
    <t>Leases and Rentals</t>
  </si>
  <si>
    <t>Signature of Director of Financial Reporting</t>
  </si>
  <si>
    <t>Increase in Inpatient RVU's, but decrease in Outpatient RVU's</t>
  </si>
  <si>
    <t>Changes to Lab Outreach program</t>
  </si>
  <si>
    <t xml:space="preserve">Decline in Inpatient volumes, but increase in Outpatient volumes. </t>
  </si>
  <si>
    <t>This specific stat only being tracked for one of several PT depts, which is not our main PT dept</t>
  </si>
  <si>
    <t>DOH formula error for 2023 Op Exp?  Amount for 2023 is Net Op Loss instead of Expense. Total Direct Expense should be $7,813,565</t>
  </si>
  <si>
    <t>DOH formula error for 2023 Op Exp?  Amount for 2023 is Net Op Loss instead of Expense. Total Direct Expense should be $24,145,896</t>
  </si>
  <si>
    <t>Bill Howe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</si>
</sst>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8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6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37" fontId="51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30" borderId="34" xfId="0" quotePrefix="1" applyFont="1" applyFill="1" applyBorder="1" applyAlignment="1">
      <alignment horizontal="left"/>
    </xf>
    <xf numFmtId="37" fontId="2" fillId="30" borderId="35" xfId="0" applyFont="1" applyFill="1" applyBorder="1"/>
    <xf numFmtId="38" fontId="2" fillId="30" borderId="35" xfId="0" applyNumberFormat="1" applyFont="1" applyFill="1" applyBorder="1"/>
    <xf numFmtId="37" fontId="2" fillId="30" borderId="36" xfId="0" applyFont="1" applyFill="1" applyBorder="1"/>
    <xf numFmtId="37" fontId="2" fillId="30" borderId="37" xfId="0" quotePrefix="1" applyFont="1" applyFill="1" applyBorder="1" applyAlignment="1">
      <alignment vertical="center" readingOrder="1"/>
    </xf>
    <xf numFmtId="37" fontId="2" fillId="30" borderId="0" xfId="0" quotePrefix="1" applyFont="1" applyFill="1" applyAlignment="1">
      <alignment horizontal="left"/>
    </xf>
    <xf numFmtId="38" fontId="2" fillId="30" borderId="0" xfId="0" applyNumberFormat="1" applyFont="1" applyFill="1"/>
    <xf numFmtId="37" fontId="2" fillId="30" borderId="0" xfId="0" applyFont="1" applyFill="1"/>
    <xf numFmtId="37" fontId="2" fillId="30" borderId="38" xfId="0" applyFont="1" applyFill="1" applyBorder="1"/>
    <xf numFmtId="37" fontId="2" fillId="30" borderId="37" xfId="0" quotePrefix="1" applyFont="1" applyFill="1" applyBorder="1"/>
    <xf numFmtId="37" fontId="2" fillId="30" borderId="37" xfId="0" applyFont="1" applyFill="1" applyBorder="1" applyAlignment="1">
      <alignment vertical="center" readingOrder="1"/>
    </xf>
    <xf numFmtId="37" fontId="2" fillId="30" borderId="39" xfId="0" quotePrefix="1" applyFont="1" applyFill="1" applyBorder="1"/>
    <xf numFmtId="37" fontId="2" fillId="30" borderId="40" xfId="0" applyFont="1" applyFill="1" applyBorder="1"/>
    <xf numFmtId="38" fontId="2" fillId="30" borderId="40" xfId="0" applyNumberFormat="1" applyFont="1" applyFill="1" applyBorder="1"/>
    <xf numFmtId="37" fontId="2" fillId="30" borderId="41" xfId="0" applyFont="1" applyFill="1" applyBorder="1"/>
    <xf numFmtId="37" fontId="16" fillId="30" borderId="0" xfId="0" applyFont="1" applyFill="1"/>
    <xf numFmtId="37" fontId="52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6" fillId="31" borderId="0" xfId="0" applyFont="1" applyFill="1"/>
    <xf numFmtId="37" fontId="53" fillId="0" borderId="0" xfId="0" applyFont="1"/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12" Type="http://schemas.openxmlformats.org/officeDocument/2006/relationships/comments" Target="../comments1.xm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jcgertler@evergreenhealthcare.org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>
        <v>4063796.87</v>
      </c>
      <c r="D47" s="273">
        <v>2173034.9500000002</v>
      </c>
      <c r="E47" s="273">
        <v>7927686.0700000003</v>
      </c>
      <c r="F47" s="273">
        <v>0</v>
      </c>
      <c r="G47" s="273">
        <v>589298.43999999994</v>
      </c>
      <c r="H47" s="273"/>
      <c r="I47" s="273"/>
      <c r="J47" s="273"/>
      <c r="K47" s="273"/>
      <c r="L47" s="273"/>
      <c r="M47" s="273">
        <f>1189650.31+291544.21</f>
        <v>1481194.52</v>
      </c>
      <c r="N47" s="273">
        <v>4205051.9300000006</v>
      </c>
      <c r="O47" s="273">
        <v>5673364.7699999996</v>
      </c>
      <c r="P47" s="273">
        <v>2697326.75</v>
      </c>
      <c r="Q47" s="273">
        <v>1788783.48</v>
      </c>
      <c r="R47" s="273">
        <v>150595.41</v>
      </c>
      <c r="S47" s="273">
        <v>569574.55999999994</v>
      </c>
      <c r="T47" s="273">
        <v>0</v>
      </c>
      <c r="U47" s="273">
        <v>2518004.35</v>
      </c>
      <c r="V47" s="273">
        <v>56070.71</v>
      </c>
      <c r="W47" s="273">
        <v>134603.99000000002</v>
      </c>
      <c r="X47" s="273">
        <v>215305.15000000002</v>
      </c>
      <c r="Y47" s="273">
        <v>4280645</v>
      </c>
      <c r="Z47" s="273">
        <v>956818.2899999998</v>
      </c>
      <c r="AA47" s="273">
        <v>90470.64</v>
      </c>
      <c r="AB47" s="273">
        <v>2018628.51</v>
      </c>
      <c r="AC47" s="273">
        <v>802225.9</v>
      </c>
      <c r="AD47" s="273">
        <v>0</v>
      </c>
      <c r="AE47" s="273">
        <v>1774963.23</v>
      </c>
      <c r="AF47" s="273">
        <v>0</v>
      </c>
      <c r="AG47" s="273">
        <v>3029548.4800000004</v>
      </c>
      <c r="AH47" s="273">
        <v>0</v>
      </c>
      <c r="AI47" s="273">
        <v>0</v>
      </c>
      <c r="AJ47" s="273">
        <v>17621747.789999999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12137748.25</v>
      </c>
      <c r="AQ47" s="273">
        <v>0</v>
      </c>
      <c r="AR47" s="273">
        <f>11872323.91+2623897.93</f>
        <v>14496221.84</v>
      </c>
      <c r="AS47" s="273"/>
      <c r="AT47" s="273"/>
      <c r="AU47" s="273"/>
      <c r="AV47" s="273">
        <v>808522.21</v>
      </c>
      <c r="AW47" s="273">
        <v>483064.41000000003</v>
      </c>
      <c r="AX47" s="273">
        <v>0</v>
      </c>
      <c r="AY47" s="273">
        <v>0</v>
      </c>
      <c r="AZ47" s="273">
        <v>1305273.83</v>
      </c>
      <c r="BA47" s="273">
        <v>94689.36</v>
      </c>
      <c r="BB47" s="273">
        <v>213.02</v>
      </c>
      <c r="BC47" s="273">
        <v>86270.46</v>
      </c>
      <c r="BD47" s="273">
        <v>883804.24</v>
      </c>
      <c r="BE47" s="273">
        <v>1267303.24</v>
      </c>
      <c r="BF47" s="273">
        <v>1991485.94</v>
      </c>
      <c r="BG47" s="273">
        <v>1549445.02</v>
      </c>
      <c r="BH47" s="273">
        <v>3612985.3200000003</v>
      </c>
      <c r="BI47" s="273">
        <v>504935.14</v>
      </c>
      <c r="BJ47" s="273">
        <v>545856.89</v>
      </c>
      <c r="BK47" s="273">
        <v>1555179.8299999998</v>
      </c>
      <c r="BL47" s="273">
        <v>2180501.75</v>
      </c>
      <c r="BM47" s="273">
        <v>1277298.4900000002</v>
      </c>
      <c r="BN47" s="273">
        <v>1444725.38</v>
      </c>
      <c r="BO47" s="273">
        <v>316485.5</v>
      </c>
      <c r="BP47" s="273">
        <v>399357.11</v>
      </c>
      <c r="BQ47" s="273">
        <v>126656.68</v>
      </c>
      <c r="BR47" s="273">
        <f>836838.25+14236380.07</f>
        <v>15073218.32</v>
      </c>
      <c r="BS47" s="273">
        <v>91388.760000000009</v>
      </c>
      <c r="BT47" s="273">
        <v>49891.549999999996</v>
      </c>
      <c r="BU47" s="273">
        <v>0</v>
      </c>
      <c r="BV47" s="273">
        <v>1170893.04</v>
      </c>
      <c r="BW47" s="273">
        <v>207363.65000000002</v>
      </c>
      <c r="BX47" s="273">
        <v>1546488.75</v>
      </c>
      <c r="BY47" s="273">
        <v>453584.22</v>
      </c>
      <c r="BZ47" s="273">
        <v>1452651.35</v>
      </c>
      <c r="CA47" s="273">
        <v>397838.66000000003</v>
      </c>
      <c r="CB47" s="273">
        <v>1434751.5699999998</v>
      </c>
      <c r="CC47" s="273">
        <f>1187963.11+90000</f>
        <v>1277963.1100000001</v>
      </c>
      <c r="CD47" s="16"/>
      <c r="CE47" s="25">
        <f>SUM(C47:CC47)</f>
        <v>135042796.67999995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>
        <v>2664691.48</v>
      </c>
      <c r="D51" s="273">
        <v>1378994.06</v>
      </c>
      <c r="E51" s="273">
        <v>2088318.7799999998</v>
      </c>
      <c r="F51" s="273">
        <v>0</v>
      </c>
      <c r="G51" s="273">
        <v>70614.23000000001</v>
      </c>
      <c r="H51" s="273">
        <v>0</v>
      </c>
      <c r="I51" s="273">
        <v>0</v>
      </c>
      <c r="J51" s="273"/>
      <c r="K51" s="273"/>
      <c r="L51" s="273"/>
      <c r="M51" s="273">
        <f>182102.36+60323.05</f>
        <v>242425.40999999997</v>
      </c>
      <c r="N51" s="273">
        <v>2517.6</v>
      </c>
      <c r="O51" s="273">
        <v>3540791.17</v>
      </c>
      <c r="P51" s="273">
        <v>3606308.76</v>
      </c>
      <c r="Q51" s="273">
        <v>174809.33000000002</v>
      </c>
      <c r="R51" s="273">
        <v>131539.88</v>
      </c>
      <c r="S51" s="273">
        <v>226070.86</v>
      </c>
      <c r="T51" s="273">
        <v>0</v>
      </c>
      <c r="U51" s="273">
        <v>551514.6</v>
      </c>
      <c r="V51" s="273">
        <v>4067.82</v>
      </c>
      <c r="W51" s="273">
        <v>42431.24</v>
      </c>
      <c r="X51" s="273">
        <v>141581.15</v>
      </c>
      <c r="Y51" s="273">
        <v>3009530.11</v>
      </c>
      <c r="Z51" s="273">
        <v>1102833.1099999999</v>
      </c>
      <c r="AA51" s="273">
        <v>171632.01</v>
      </c>
      <c r="AB51" s="273">
        <v>609578.69999999995</v>
      </c>
      <c r="AC51" s="273">
        <v>30072.94</v>
      </c>
      <c r="AD51" s="273">
        <v>0</v>
      </c>
      <c r="AE51" s="273">
        <v>270375</v>
      </c>
      <c r="AF51" s="273"/>
      <c r="AG51" s="273">
        <v>1728166.68</v>
      </c>
      <c r="AH51" s="273">
        <v>0</v>
      </c>
      <c r="AI51" s="273">
        <v>0</v>
      </c>
      <c r="AJ51" s="273">
        <v>3045720.2300000004</v>
      </c>
      <c r="AK51" s="273">
        <v>0</v>
      </c>
      <c r="AL51" s="273"/>
      <c r="AM51" s="273"/>
      <c r="AN51" s="273"/>
      <c r="AO51" s="273"/>
      <c r="AP51" s="273">
        <v>7717249.4900000002</v>
      </c>
      <c r="AQ51" s="273"/>
      <c r="AR51" s="273">
        <f>1150.73+542907.47</f>
        <v>544058.19999999995</v>
      </c>
      <c r="AS51" s="273"/>
      <c r="AT51" s="273"/>
      <c r="AU51" s="273"/>
      <c r="AV51" s="273">
        <v>238667.71</v>
      </c>
      <c r="AW51" s="273">
        <v>22806.7</v>
      </c>
      <c r="AX51" s="273">
        <v>337099.8</v>
      </c>
      <c r="AY51" s="273">
        <v>0</v>
      </c>
      <c r="AZ51" s="273">
        <v>717308.04</v>
      </c>
      <c r="BA51" s="273">
        <v>4152</v>
      </c>
      <c r="BB51" s="273">
        <v>0</v>
      </c>
      <c r="BC51" s="273">
        <v>6853.6</v>
      </c>
      <c r="BD51" s="273">
        <v>256352.63</v>
      </c>
      <c r="BE51" s="273">
        <f>8238918.82-173458.57</f>
        <v>8065460.25</v>
      </c>
      <c r="BF51" s="273">
        <v>53411.9</v>
      </c>
      <c r="BG51" s="273">
        <v>2075183.6500000001</v>
      </c>
      <c r="BH51" s="273">
        <v>13951701.030000001</v>
      </c>
      <c r="BI51" s="273">
        <v>882246.56</v>
      </c>
      <c r="BJ51" s="273">
        <v>32106.93</v>
      </c>
      <c r="BK51" s="273">
        <v>23487.33</v>
      </c>
      <c r="BL51" s="273">
        <v>23798.27</v>
      </c>
      <c r="BM51" s="273">
        <v>4947.32</v>
      </c>
      <c r="BN51" s="273">
        <v>295007.53000000003</v>
      </c>
      <c r="BO51" s="273">
        <v>67025.070000000007</v>
      </c>
      <c r="BP51" s="273">
        <v>356329.61</v>
      </c>
      <c r="BQ51" s="273">
        <v>2725.79</v>
      </c>
      <c r="BR51" s="273">
        <v>189492.41</v>
      </c>
      <c r="BS51" s="273">
        <v>14596</v>
      </c>
      <c r="BT51" s="273">
        <v>18775.310000000001</v>
      </c>
      <c r="BU51" s="273">
        <v>0</v>
      </c>
      <c r="BV51" s="273">
        <v>49603.359999999993</v>
      </c>
      <c r="BW51" s="273">
        <v>16209.17</v>
      </c>
      <c r="BX51" s="273">
        <v>63707.53</v>
      </c>
      <c r="BY51" s="273">
        <v>419427.29</v>
      </c>
      <c r="BZ51" s="273">
        <v>5277.2</v>
      </c>
      <c r="CA51" s="273">
        <v>144466.84</v>
      </c>
      <c r="CB51" s="273">
        <v>132249.04999999999</v>
      </c>
      <c r="CC51" s="273">
        <f>38696.28+90057.99</f>
        <v>128754.27</v>
      </c>
      <c r="CD51" s="16"/>
      <c r="CE51" s="25">
        <f>SUM(C51:CD51)</f>
        <v>61695122.99000001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5492</v>
      </c>
      <c r="D59" s="273">
        <v>10477</v>
      </c>
      <c r="E59" s="273">
        <v>49862</v>
      </c>
      <c r="F59" s="273"/>
      <c r="G59" s="273">
        <v>3878</v>
      </c>
      <c r="H59" s="273"/>
      <c r="I59" s="273"/>
      <c r="J59" s="273"/>
      <c r="K59" s="273"/>
      <c r="L59" s="273"/>
      <c r="M59" s="273">
        <v>3603</v>
      </c>
      <c r="N59" s="273"/>
      <c r="O59" s="273">
        <v>4544</v>
      </c>
      <c r="P59" s="274">
        <v>808903</v>
      </c>
      <c r="Q59" s="275">
        <v>1693248</v>
      </c>
      <c r="R59" s="275">
        <v>1630374</v>
      </c>
      <c r="S59" s="263">
        <v>0</v>
      </c>
      <c r="T59" s="263">
        <v>0</v>
      </c>
      <c r="U59" s="276">
        <v>2277784</v>
      </c>
      <c r="V59" s="275"/>
      <c r="W59" s="275">
        <v>28888.35</v>
      </c>
      <c r="X59" s="275">
        <v>212013.66</v>
      </c>
      <c r="Y59" s="275">
        <v>410167.25</v>
      </c>
      <c r="Z59" s="275">
        <v>70120.87999999999</v>
      </c>
      <c r="AA59" s="275">
        <v>16790.48</v>
      </c>
      <c r="AB59" s="263">
        <v>0</v>
      </c>
      <c r="AC59" s="275"/>
      <c r="AD59" s="275"/>
      <c r="AE59" s="275">
        <v>13636</v>
      </c>
      <c r="AF59" s="275"/>
      <c r="AG59" s="275">
        <v>122728</v>
      </c>
      <c r="AH59" s="275"/>
      <c r="AI59" s="275"/>
      <c r="AJ59" s="275">
        <v>287736</v>
      </c>
      <c r="AK59" s="275"/>
      <c r="AL59" s="275"/>
      <c r="AM59" s="275"/>
      <c r="AN59" s="275"/>
      <c r="AO59" s="275"/>
      <c r="AP59" s="275">
        <v>403281</v>
      </c>
      <c r="AQ59" s="275"/>
      <c r="AR59" s="275">
        <v>338462</v>
      </c>
      <c r="AS59" s="275"/>
      <c r="AT59" s="275"/>
      <c r="AU59" s="275"/>
      <c r="AV59" s="263">
        <v>0</v>
      </c>
      <c r="AW59" s="263">
        <v>0</v>
      </c>
      <c r="AX59" s="263">
        <v>0</v>
      </c>
      <c r="AY59" s="275"/>
      <c r="AZ59" s="275">
        <v>820142.15999999992</v>
      </c>
      <c r="BA59" s="263">
        <v>0</v>
      </c>
      <c r="BB59" s="263">
        <v>0</v>
      </c>
      <c r="BC59" s="263">
        <v>0</v>
      </c>
      <c r="BD59" s="263">
        <v>0</v>
      </c>
      <c r="BE59" s="275">
        <v>642562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124.56120287407323</v>
      </c>
      <c r="D60" s="277">
        <v>73.260331682554224</v>
      </c>
      <c r="E60" s="277">
        <v>352.83531331405834</v>
      </c>
      <c r="F60" s="277">
        <v>0</v>
      </c>
      <c r="G60" s="277">
        <v>20.427413429517454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f>38.8797412189048+10.75</f>
        <v>49.629741218904798</v>
      </c>
      <c r="N60" s="277">
        <v>66.85255584499852</v>
      </c>
      <c r="O60" s="277">
        <v>191.2743394498039</v>
      </c>
      <c r="P60" s="274">
        <v>107.68707716676685</v>
      </c>
      <c r="Q60" s="274">
        <v>64.968916688136346</v>
      </c>
      <c r="R60" s="274">
        <v>7.1764520653823025</v>
      </c>
      <c r="S60" s="278">
        <v>26.869459632248393</v>
      </c>
      <c r="T60" s="278">
        <v>0</v>
      </c>
      <c r="U60" s="279">
        <v>113.47016670006394</v>
      </c>
      <c r="V60" s="274">
        <v>2.6889187873930096</v>
      </c>
      <c r="W60" s="274">
        <v>7.4353619786448348</v>
      </c>
      <c r="X60" s="274">
        <v>14.872288857718107</v>
      </c>
      <c r="Y60" s="274">
        <v>160.84372942489912</v>
      </c>
      <c r="Z60" s="274">
        <v>23.019327474498802</v>
      </c>
      <c r="AA60" s="274">
        <v>3.3035191175488312</v>
      </c>
      <c r="AB60" s="278">
        <v>67.123841830551825</v>
      </c>
      <c r="AC60" s="274">
        <v>28.722187234611013</v>
      </c>
      <c r="AD60" s="274">
        <v>0</v>
      </c>
      <c r="AE60" s="274">
        <v>70.28130993616351</v>
      </c>
      <c r="AF60" s="274">
        <v>0</v>
      </c>
      <c r="AG60" s="274">
        <v>114.02542486092425</v>
      </c>
      <c r="AH60" s="274">
        <v>0</v>
      </c>
      <c r="AI60" s="274">
        <v>0</v>
      </c>
      <c r="AJ60" s="274">
        <v>529.81270336549005</v>
      </c>
      <c r="AK60" s="274">
        <v>0</v>
      </c>
      <c r="AL60" s="274">
        <v>0</v>
      </c>
      <c r="AM60" s="274">
        <v>0</v>
      </c>
      <c r="AN60" s="274">
        <v>0</v>
      </c>
      <c r="AO60" s="274">
        <v>0</v>
      </c>
      <c r="AP60" s="274">
        <v>405.40345804826381</v>
      </c>
      <c r="AQ60" s="274">
        <v>0</v>
      </c>
      <c r="AR60" s="274">
        <f>389.355261023483+96.75</f>
        <v>486.10526102348302</v>
      </c>
      <c r="AS60" s="274"/>
      <c r="AT60" s="274"/>
      <c r="AU60" s="274"/>
      <c r="AV60" s="278">
        <v>26.004184200230917</v>
      </c>
      <c r="AW60" s="278">
        <v>20.35869617076499</v>
      </c>
      <c r="AX60" s="278">
        <v>0</v>
      </c>
      <c r="AY60" s="274">
        <v>0</v>
      </c>
      <c r="AZ60" s="274">
        <v>65.367207702363572</v>
      </c>
      <c r="BA60" s="278">
        <v>4.4422608994360626</v>
      </c>
      <c r="BB60" s="278">
        <v>0.25518373266920485</v>
      </c>
      <c r="BC60" s="278">
        <v>8.1735035639653049</v>
      </c>
      <c r="BD60" s="278">
        <v>38.73396215612744</v>
      </c>
      <c r="BE60" s="274">
        <v>52.827479269840367</v>
      </c>
      <c r="BF60" s="278">
        <v>97.867646637849603</v>
      </c>
      <c r="BG60" s="278">
        <v>65.333800895046707</v>
      </c>
      <c r="BH60" s="278">
        <v>113.5323667210565</v>
      </c>
      <c r="BI60" s="278">
        <v>16.810022042195058</v>
      </c>
      <c r="BJ60" s="278">
        <v>21.015577438716019</v>
      </c>
      <c r="BK60" s="278">
        <v>71.910805446616848</v>
      </c>
      <c r="BL60" s="278">
        <v>104.31804215689083</v>
      </c>
      <c r="BM60" s="278">
        <v>48.631990763270643</v>
      </c>
      <c r="BN60" s="278">
        <v>23.044523325604253</v>
      </c>
      <c r="BO60" s="278">
        <v>10.16821248294354</v>
      </c>
      <c r="BP60" s="278">
        <v>11.05491464613212</v>
      </c>
      <c r="BQ60" s="278">
        <v>4.2517819826525063</v>
      </c>
      <c r="BR60" s="278">
        <v>30.057782039904957</v>
      </c>
      <c r="BS60" s="278">
        <v>4.7427838051889815</v>
      </c>
      <c r="BT60" s="278">
        <v>2.3188627754081623</v>
      </c>
      <c r="BU60" s="278">
        <v>0</v>
      </c>
      <c r="BV60" s="278">
        <v>46.754921325585173</v>
      </c>
      <c r="BW60" s="278">
        <v>8.1769816505882691</v>
      </c>
      <c r="BX60" s="278">
        <v>57.570673384288021</v>
      </c>
      <c r="BY60" s="278">
        <v>13.073431044189352</v>
      </c>
      <c r="BZ60" s="278">
        <v>54.670459641790472</v>
      </c>
      <c r="CA60" s="278">
        <v>14.345513793070545</v>
      </c>
      <c r="CB60" s="278">
        <v>64.942227502170823</v>
      </c>
      <c r="CC60" s="278">
        <v>48.9354955677058</v>
      </c>
      <c r="CD60" s="209" t="s">
        <v>247</v>
      </c>
      <c r="CE60" s="227">
        <f t="shared" ref="CE60:CE68" si="6">SUM(C60:CD60)</f>
        <v>4262.3415967709607</v>
      </c>
    </row>
    <row r="61" spans="1:83" x14ac:dyDescent="0.25">
      <c r="A61" s="31" t="s">
        <v>262</v>
      </c>
      <c r="B61" s="16"/>
      <c r="C61" s="273">
        <v>17584554.830000002</v>
      </c>
      <c r="D61" s="273">
        <v>8974198.0500000007</v>
      </c>
      <c r="E61" s="273">
        <v>40426700.999999993</v>
      </c>
      <c r="F61" s="273">
        <v>0</v>
      </c>
      <c r="G61" s="273">
        <v>2661993.4700000002</v>
      </c>
      <c r="H61" s="273">
        <v>0</v>
      </c>
      <c r="I61" s="273">
        <v>0</v>
      </c>
      <c r="J61" s="273"/>
      <c r="K61" s="273"/>
      <c r="L61" s="273"/>
      <c r="M61" s="273">
        <f>5372318.83+1134189.74</f>
        <v>6506508.5700000003</v>
      </c>
      <c r="N61" s="273">
        <v>24210346.270000003</v>
      </c>
      <c r="O61" s="273">
        <v>27640233.979999993</v>
      </c>
      <c r="P61" s="275">
        <v>13411764.359999998</v>
      </c>
      <c r="Q61" s="275">
        <v>9653683.0600000005</v>
      </c>
      <c r="R61" s="275">
        <v>670285.16</v>
      </c>
      <c r="S61" s="280">
        <v>2186020.62</v>
      </c>
      <c r="T61" s="280">
        <v>0</v>
      </c>
      <c r="U61" s="276">
        <v>10435776.17</v>
      </c>
      <c r="V61" s="275">
        <v>244541.21000000002</v>
      </c>
      <c r="W61" s="275">
        <v>1453791.54</v>
      </c>
      <c r="X61" s="275">
        <v>3110247.56</v>
      </c>
      <c r="Y61" s="275">
        <v>21882525.079999998</v>
      </c>
      <c r="Z61" s="275">
        <v>5349401.2600000007</v>
      </c>
      <c r="AA61" s="275">
        <v>511227.86</v>
      </c>
      <c r="AB61" s="281">
        <v>9359675.7899999991</v>
      </c>
      <c r="AC61" s="275">
        <v>4043016.3899999997</v>
      </c>
      <c r="AD61" s="275">
        <v>0</v>
      </c>
      <c r="AE61" s="275">
        <v>7403322.6599999992</v>
      </c>
      <c r="AF61" s="275"/>
      <c r="AG61" s="275">
        <v>14464304.549999999</v>
      </c>
      <c r="AH61" s="275">
        <v>0</v>
      </c>
      <c r="AI61" s="275">
        <v>0</v>
      </c>
      <c r="AJ61" s="275">
        <v>99732952.279999986</v>
      </c>
      <c r="AK61" s="275">
        <v>0</v>
      </c>
      <c r="AL61" s="275"/>
      <c r="AM61" s="275"/>
      <c r="AN61" s="275"/>
      <c r="AO61" s="275"/>
      <c r="AP61" s="275">
        <v>60811197.690000005</v>
      </c>
      <c r="AQ61" s="275"/>
      <c r="AR61" s="275">
        <f>51054770.68+10207707.62</f>
        <v>61262478.299999997</v>
      </c>
      <c r="AS61" s="275"/>
      <c r="AT61" s="275"/>
      <c r="AU61" s="275"/>
      <c r="AV61" s="280">
        <v>3771553.9299999992</v>
      </c>
      <c r="AW61" s="280">
        <v>2048391.59</v>
      </c>
      <c r="AX61" s="280">
        <v>0</v>
      </c>
      <c r="AY61" s="275">
        <v>0</v>
      </c>
      <c r="AZ61" s="275">
        <v>4205035.3</v>
      </c>
      <c r="BA61" s="280">
        <v>269100.36</v>
      </c>
      <c r="BB61" s="280">
        <v>42703.02</v>
      </c>
      <c r="BC61" s="280">
        <v>442483.00999999995</v>
      </c>
      <c r="BD61" s="280">
        <v>2980689.83</v>
      </c>
      <c r="BE61" s="275">
        <v>4521633.59</v>
      </c>
      <c r="BF61" s="280">
        <v>6000283.2599999998</v>
      </c>
      <c r="BG61" s="280">
        <v>6326633.6300000008</v>
      </c>
      <c r="BH61" s="280">
        <v>16466713.270000001</v>
      </c>
      <c r="BI61" s="280">
        <v>2182715.6999999997</v>
      </c>
      <c r="BJ61" s="280">
        <v>2108363.69</v>
      </c>
      <c r="BK61" s="280">
        <v>5123113.33</v>
      </c>
      <c r="BL61" s="280">
        <v>7223494.71</v>
      </c>
      <c r="BM61" s="280">
        <v>4659923.9400000004</v>
      </c>
      <c r="BN61" s="280">
        <v>6342712.7400000002</v>
      </c>
      <c r="BO61" s="280">
        <v>1383922.95</v>
      </c>
      <c r="BP61" s="280">
        <v>1433654.78</v>
      </c>
      <c r="BQ61" s="280">
        <v>576753.74999999988</v>
      </c>
      <c r="BR61" s="280">
        <f>3525785.5+2365.77</f>
        <v>3528151.27</v>
      </c>
      <c r="BS61" s="280">
        <v>344470.76999999996</v>
      </c>
      <c r="BT61" s="280">
        <v>205157.96</v>
      </c>
      <c r="BU61" s="280">
        <v>0</v>
      </c>
      <c r="BV61" s="280">
        <v>3535096.8200000003</v>
      </c>
      <c r="BW61" s="280">
        <v>4044246.07</v>
      </c>
      <c r="BX61" s="280">
        <v>7339039.3799999999</v>
      </c>
      <c r="BY61" s="280">
        <v>1799972.3299999998</v>
      </c>
      <c r="BZ61" s="280">
        <v>5189108.82</v>
      </c>
      <c r="CA61" s="280">
        <v>1804181.69</v>
      </c>
      <c r="CB61" s="280">
        <v>4848540.7500000009</v>
      </c>
      <c r="CC61" s="280">
        <f>6439213.44+5335548.92</f>
        <v>11774762.359999999</v>
      </c>
      <c r="CD61" s="24" t="s">
        <v>247</v>
      </c>
      <c r="CE61" s="25">
        <f t="shared" si="6"/>
        <v>576513352.30999994</v>
      </c>
    </row>
    <row r="62" spans="1:83" x14ac:dyDescent="0.25">
      <c r="A62" s="31" t="s">
        <v>10</v>
      </c>
      <c r="B62" s="16"/>
      <c r="C62" s="25">
        <f t="shared" ref="C62:AH62" si="7">ROUND(C47+C48,0)</f>
        <v>4063797</v>
      </c>
      <c r="D62" s="25">
        <f t="shared" si="7"/>
        <v>2173035</v>
      </c>
      <c r="E62" s="25">
        <f t="shared" si="7"/>
        <v>7927686</v>
      </c>
      <c r="F62" s="25">
        <f t="shared" si="7"/>
        <v>0</v>
      </c>
      <c r="G62" s="25">
        <f t="shared" si="7"/>
        <v>589298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1481195</v>
      </c>
      <c r="N62" s="25">
        <f t="shared" si="7"/>
        <v>4205052</v>
      </c>
      <c r="O62" s="25">
        <f t="shared" si="7"/>
        <v>5673365</v>
      </c>
      <c r="P62" s="25">
        <f t="shared" si="7"/>
        <v>2697327</v>
      </c>
      <c r="Q62" s="25">
        <f t="shared" si="7"/>
        <v>1788783</v>
      </c>
      <c r="R62" s="25">
        <f t="shared" si="7"/>
        <v>150595</v>
      </c>
      <c r="S62" s="25">
        <f t="shared" si="7"/>
        <v>569575</v>
      </c>
      <c r="T62" s="25">
        <f t="shared" si="7"/>
        <v>0</v>
      </c>
      <c r="U62" s="25">
        <f t="shared" si="7"/>
        <v>2518004</v>
      </c>
      <c r="V62" s="25">
        <f t="shared" si="7"/>
        <v>56071</v>
      </c>
      <c r="W62" s="25">
        <f t="shared" si="7"/>
        <v>134604</v>
      </c>
      <c r="X62" s="25">
        <f t="shared" si="7"/>
        <v>215305</v>
      </c>
      <c r="Y62" s="25">
        <f t="shared" si="7"/>
        <v>4280645</v>
      </c>
      <c r="Z62" s="25">
        <f t="shared" si="7"/>
        <v>956818</v>
      </c>
      <c r="AA62" s="25">
        <f t="shared" si="7"/>
        <v>90471</v>
      </c>
      <c r="AB62" s="25">
        <f t="shared" si="7"/>
        <v>2018629</v>
      </c>
      <c r="AC62" s="25">
        <f t="shared" si="7"/>
        <v>802226</v>
      </c>
      <c r="AD62" s="25">
        <f t="shared" si="7"/>
        <v>0</v>
      </c>
      <c r="AE62" s="25">
        <f t="shared" si="7"/>
        <v>1774963</v>
      </c>
      <c r="AF62" s="25">
        <f t="shared" si="7"/>
        <v>0</v>
      </c>
      <c r="AG62" s="25">
        <f t="shared" si="7"/>
        <v>3029548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17621748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12137748</v>
      </c>
      <c r="AQ62" s="25">
        <f t="shared" si="8"/>
        <v>0</v>
      </c>
      <c r="AR62" s="25">
        <f t="shared" si="8"/>
        <v>14496222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808522</v>
      </c>
      <c r="AW62" s="25">
        <f t="shared" si="8"/>
        <v>483064</v>
      </c>
      <c r="AX62" s="25">
        <f t="shared" si="8"/>
        <v>0</v>
      </c>
      <c r="AY62" s="25">
        <f t="shared" si="8"/>
        <v>0</v>
      </c>
      <c r="AZ62" s="25">
        <f t="shared" si="8"/>
        <v>1305274</v>
      </c>
      <c r="BA62" s="25">
        <f t="shared" si="8"/>
        <v>94689</v>
      </c>
      <c r="BB62" s="25">
        <f t="shared" si="8"/>
        <v>213</v>
      </c>
      <c r="BC62" s="25">
        <f t="shared" si="8"/>
        <v>86270</v>
      </c>
      <c r="BD62" s="25">
        <f t="shared" si="8"/>
        <v>883804</v>
      </c>
      <c r="BE62" s="25">
        <f t="shared" si="8"/>
        <v>1267303</v>
      </c>
      <c r="BF62" s="25">
        <f t="shared" si="8"/>
        <v>1991486</v>
      </c>
      <c r="BG62" s="25">
        <f t="shared" si="8"/>
        <v>1549445</v>
      </c>
      <c r="BH62" s="25">
        <f t="shared" si="8"/>
        <v>3612985</v>
      </c>
      <c r="BI62" s="25">
        <f t="shared" si="8"/>
        <v>504935</v>
      </c>
      <c r="BJ62" s="25">
        <f t="shared" si="8"/>
        <v>545857</v>
      </c>
      <c r="BK62" s="25">
        <f t="shared" si="8"/>
        <v>1555180</v>
      </c>
      <c r="BL62" s="25">
        <f t="shared" si="8"/>
        <v>2180502</v>
      </c>
      <c r="BM62" s="25">
        <f t="shared" si="8"/>
        <v>1277298</v>
      </c>
      <c r="BN62" s="25">
        <f t="shared" si="8"/>
        <v>1444725</v>
      </c>
      <c r="BO62" s="25">
        <f t="shared" ref="BO62:CC62" si="9">ROUND(BO47+BO48,0)</f>
        <v>316486</v>
      </c>
      <c r="BP62" s="25">
        <f t="shared" si="9"/>
        <v>399357</v>
      </c>
      <c r="BQ62" s="25">
        <f t="shared" si="9"/>
        <v>126657</v>
      </c>
      <c r="BR62" s="25">
        <f t="shared" si="9"/>
        <v>15073218</v>
      </c>
      <c r="BS62" s="25">
        <f t="shared" si="9"/>
        <v>91389</v>
      </c>
      <c r="BT62" s="25">
        <f t="shared" si="9"/>
        <v>49892</v>
      </c>
      <c r="BU62" s="25">
        <f t="shared" si="9"/>
        <v>0</v>
      </c>
      <c r="BV62" s="25">
        <f t="shared" si="9"/>
        <v>1170893</v>
      </c>
      <c r="BW62" s="25">
        <f t="shared" si="9"/>
        <v>207364</v>
      </c>
      <c r="BX62" s="25">
        <f t="shared" si="9"/>
        <v>1546489</v>
      </c>
      <c r="BY62" s="25">
        <f t="shared" si="9"/>
        <v>453584</v>
      </c>
      <c r="BZ62" s="25">
        <f t="shared" si="9"/>
        <v>1452651</v>
      </c>
      <c r="CA62" s="25">
        <f t="shared" si="9"/>
        <v>397839</v>
      </c>
      <c r="CB62" s="25">
        <f t="shared" si="9"/>
        <v>1434752</v>
      </c>
      <c r="CC62" s="25">
        <f t="shared" si="9"/>
        <v>1277963</v>
      </c>
      <c r="CD62" s="24" t="s">
        <v>247</v>
      </c>
      <c r="CE62" s="25">
        <f t="shared" si="6"/>
        <v>135042796</v>
      </c>
    </row>
    <row r="63" spans="1:83" x14ac:dyDescent="0.25">
      <c r="A63" s="31" t="s">
        <v>263</v>
      </c>
      <c r="B63" s="16"/>
      <c r="C63" s="273">
        <v>772267.48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/>
      <c r="K63" s="273"/>
      <c r="L63" s="273"/>
      <c r="M63" s="273">
        <v>-1000</v>
      </c>
      <c r="N63" s="273">
        <v>726446.15</v>
      </c>
      <c r="O63" s="273">
        <v>1916160.88</v>
      </c>
      <c r="P63" s="275">
        <v>0</v>
      </c>
      <c r="Q63" s="275">
        <v>0</v>
      </c>
      <c r="R63" s="275">
        <v>750000</v>
      </c>
      <c r="S63" s="280">
        <v>0</v>
      </c>
      <c r="T63" s="280">
        <v>0</v>
      </c>
      <c r="U63" s="276">
        <v>199482.8</v>
      </c>
      <c r="V63" s="275">
        <v>950</v>
      </c>
      <c r="W63" s="275">
        <v>0</v>
      </c>
      <c r="X63" s="275">
        <v>0</v>
      </c>
      <c r="Y63" s="275">
        <v>108971.13</v>
      </c>
      <c r="Z63" s="275">
        <v>0</v>
      </c>
      <c r="AA63" s="275">
        <v>0</v>
      </c>
      <c r="AB63" s="281">
        <v>0</v>
      </c>
      <c r="AC63" s="275">
        <v>0</v>
      </c>
      <c r="AD63" s="275">
        <v>0</v>
      </c>
      <c r="AE63" s="275">
        <v>0</v>
      </c>
      <c r="AF63" s="275"/>
      <c r="AG63" s="275">
        <v>312506.18</v>
      </c>
      <c r="AH63" s="275">
        <v>0</v>
      </c>
      <c r="AI63" s="275">
        <v>0</v>
      </c>
      <c r="AJ63" s="275">
        <v>1148435.8800000001</v>
      </c>
      <c r="AK63" s="275">
        <v>0</v>
      </c>
      <c r="AL63" s="275"/>
      <c r="AM63" s="275"/>
      <c r="AN63" s="275"/>
      <c r="AO63" s="275"/>
      <c r="AP63" s="275">
        <v>7776525.4400000004</v>
      </c>
      <c r="AQ63" s="275"/>
      <c r="AR63" s="275">
        <v>19520.29</v>
      </c>
      <c r="AS63" s="275">
        <v>0</v>
      </c>
      <c r="AT63" s="275"/>
      <c r="AU63" s="275"/>
      <c r="AV63" s="280">
        <v>0</v>
      </c>
      <c r="AW63" s="280">
        <v>368408.1</v>
      </c>
      <c r="AX63" s="280">
        <v>0</v>
      </c>
      <c r="AY63" s="275">
        <v>0</v>
      </c>
      <c r="AZ63" s="275">
        <v>51</v>
      </c>
      <c r="BA63" s="280">
        <v>0</v>
      </c>
      <c r="BB63" s="280">
        <v>0</v>
      </c>
      <c r="BC63" s="280">
        <v>0</v>
      </c>
      <c r="BD63" s="280">
        <v>0</v>
      </c>
      <c r="BE63" s="275">
        <v>11421.49</v>
      </c>
      <c r="BF63" s="280">
        <v>0</v>
      </c>
      <c r="BG63" s="280">
        <v>0</v>
      </c>
      <c r="BH63" s="280">
        <v>0</v>
      </c>
      <c r="BI63" s="280">
        <v>441856.9</v>
      </c>
      <c r="BJ63" s="280">
        <v>367031.11</v>
      </c>
      <c r="BK63" s="280">
        <v>134821.13</v>
      </c>
      <c r="BL63" s="280">
        <v>0</v>
      </c>
      <c r="BM63" s="280">
        <v>269142.02</v>
      </c>
      <c r="BN63" s="280">
        <v>1746058.8399999999</v>
      </c>
      <c r="BO63" s="280">
        <v>70</v>
      </c>
      <c r="BP63" s="280">
        <v>0</v>
      </c>
      <c r="BQ63" s="280">
        <v>0</v>
      </c>
      <c r="BR63" s="280">
        <f>1936354.74+235887.88</f>
        <v>2172242.62</v>
      </c>
      <c r="BS63" s="280">
        <v>0</v>
      </c>
      <c r="BT63" s="280">
        <v>0</v>
      </c>
      <c r="BU63" s="280">
        <v>0</v>
      </c>
      <c r="BV63" s="280">
        <v>0</v>
      </c>
      <c r="BW63" s="280">
        <v>1757609.37</v>
      </c>
      <c r="BX63" s="280">
        <v>2049974.55</v>
      </c>
      <c r="BY63" s="280">
        <v>103754.11</v>
      </c>
      <c r="BZ63" s="280">
        <v>0</v>
      </c>
      <c r="CA63" s="280">
        <v>0</v>
      </c>
      <c r="CB63" s="280">
        <v>0</v>
      </c>
      <c r="CC63" s="280">
        <f>222491.98+24260+350000+500</f>
        <v>597251.98</v>
      </c>
      <c r="CD63" s="24" t="s">
        <v>247</v>
      </c>
      <c r="CE63" s="25">
        <f t="shared" si="6"/>
        <v>23749959.450000003</v>
      </c>
    </row>
    <row r="64" spans="1:83" x14ac:dyDescent="0.25">
      <c r="A64" s="31" t="s">
        <v>264</v>
      </c>
      <c r="B64" s="16"/>
      <c r="C64" s="273">
        <v>1465169.2300000004</v>
      </c>
      <c r="D64" s="273">
        <v>752105.27999999991</v>
      </c>
      <c r="E64" s="273">
        <v>3070561.9700000007</v>
      </c>
      <c r="F64" s="273">
        <v>0</v>
      </c>
      <c r="G64" s="273">
        <v>97123.510000000009</v>
      </c>
      <c r="H64" s="273">
        <v>0</v>
      </c>
      <c r="I64" s="273">
        <v>0</v>
      </c>
      <c r="J64" s="273"/>
      <c r="K64" s="273"/>
      <c r="L64" s="273"/>
      <c r="M64" s="273">
        <f>172018.35+29536.84</f>
        <v>201555.19</v>
      </c>
      <c r="N64" s="273">
        <v>25433.750000000004</v>
      </c>
      <c r="O64" s="273">
        <v>2812014.03</v>
      </c>
      <c r="P64" s="275">
        <v>41886273.820000015</v>
      </c>
      <c r="Q64" s="275">
        <v>425138.75999999995</v>
      </c>
      <c r="R64" s="275">
        <v>553221.07999999996</v>
      </c>
      <c r="S64" s="280">
        <v>828495.58</v>
      </c>
      <c r="T64" s="280">
        <v>0</v>
      </c>
      <c r="U64" s="276">
        <v>9113241.4599999972</v>
      </c>
      <c r="V64" s="275">
        <v>73790.09</v>
      </c>
      <c r="W64" s="275">
        <v>212369.70000000004</v>
      </c>
      <c r="X64" s="275">
        <v>728983.38</v>
      </c>
      <c r="Y64" s="275">
        <v>8828507.9899999984</v>
      </c>
      <c r="Z64" s="275">
        <v>374201.98</v>
      </c>
      <c r="AA64" s="275">
        <v>559720.20999999985</v>
      </c>
      <c r="AB64" s="281">
        <v>22326466.059999999</v>
      </c>
      <c r="AC64" s="275">
        <v>330836.46000000002</v>
      </c>
      <c r="AD64" s="275">
        <v>0</v>
      </c>
      <c r="AE64" s="275">
        <v>236434.02</v>
      </c>
      <c r="AF64" s="275"/>
      <c r="AG64" s="275">
        <v>1792989.4800000002</v>
      </c>
      <c r="AH64" s="275">
        <v>0</v>
      </c>
      <c r="AI64" s="275">
        <v>0</v>
      </c>
      <c r="AJ64" s="275">
        <v>7409966.3200000012</v>
      </c>
      <c r="AK64" s="275">
        <v>0</v>
      </c>
      <c r="AL64" s="275"/>
      <c r="AM64" s="275"/>
      <c r="AN64" s="275"/>
      <c r="AO64" s="275"/>
      <c r="AP64" s="275">
        <v>10211428.409999998</v>
      </c>
      <c r="AQ64" s="275"/>
      <c r="AR64" s="275">
        <f>3389234.76+265831.6</f>
        <v>3655066.36</v>
      </c>
      <c r="AS64" s="275"/>
      <c r="AT64" s="275"/>
      <c r="AU64" s="275"/>
      <c r="AV64" s="280">
        <v>18220031.089999996</v>
      </c>
      <c r="AW64" s="280">
        <v>56771.98000000001</v>
      </c>
      <c r="AX64" s="280">
        <v>231310.66</v>
      </c>
      <c r="AY64" s="275">
        <v>0</v>
      </c>
      <c r="AZ64" s="275">
        <v>2110796.1300000004</v>
      </c>
      <c r="BA64" s="280">
        <v>4442.63</v>
      </c>
      <c r="BB64" s="280">
        <v>0</v>
      </c>
      <c r="BC64" s="280">
        <v>5841.4400000000005</v>
      </c>
      <c r="BD64" s="280">
        <v>20862.739999999998</v>
      </c>
      <c r="BE64" s="275">
        <v>706522.13000000012</v>
      </c>
      <c r="BF64" s="280">
        <v>440445.50000000006</v>
      </c>
      <c r="BG64" s="280">
        <v>1870697.11</v>
      </c>
      <c r="BH64" s="280">
        <v>179690.54000000004</v>
      </c>
      <c r="BI64" s="280">
        <v>16615.900000000001</v>
      </c>
      <c r="BJ64" s="280">
        <v>14687.650000000001</v>
      </c>
      <c r="BK64" s="280">
        <v>17359.89</v>
      </c>
      <c r="BL64" s="280">
        <v>68199.210000000006</v>
      </c>
      <c r="BM64" s="280">
        <v>13020.210000000001</v>
      </c>
      <c r="BN64" s="280">
        <v>14907.829999999998</v>
      </c>
      <c r="BO64" s="280">
        <v>170220.19</v>
      </c>
      <c r="BP64" s="280">
        <v>54054.98</v>
      </c>
      <c r="BQ64" s="280">
        <v>960.93000000000006</v>
      </c>
      <c r="BR64" s="280">
        <v>50756.500000000007</v>
      </c>
      <c r="BS64" s="280">
        <v>308087.7699999999</v>
      </c>
      <c r="BT64" s="280">
        <v>234.16</v>
      </c>
      <c r="BU64" s="280">
        <v>0</v>
      </c>
      <c r="BV64" s="280">
        <v>9762.8100000000013</v>
      </c>
      <c r="BW64" s="280">
        <v>934.6</v>
      </c>
      <c r="BX64" s="280">
        <v>48000.07</v>
      </c>
      <c r="BY64" s="280">
        <v>20758.440000000002</v>
      </c>
      <c r="BZ64" s="280">
        <v>5083.3600000000006</v>
      </c>
      <c r="CA64" s="280">
        <v>317964.85000000003</v>
      </c>
      <c r="CB64" s="280">
        <v>36603.460000000006</v>
      </c>
      <c r="CC64" s="280">
        <f>26662.94-1501933.66</f>
        <v>-1475270.72</v>
      </c>
      <c r="CD64" s="24" t="s">
        <v>247</v>
      </c>
      <c r="CE64" s="25">
        <f t="shared" si="6"/>
        <v>141511448.16000003</v>
      </c>
    </row>
    <row r="65" spans="1:83" x14ac:dyDescent="0.25">
      <c r="A65" s="31" t="s">
        <v>265</v>
      </c>
      <c r="B65" s="16"/>
      <c r="C65" s="273">
        <v>5447.32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/>
      <c r="K65" s="273"/>
      <c r="L65" s="273"/>
      <c r="M65" s="273">
        <f>3902.46+8012.29</f>
        <v>11914.75</v>
      </c>
      <c r="N65" s="273">
        <v>30203.3</v>
      </c>
      <c r="O65" s="273">
        <v>1145.17</v>
      </c>
      <c r="P65" s="275">
        <v>1001.11</v>
      </c>
      <c r="Q65" s="275">
        <v>0</v>
      </c>
      <c r="R65" s="275">
        <v>0</v>
      </c>
      <c r="S65" s="280">
        <v>0</v>
      </c>
      <c r="T65" s="280">
        <v>0</v>
      </c>
      <c r="U65" s="276">
        <v>8498.3700000000008</v>
      </c>
      <c r="V65" s="275">
        <v>0</v>
      </c>
      <c r="W65" s="275">
        <v>0</v>
      </c>
      <c r="X65" s="275">
        <v>0</v>
      </c>
      <c r="Y65" s="275">
        <v>14784.05</v>
      </c>
      <c r="Z65" s="275">
        <v>2305.81</v>
      </c>
      <c r="AA65" s="275">
        <v>0</v>
      </c>
      <c r="AB65" s="281">
        <v>0</v>
      </c>
      <c r="AC65" s="275">
        <v>0</v>
      </c>
      <c r="AD65" s="275">
        <v>0</v>
      </c>
      <c r="AE65" s="275">
        <v>6074.45</v>
      </c>
      <c r="AF65" s="275"/>
      <c r="AG65" s="275">
        <v>1064.9100000000001</v>
      </c>
      <c r="AH65" s="275">
        <v>0</v>
      </c>
      <c r="AI65" s="275">
        <v>0</v>
      </c>
      <c r="AJ65" s="275">
        <v>163258.13</v>
      </c>
      <c r="AK65" s="275">
        <v>0</v>
      </c>
      <c r="AL65" s="275"/>
      <c r="AM65" s="275"/>
      <c r="AN65" s="275"/>
      <c r="AO65" s="275"/>
      <c r="AP65" s="275">
        <v>182000.33999999997</v>
      </c>
      <c r="AQ65" s="275"/>
      <c r="AR65" s="275">
        <f>182490.3+72110.61</f>
        <v>254600.90999999997</v>
      </c>
      <c r="AS65" s="275"/>
      <c r="AT65" s="275"/>
      <c r="AU65" s="275"/>
      <c r="AV65" s="280">
        <v>2617.6799999999998</v>
      </c>
      <c r="AW65" s="280">
        <v>1593.91</v>
      </c>
      <c r="AX65" s="280">
        <v>5200.68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981.18</v>
      </c>
      <c r="BE65" s="275">
        <v>5209899.53</v>
      </c>
      <c r="BF65" s="280">
        <v>764114.11</v>
      </c>
      <c r="BG65" s="280">
        <v>1842632.3199999998</v>
      </c>
      <c r="BH65" s="280">
        <v>5663.43</v>
      </c>
      <c r="BI65" s="280">
        <v>1522.55</v>
      </c>
      <c r="BJ65" s="280">
        <v>76.13</v>
      </c>
      <c r="BK65" s="280">
        <v>0</v>
      </c>
      <c r="BL65" s="280">
        <v>478.4</v>
      </c>
      <c r="BM65" s="280">
        <v>50</v>
      </c>
      <c r="BN65" s="280">
        <v>0</v>
      </c>
      <c r="BO65" s="280">
        <v>0</v>
      </c>
      <c r="BP65" s="280">
        <v>666.73</v>
      </c>
      <c r="BQ65" s="280">
        <v>0</v>
      </c>
      <c r="BR65" s="280">
        <v>0</v>
      </c>
      <c r="BS65" s="280">
        <v>633.19000000000005</v>
      </c>
      <c r="BT65" s="280">
        <v>3854.24</v>
      </c>
      <c r="BU65" s="280">
        <v>0</v>
      </c>
      <c r="BV65" s="280">
        <v>0</v>
      </c>
      <c r="BW65" s="280">
        <v>0</v>
      </c>
      <c r="BX65" s="280">
        <v>610.39</v>
      </c>
      <c r="BY65" s="280">
        <v>113.17</v>
      </c>
      <c r="BZ65" s="280">
        <v>0</v>
      </c>
      <c r="CA65" s="280">
        <v>0</v>
      </c>
      <c r="CB65" s="280">
        <v>2172.0500000000002</v>
      </c>
      <c r="CC65" s="280">
        <v>440.94</v>
      </c>
      <c r="CD65" s="24" t="s">
        <v>247</v>
      </c>
      <c r="CE65" s="25">
        <f t="shared" si="6"/>
        <v>8525619.2500000037</v>
      </c>
    </row>
    <row r="66" spans="1:83" x14ac:dyDescent="0.25">
      <c r="A66" s="31" t="s">
        <v>266</v>
      </c>
      <c r="B66" s="16"/>
      <c r="C66" s="273">
        <v>588337.32000000007</v>
      </c>
      <c r="D66" s="273">
        <v>384175.57</v>
      </c>
      <c r="E66" s="273">
        <v>1197941.8700000001</v>
      </c>
      <c r="F66" s="273">
        <v>0</v>
      </c>
      <c r="G66" s="273">
        <v>57634.889999999992</v>
      </c>
      <c r="H66" s="273">
        <v>0</v>
      </c>
      <c r="I66" s="273">
        <v>0</v>
      </c>
      <c r="J66" s="273"/>
      <c r="K66" s="273"/>
      <c r="L66" s="273"/>
      <c r="M66" s="273">
        <f>136441.26+11589.06</f>
        <v>148030.32</v>
      </c>
      <c r="N66" s="273">
        <v>103090.89</v>
      </c>
      <c r="O66" s="273">
        <v>343622.67999999993</v>
      </c>
      <c r="P66" s="275">
        <v>2739604.5700000008</v>
      </c>
      <c r="Q66" s="275">
        <v>62709.94</v>
      </c>
      <c r="R66" s="275">
        <v>76647.25</v>
      </c>
      <c r="S66" s="280">
        <v>208992.76</v>
      </c>
      <c r="T66" s="280">
        <v>0</v>
      </c>
      <c r="U66" s="276">
        <v>11611298.059999999</v>
      </c>
      <c r="V66" s="275">
        <v>0</v>
      </c>
      <c r="W66" s="275">
        <v>292256.59000000003</v>
      </c>
      <c r="X66" s="275">
        <v>571250.1</v>
      </c>
      <c r="Y66" s="275">
        <v>6382731.2700000014</v>
      </c>
      <c r="Z66" s="275">
        <v>1084203.8099999998</v>
      </c>
      <c r="AA66" s="275">
        <v>109681.47</v>
      </c>
      <c r="AB66" s="281">
        <v>308158.99</v>
      </c>
      <c r="AC66" s="275">
        <v>87049.76999999999</v>
      </c>
      <c r="AD66" s="275">
        <v>0</v>
      </c>
      <c r="AE66" s="275">
        <v>1818913.3299999998</v>
      </c>
      <c r="AF66" s="275"/>
      <c r="AG66" s="275">
        <v>361422.91</v>
      </c>
      <c r="AH66" s="275">
        <v>0</v>
      </c>
      <c r="AI66" s="275">
        <v>0</v>
      </c>
      <c r="AJ66" s="275">
        <v>1206476.9099999999</v>
      </c>
      <c r="AK66" s="275">
        <v>756.32</v>
      </c>
      <c r="AL66" s="275"/>
      <c r="AM66" s="275"/>
      <c r="AN66" s="275"/>
      <c r="AO66" s="275"/>
      <c r="AP66" s="275">
        <v>1690428.54</v>
      </c>
      <c r="AQ66" s="275"/>
      <c r="AR66" s="275">
        <f>2668886.21+104301.52</f>
        <v>2773187.73</v>
      </c>
      <c r="AS66" s="275"/>
      <c r="AT66" s="275"/>
      <c r="AU66" s="275"/>
      <c r="AV66" s="280">
        <v>450575.11</v>
      </c>
      <c r="AW66" s="280">
        <v>124471.93000000001</v>
      </c>
      <c r="AX66" s="280">
        <v>991749.58</v>
      </c>
      <c r="AY66" s="275">
        <v>0</v>
      </c>
      <c r="AZ66" s="275">
        <v>464247.10000000003</v>
      </c>
      <c r="BA66" s="280">
        <v>0</v>
      </c>
      <c r="BB66" s="280">
        <v>615516.30000000005</v>
      </c>
      <c r="BC66" s="280">
        <v>28.76</v>
      </c>
      <c r="BD66" s="280">
        <v>-46910.96</v>
      </c>
      <c r="BE66" s="275">
        <v>3102906.54</v>
      </c>
      <c r="BF66" s="280">
        <v>-1178762.0699999998</v>
      </c>
      <c r="BG66" s="280">
        <v>3671299.7600000002</v>
      </c>
      <c r="BH66" s="280">
        <v>13125490.99</v>
      </c>
      <c r="BI66" s="280">
        <v>388430.58000000007</v>
      </c>
      <c r="BJ66" s="280">
        <v>60811.95</v>
      </c>
      <c r="BK66" s="280">
        <v>4985044.1199999992</v>
      </c>
      <c r="BL66" s="280">
        <v>214520.28999999998</v>
      </c>
      <c r="BM66" s="280">
        <v>1207304.83</v>
      </c>
      <c r="BN66" s="280">
        <v>122488.09000000003</v>
      </c>
      <c r="BO66" s="280">
        <v>117977.58</v>
      </c>
      <c r="BP66" s="280">
        <v>3496828.77</v>
      </c>
      <c r="BQ66" s="280">
        <v>178.13</v>
      </c>
      <c r="BR66" s="280">
        <f>736969.47+321771.94</f>
        <v>1058741.4099999999</v>
      </c>
      <c r="BS66" s="280">
        <v>7201.8899999999994</v>
      </c>
      <c r="BT66" s="280">
        <v>1836.9</v>
      </c>
      <c r="BU66" s="280">
        <v>0</v>
      </c>
      <c r="BV66" s="280">
        <v>1238956.1300000001</v>
      </c>
      <c r="BW66" s="280">
        <v>165846.74000000002</v>
      </c>
      <c r="BX66" s="280">
        <v>936340.71999999974</v>
      </c>
      <c r="BY66" s="280">
        <v>14862.149999999998</v>
      </c>
      <c r="BZ66" s="280">
        <v>895.2</v>
      </c>
      <c r="CA66" s="280">
        <v>474320.33</v>
      </c>
      <c r="CB66" s="280">
        <v>191104.2</v>
      </c>
      <c r="CC66" s="280">
        <f>1313110.87+133590.38+3804578.65</f>
        <v>5251279.9000000004</v>
      </c>
      <c r="CD66" s="24" t="s">
        <v>247</v>
      </c>
      <c r="CE66" s="25">
        <f t="shared" si="6"/>
        <v>75464186.810000002</v>
      </c>
    </row>
    <row r="67" spans="1:83" x14ac:dyDescent="0.25">
      <c r="A67" s="31" t="s">
        <v>15</v>
      </c>
      <c r="B67" s="16"/>
      <c r="C67" s="25">
        <f t="shared" ref="C67:AH67" si="10">ROUND(C51+C52,0)</f>
        <v>2664691</v>
      </c>
      <c r="D67" s="25">
        <f t="shared" si="10"/>
        <v>1378994</v>
      </c>
      <c r="E67" s="25">
        <f t="shared" si="10"/>
        <v>2088319</v>
      </c>
      <c r="F67" s="25">
        <f t="shared" si="10"/>
        <v>0</v>
      </c>
      <c r="G67" s="25">
        <f t="shared" si="10"/>
        <v>70614</v>
      </c>
      <c r="H67" s="25">
        <f t="shared" si="10"/>
        <v>0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242425</v>
      </c>
      <c r="N67" s="25">
        <f t="shared" si="10"/>
        <v>2518</v>
      </c>
      <c r="O67" s="25">
        <f t="shared" si="10"/>
        <v>3540791</v>
      </c>
      <c r="P67" s="25">
        <f t="shared" si="10"/>
        <v>3606309</v>
      </c>
      <c r="Q67" s="25">
        <f t="shared" si="10"/>
        <v>174809</v>
      </c>
      <c r="R67" s="25">
        <f t="shared" si="10"/>
        <v>131540</v>
      </c>
      <c r="S67" s="25">
        <f t="shared" si="10"/>
        <v>226071</v>
      </c>
      <c r="T67" s="25">
        <f t="shared" si="10"/>
        <v>0</v>
      </c>
      <c r="U67" s="25">
        <f t="shared" si="10"/>
        <v>551515</v>
      </c>
      <c r="V67" s="25">
        <f t="shared" si="10"/>
        <v>4068</v>
      </c>
      <c r="W67" s="25">
        <f t="shared" si="10"/>
        <v>42431</v>
      </c>
      <c r="X67" s="25">
        <f t="shared" si="10"/>
        <v>141581</v>
      </c>
      <c r="Y67" s="25">
        <f t="shared" si="10"/>
        <v>3009530</v>
      </c>
      <c r="Z67" s="25">
        <f t="shared" si="10"/>
        <v>1102833</v>
      </c>
      <c r="AA67" s="25">
        <f t="shared" si="10"/>
        <v>171632</v>
      </c>
      <c r="AB67" s="25">
        <f t="shared" si="10"/>
        <v>609579</v>
      </c>
      <c r="AC67" s="25">
        <f t="shared" si="10"/>
        <v>30073</v>
      </c>
      <c r="AD67" s="25">
        <f t="shared" si="10"/>
        <v>0</v>
      </c>
      <c r="AE67" s="25">
        <f t="shared" si="10"/>
        <v>270375</v>
      </c>
      <c r="AF67" s="25">
        <f t="shared" si="10"/>
        <v>0</v>
      </c>
      <c r="AG67" s="25">
        <f t="shared" si="10"/>
        <v>1728167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3045720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7717249</v>
      </c>
      <c r="AQ67" s="25">
        <f t="shared" si="11"/>
        <v>0</v>
      </c>
      <c r="AR67" s="25">
        <f t="shared" si="11"/>
        <v>544058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238668</v>
      </c>
      <c r="AW67" s="25">
        <f t="shared" si="11"/>
        <v>22807</v>
      </c>
      <c r="AX67" s="25">
        <f t="shared" si="11"/>
        <v>337100</v>
      </c>
      <c r="AY67" s="25">
        <f t="shared" si="11"/>
        <v>0</v>
      </c>
      <c r="AZ67" s="25">
        <f t="shared" si="11"/>
        <v>717308</v>
      </c>
      <c r="BA67" s="25">
        <f t="shared" si="11"/>
        <v>4152</v>
      </c>
      <c r="BB67" s="25">
        <f t="shared" si="11"/>
        <v>0</v>
      </c>
      <c r="BC67" s="25">
        <f t="shared" si="11"/>
        <v>6854</v>
      </c>
      <c r="BD67" s="25">
        <f t="shared" si="11"/>
        <v>256353</v>
      </c>
      <c r="BE67" s="25">
        <f t="shared" si="11"/>
        <v>8065460</v>
      </c>
      <c r="BF67" s="25">
        <f t="shared" si="11"/>
        <v>53412</v>
      </c>
      <c r="BG67" s="25">
        <f t="shared" si="11"/>
        <v>2075184</v>
      </c>
      <c r="BH67" s="25">
        <f t="shared" si="11"/>
        <v>13951701</v>
      </c>
      <c r="BI67" s="25">
        <f t="shared" si="11"/>
        <v>882247</v>
      </c>
      <c r="BJ67" s="25">
        <f t="shared" si="11"/>
        <v>32107</v>
      </c>
      <c r="BK67" s="25">
        <f t="shared" si="11"/>
        <v>23487</v>
      </c>
      <c r="BL67" s="25">
        <f t="shared" si="11"/>
        <v>23798</v>
      </c>
      <c r="BM67" s="25">
        <f t="shared" si="11"/>
        <v>4947</v>
      </c>
      <c r="BN67" s="25">
        <f t="shared" si="11"/>
        <v>295008</v>
      </c>
      <c r="BO67" s="25">
        <f t="shared" ref="BO67:CC67" si="12">ROUND(BO51+BO52,0)</f>
        <v>67025</v>
      </c>
      <c r="BP67" s="25">
        <f t="shared" si="12"/>
        <v>356330</v>
      </c>
      <c r="BQ67" s="25">
        <f t="shared" si="12"/>
        <v>2726</v>
      </c>
      <c r="BR67" s="25">
        <f t="shared" si="12"/>
        <v>189492</v>
      </c>
      <c r="BS67" s="25">
        <f t="shared" si="12"/>
        <v>14596</v>
      </c>
      <c r="BT67" s="25">
        <f t="shared" si="12"/>
        <v>18775</v>
      </c>
      <c r="BU67" s="25">
        <f t="shared" si="12"/>
        <v>0</v>
      </c>
      <c r="BV67" s="25">
        <f t="shared" si="12"/>
        <v>49603</v>
      </c>
      <c r="BW67" s="25">
        <f t="shared" si="12"/>
        <v>16209</v>
      </c>
      <c r="BX67" s="25">
        <f t="shared" si="12"/>
        <v>63708</v>
      </c>
      <c r="BY67" s="25">
        <f t="shared" si="12"/>
        <v>419427</v>
      </c>
      <c r="BZ67" s="25">
        <f t="shared" si="12"/>
        <v>5277</v>
      </c>
      <c r="CA67" s="25">
        <f t="shared" si="12"/>
        <v>144467</v>
      </c>
      <c r="CB67" s="25">
        <f t="shared" si="12"/>
        <v>132249</v>
      </c>
      <c r="CC67" s="25">
        <f t="shared" si="12"/>
        <v>128754</v>
      </c>
      <c r="CD67" s="24" t="s">
        <v>247</v>
      </c>
      <c r="CE67" s="25">
        <f t="shared" si="6"/>
        <v>61695123</v>
      </c>
    </row>
    <row r="68" spans="1:83" x14ac:dyDescent="0.25">
      <c r="A68" s="31" t="s">
        <v>267</v>
      </c>
      <c r="B68" s="25"/>
      <c r="C68" s="273">
        <v>1622.03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/>
      <c r="K68" s="273"/>
      <c r="L68" s="273"/>
      <c r="M68" s="273">
        <f>6881.39+26296.66</f>
        <v>33178.050000000003</v>
      </c>
      <c r="N68" s="273">
        <v>0</v>
      </c>
      <c r="O68" s="273">
        <v>1085.47</v>
      </c>
      <c r="P68" s="275">
        <v>53423.03</v>
      </c>
      <c r="Q68" s="275">
        <v>0</v>
      </c>
      <c r="R68" s="275">
        <v>0</v>
      </c>
      <c r="S68" s="280">
        <v>0</v>
      </c>
      <c r="T68" s="280">
        <v>0</v>
      </c>
      <c r="U68" s="276">
        <v>53530.04</v>
      </c>
      <c r="V68" s="275">
        <v>0</v>
      </c>
      <c r="W68" s="275">
        <v>0</v>
      </c>
      <c r="X68" s="275">
        <v>0</v>
      </c>
      <c r="Y68" s="275">
        <v>94785.38</v>
      </c>
      <c r="Z68" s="275">
        <v>0</v>
      </c>
      <c r="AA68" s="275">
        <v>0</v>
      </c>
      <c r="AB68" s="281">
        <v>287684.81</v>
      </c>
      <c r="AC68" s="275">
        <v>24410.1</v>
      </c>
      <c r="AD68" s="275">
        <v>0</v>
      </c>
      <c r="AE68" s="275">
        <v>35802.449999999997</v>
      </c>
      <c r="AF68" s="275"/>
      <c r="AG68" s="275">
        <v>63320.73</v>
      </c>
      <c r="AH68" s="275">
        <v>0</v>
      </c>
      <c r="AI68" s="275">
        <v>0</v>
      </c>
      <c r="AJ68" s="275">
        <v>244821.26</v>
      </c>
      <c r="AK68" s="275">
        <v>0</v>
      </c>
      <c r="AL68" s="275"/>
      <c r="AM68" s="275"/>
      <c r="AN68" s="275"/>
      <c r="AO68" s="275"/>
      <c r="AP68" s="275">
        <v>2363413.75</v>
      </c>
      <c r="AQ68" s="275"/>
      <c r="AR68" s="275">
        <f>787423.8+236669.9</f>
        <v>1024093.7000000001</v>
      </c>
      <c r="AS68" s="275"/>
      <c r="AT68" s="275"/>
      <c r="AU68" s="275"/>
      <c r="AV68" s="280"/>
      <c r="AW68" s="280"/>
      <c r="AX68" s="280">
        <v>1222493.6299999999</v>
      </c>
      <c r="AY68" s="275">
        <v>0</v>
      </c>
      <c r="AZ68" s="275">
        <v>12306.46</v>
      </c>
      <c r="BA68" s="280">
        <v>0</v>
      </c>
      <c r="BB68" s="280">
        <v>0</v>
      </c>
      <c r="BC68" s="280">
        <v>0</v>
      </c>
      <c r="BD68" s="280">
        <v>10994.62</v>
      </c>
      <c r="BE68" s="275">
        <v>1288505.18</v>
      </c>
      <c r="BF68" s="280">
        <v>0</v>
      </c>
      <c r="BG68" s="280">
        <v>14131.75</v>
      </c>
      <c r="BH68" s="280">
        <v>0</v>
      </c>
      <c r="BI68" s="280">
        <v>361594.81</v>
      </c>
      <c r="BJ68" s="280">
        <v>0</v>
      </c>
      <c r="BK68" s="280">
        <v>0</v>
      </c>
      <c r="BL68" s="280">
        <v>1656.32</v>
      </c>
      <c r="BM68" s="280">
        <v>0</v>
      </c>
      <c r="BN68" s="280">
        <v>0</v>
      </c>
      <c r="BO68" s="280"/>
      <c r="BP68" s="280"/>
      <c r="BQ68" s="280"/>
      <c r="BR68" s="280">
        <v>350</v>
      </c>
      <c r="BS68" s="280">
        <v>0</v>
      </c>
      <c r="BT68" s="280">
        <v>0</v>
      </c>
      <c r="BU68" s="280">
        <v>0</v>
      </c>
      <c r="BV68" s="280">
        <v>16537.310000000001</v>
      </c>
      <c r="BW68" s="280">
        <v>0</v>
      </c>
      <c r="BX68" s="280">
        <v>0</v>
      </c>
      <c r="BY68" s="280">
        <v>0</v>
      </c>
      <c r="BZ68" s="280">
        <v>0</v>
      </c>
      <c r="CA68" s="280"/>
      <c r="CB68" s="280">
        <v>62835.54</v>
      </c>
      <c r="CC68" s="280"/>
      <c r="CD68" s="24" t="s">
        <v>247</v>
      </c>
      <c r="CE68" s="25">
        <f t="shared" si="6"/>
        <v>7272576.419999999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0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13855.21</v>
      </c>
      <c r="N69" s="25">
        <f t="shared" si="13"/>
        <v>43891.91</v>
      </c>
      <c r="O69" s="25">
        <f t="shared" si="13"/>
        <v>381.48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22330.5</v>
      </c>
      <c r="Z69" s="25">
        <f t="shared" si="13"/>
        <v>0</v>
      </c>
      <c r="AA69" s="25">
        <f t="shared" si="13"/>
        <v>0</v>
      </c>
      <c r="AB69" s="25">
        <f t="shared" si="13"/>
        <v>0</v>
      </c>
      <c r="AC69" s="25">
        <f t="shared" si="13"/>
        <v>0</v>
      </c>
      <c r="AD69" s="25">
        <f t="shared" si="13"/>
        <v>0</v>
      </c>
      <c r="AE69" s="25">
        <f t="shared" si="13"/>
        <v>27632.89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815710.08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1079276.8999999999</v>
      </c>
      <c r="AQ69" s="25">
        <f t="shared" si="14"/>
        <v>0</v>
      </c>
      <c r="AR69" s="25">
        <f t="shared" si="14"/>
        <v>69086.509999999995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-598.32000000000005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0</v>
      </c>
      <c r="BD69" s="25">
        <f t="shared" si="14"/>
        <v>0</v>
      </c>
      <c r="BE69" s="25">
        <f t="shared" si="14"/>
        <v>146683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423.62</v>
      </c>
      <c r="BJ69" s="25">
        <f t="shared" si="14"/>
        <v>0</v>
      </c>
      <c r="BK69" s="25">
        <f t="shared" si="14"/>
        <v>0</v>
      </c>
      <c r="BL69" s="25">
        <f t="shared" si="14"/>
        <v>0</v>
      </c>
      <c r="BM69" s="25">
        <f t="shared" si="14"/>
        <v>0</v>
      </c>
      <c r="BN69" s="25">
        <f t="shared" si="14"/>
        <v>0</v>
      </c>
      <c r="BO69" s="25">
        <f t="shared" ref="BO69:CE69" si="15">SUM(BO70:BO83)</f>
        <v>50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5916780.4399999995</v>
      </c>
      <c r="CD69" s="25">
        <f t="shared" si="15"/>
        <v>5812630.1400000006</v>
      </c>
      <c r="CE69" s="25">
        <f t="shared" si="15"/>
        <v>13948134.359999999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>
        <v>50</v>
      </c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>
        <f>4299</f>
        <v>4299</v>
      </c>
      <c r="CD73" s="282">
        <f>3719568.37+2090801.91+2259.86</f>
        <v>5812630.1400000006</v>
      </c>
      <c r="CE73" s="25">
        <f t="shared" si="16"/>
        <v>5816979.1400000006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>
        <v>13855.21</v>
      </c>
      <c r="N81" s="282">
        <v>43891.91</v>
      </c>
      <c r="O81" s="282">
        <v>381.48</v>
      </c>
      <c r="P81" s="282"/>
      <c r="Q81" s="282"/>
      <c r="R81" s="282"/>
      <c r="S81" s="282"/>
      <c r="T81" s="282"/>
      <c r="U81" s="282"/>
      <c r="V81" s="282"/>
      <c r="W81" s="282"/>
      <c r="X81" s="282"/>
      <c r="Y81" s="282">
        <v>22330.5</v>
      </c>
      <c r="Z81" s="282"/>
      <c r="AA81" s="282"/>
      <c r="AB81" s="282"/>
      <c r="AC81" s="282"/>
      <c r="AD81" s="282"/>
      <c r="AE81" s="282">
        <v>27632.89</v>
      </c>
      <c r="AF81" s="282"/>
      <c r="AG81" s="282"/>
      <c r="AH81" s="282"/>
      <c r="AI81" s="282"/>
      <c r="AJ81" s="282">
        <v>815710.08</v>
      </c>
      <c r="AK81" s="282"/>
      <c r="AL81" s="282"/>
      <c r="AM81" s="282"/>
      <c r="AN81" s="282"/>
      <c r="AO81" s="282"/>
      <c r="AP81" s="282">
        <f>1067552.94+11723.96</f>
        <v>1079276.8999999999</v>
      </c>
      <c r="AQ81" s="282"/>
      <c r="AR81" s="282">
        <v>69086.509999999995</v>
      </c>
      <c r="AS81" s="282"/>
      <c r="AT81" s="282"/>
      <c r="AU81" s="282"/>
      <c r="AV81" s="282"/>
      <c r="AW81" s="282">
        <v>-598.32000000000005</v>
      </c>
      <c r="AX81" s="282"/>
      <c r="AY81" s="282"/>
      <c r="AZ81" s="282"/>
      <c r="BA81" s="282"/>
      <c r="BB81" s="282"/>
      <c r="BC81" s="282"/>
      <c r="BD81" s="282"/>
      <c r="BE81" s="282">
        <v>146683</v>
      </c>
      <c r="BF81" s="282"/>
      <c r="BG81" s="282"/>
      <c r="BH81" s="282"/>
      <c r="BI81" s="282">
        <v>423.62</v>
      </c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>
        <f>5126484.91+678354.51+68156.45+19560.47+13353.1+6572</f>
        <v>5912481.4399999995</v>
      </c>
      <c r="CD81" s="282"/>
      <c r="CE81" s="25">
        <f t="shared" si="16"/>
        <v>8131155.2199999988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/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6"/>
      <c r="BI83" s="275"/>
      <c r="BJ83" s="275"/>
      <c r="BK83" s="275"/>
      <c r="BL83" s="275"/>
      <c r="BM83" s="275"/>
      <c r="BN83" s="275"/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82"/>
      <c r="CE83" s="25">
        <f t="shared" si="16"/>
        <v>0</v>
      </c>
    </row>
    <row r="84" spans="1:84" x14ac:dyDescent="0.25">
      <c r="A84" s="31" t="s">
        <v>283</v>
      </c>
      <c r="B84" s="16"/>
      <c r="C84" s="273">
        <v>27123.740000000005</v>
      </c>
      <c r="D84" s="273">
        <v>209</v>
      </c>
      <c r="E84" s="273">
        <v>7340.81</v>
      </c>
      <c r="F84" s="273">
        <v>0</v>
      </c>
      <c r="G84" s="273">
        <v>18468.5</v>
      </c>
      <c r="H84" s="273">
        <v>0</v>
      </c>
      <c r="I84" s="273">
        <v>1000</v>
      </c>
      <c r="J84" s="273">
        <v>0</v>
      </c>
      <c r="K84" s="273">
        <v>0</v>
      </c>
      <c r="L84" s="273">
        <v>0</v>
      </c>
      <c r="M84" s="273">
        <f>31220.55+11982.4</f>
        <v>43202.95</v>
      </c>
      <c r="N84" s="273">
        <v>300449.05999999994</v>
      </c>
      <c r="O84" s="273">
        <v>61950.520000000004</v>
      </c>
      <c r="P84" s="273">
        <v>20480.02</v>
      </c>
      <c r="Q84" s="273">
        <v>4051.5599999999995</v>
      </c>
      <c r="R84" s="273">
        <v>955</v>
      </c>
      <c r="S84" s="273">
        <v>2106.67</v>
      </c>
      <c r="T84" s="273">
        <v>0</v>
      </c>
      <c r="U84" s="273">
        <v>70027.27</v>
      </c>
      <c r="V84" s="273">
        <v>0</v>
      </c>
      <c r="W84" s="273">
        <v>14371</v>
      </c>
      <c r="X84" s="273">
        <v>2864.85</v>
      </c>
      <c r="Y84" s="273">
        <v>57220.599999999991</v>
      </c>
      <c r="Z84" s="273">
        <v>29895.870000000003</v>
      </c>
      <c r="AA84" s="273">
        <v>523</v>
      </c>
      <c r="AB84" s="273">
        <v>23554.170000000002</v>
      </c>
      <c r="AC84" s="273">
        <v>3851.44</v>
      </c>
      <c r="AD84" s="273">
        <v>0</v>
      </c>
      <c r="AE84" s="273">
        <v>28277.019999999997</v>
      </c>
      <c r="AF84" s="273"/>
      <c r="AG84" s="273">
        <v>6501.75</v>
      </c>
      <c r="AH84" s="273">
        <v>0</v>
      </c>
      <c r="AI84" s="273">
        <v>0</v>
      </c>
      <c r="AJ84" s="273">
        <v>800462.51000000013</v>
      </c>
      <c r="AK84" s="273"/>
      <c r="AL84" s="273"/>
      <c r="AM84" s="273"/>
      <c r="AN84" s="273"/>
      <c r="AO84" s="273"/>
      <c r="AP84" s="273">
        <v>582995.95999999973</v>
      </c>
      <c r="AQ84" s="273">
        <v>0</v>
      </c>
      <c r="AR84" s="273">
        <f>1143677.3+107841.56</f>
        <v>1251518.8600000001</v>
      </c>
      <c r="AS84" s="273"/>
      <c r="AT84" s="273"/>
      <c r="AU84" s="273"/>
      <c r="AV84" s="273">
        <v>6830.78</v>
      </c>
      <c r="AW84" s="273">
        <v>35180.68</v>
      </c>
      <c r="AX84" s="273">
        <v>35642.69</v>
      </c>
      <c r="AY84" s="273">
        <v>0</v>
      </c>
      <c r="AZ84" s="273">
        <v>-28.15</v>
      </c>
      <c r="BA84" s="273">
        <v>0</v>
      </c>
      <c r="BB84" s="273">
        <v>0</v>
      </c>
      <c r="BC84" s="273">
        <v>0</v>
      </c>
      <c r="BD84" s="273">
        <v>111060.92</v>
      </c>
      <c r="BE84" s="273">
        <v>33710.98000000004</v>
      </c>
      <c r="BF84" s="273">
        <v>165</v>
      </c>
      <c r="BG84" s="273">
        <v>46705.4</v>
      </c>
      <c r="BH84" s="273">
        <v>102619.87</v>
      </c>
      <c r="BI84" s="273">
        <v>21825.030000000002</v>
      </c>
      <c r="BJ84" s="273">
        <v>2039.52</v>
      </c>
      <c r="BK84" s="273">
        <v>673.72</v>
      </c>
      <c r="BL84" s="273">
        <v>1467.34</v>
      </c>
      <c r="BM84" s="273">
        <v>52318.06</v>
      </c>
      <c r="BN84" s="273">
        <v>847217.96</v>
      </c>
      <c r="BO84" s="273">
        <v>7651.5199999999995</v>
      </c>
      <c r="BP84" s="273">
        <v>14977.05</v>
      </c>
      <c r="BQ84" s="273">
        <v>3088.86</v>
      </c>
      <c r="BR84" s="273">
        <v>15612.240000000002</v>
      </c>
      <c r="BS84" s="273">
        <v>363.05</v>
      </c>
      <c r="BT84" s="273">
        <v>606.44000000000005</v>
      </c>
      <c r="BU84" s="273">
        <v>285517.48</v>
      </c>
      <c r="BV84" s="273">
        <v>5938.54</v>
      </c>
      <c r="BW84" s="273">
        <v>18304.53</v>
      </c>
      <c r="BX84" s="273">
        <v>2185686.2799999998</v>
      </c>
      <c r="BY84" s="273">
        <v>43602.799999999996</v>
      </c>
      <c r="BZ84" s="273">
        <v>1157</v>
      </c>
      <c r="CA84" s="273">
        <v>235267.3</v>
      </c>
      <c r="CB84" s="273">
        <v>3049.7999999999997</v>
      </c>
      <c r="CC84" s="273">
        <f>2487471.22+195-3104106.69</f>
        <v>-616440.46999999974</v>
      </c>
      <c r="CD84" s="282"/>
      <c r="CE84" s="25">
        <f t="shared" si="16"/>
        <v>6861214.3499999996</v>
      </c>
    </row>
    <row r="85" spans="1:84" x14ac:dyDescent="0.25">
      <c r="A85" s="31" t="s">
        <v>284</v>
      </c>
      <c r="B85" s="25"/>
      <c r="C85" s="25">
        <f t="shared" ref="C85:AH85" si="17">SUM(C61:C69)-C84</f>
        <v>27118762.470000006</v>
      </c>
      <c r="D85" s="25">
        <f t="shared" si="17"/>
        <v>13662298.9</v>
      </c>
      <c r="E85" s="25">
        <f t="shared" si="17"/>
        <v>54703869.029999986</v>
      </c>
      <c r="F85" s="25">
        <f t="shared" si="17"/>
        <v>0</v>
      </c>
      <c r="G85" s="25">
        <f t="shared" si="17"/>
        <v>3458195.3700000006</v>
      </c>
      <c r="H85" s="25">
        <f t="shared" si="17"/>
        <v>0</v>
      </c>
      <c r="I85" s="25">
        <f t="shared" si="17"/>
        <v>-1000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8594459.1400000043</v>
      </c>
      <c r="N85" s="25">
        <f t="shared" si="17"/>
        <v>29046533.210000005</v>
      </c>
      <c r="O85" s="25">
        <f t="shared" si="17"/>
        <v>41866849.169999987</v>
      </c>
      <c r="P85" s="25">
        <f t="shared" si="17"/>
        <v>64375222.870000012</v>
      </c>
      <c r="Q85" s="25">
        <f t="shared" si="17"/>
        <v>12101072.199999999</v>
      </c>
      <c r="R85" s="25">
        <f t="shared" si="17"/>
        <v>2331333.4900000002</v>
      </c>
      <c r="S85" s="25">
        <f t="shared" si="17"/>
        <v>4017048.29</v>
      </c>
      <c r="T85" s="25">
        <f t="shared" si="17"/>
        <v>0</v>
      </c>
      <c r="U85" s="25">
        <f t="shared" si="17"/>
        <v>34421318.629999995</v>
      </c>
      <c r="V85" s="25">
        <f t="shared" si="17"/>
        <v>379420.30000000005</v>
      </c>
      <c r="W85" s="25">
        <f t="shared" si="17"/>
        <v>2121081.83</v>
      </c>
      <c r="X85" s="25">
        <f t="shared" si="17"/>
        <v>4764502.1900000004</v>
      </c>
      <c r="Y85" s="25">
        <f t="shared" si="17"/>
        <v>44567589.799999997</v>
      </c>
      <c r="Z85" s="25">
        <f t="shared" si="17"/>
        <v>8839867.9900000002</v>
      </c>
      <c r="AA85" s="25">
        <f t="shared" si="17"/>
        <v>1442209.5399999998</v>
      </c>
      <c r="AB85" s="25">
        <f t="shared" si="17"/>
        <v>34886639.479999997</v>
      </c>
      <c r="AC85" s="25">
        <f t="shared" si="17"/>
        <v>5313760.2799999984</v>
      </c>
      <c r="AD85" s="25">
        <f t="shared" si="17"/>
        <v>0</v>
      </c>
      <c r="AE85" s="25">
        <f t="shared" si="17"/>
        <v>11545240.779999999</v>
      </c>
      <c r="AF85" s="25">
        <f t="shared" si="17"/>
        <v>0</v>
      </c>
      <c r="AG85" s="25">
        <f t="shared" si="17"/>
        <v>21746822.009999998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130588626.34999998</v>
      </c>
      <c r="AK85" s="25">
        <f t="shared" si="18"/>
        <v>756.32</v>
      </c>
      <c r="AL85" s="25">
        <f t="shared" si="18"/>
        <v>0</v>
      </c>
      <c r="AM85" s="25">
        <f t="shared" si="18"/>
        <v>0</v>
      </c>
      <c r="AN85" s="25">
        <f t="shared" si="18"/>
        <v>0</v>
      </c>
      <c r="AO85" s="25">
        <f t="shared" si="18"/>
        <v>0</v>
      </c>
      <c r="AP85" s="25">
        <f t="shared" si="18"/>
        <v>103386272.11000001</v>
      </c>
      <c r="AQ85" s="25">
        <f t="shared" si="18"/>
        <v>0</v>
      </c>
      <c r="AR85" s="25">
        <f t="shared" si="18"/>
        <v>82846794.940000013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23485137.029999994</v>
      </c>
      <c r="AW85" s="25">
        <f t="shared" si="18"/>
        <v>3069729.5100000002</v>
      </c>
      <c r="AX85" s="25">
        <f t="shared" si="18"/>
        <v>2752211.86</v>
      </c>
      <c r="AY85" s="25">
        <f t="shared" si="18"/>
        <v>0</v>
      </c>
      <c r="AZ85" s="25">
        <f t="shared" si="18"/>
        <v>8815046.1400000006</v>
      </c>
      <c r="BA85" s="25">
        <f t="shared" si="18"/>
        <v>372383.99</v>
      </c>
      <c r="BB85" s="25">
        <f t="shared" si="18"/>
        <v>658432.32000000007</v>
      </c>
      <c r="BC85" s="25">
        <f t="shared" si="18"/>
        <v>541477.21</v>
      </c>
      <c r="BD85" s="25">
        <f t="shared" si="18"/>
        <v>3995713.4900000007</v>
      </c>
      <c r="BE85" s="25">
        <f t="shared" si="18"/>
        <v>24286623.48</v>
      </c>
      <c r="BF85" s="25">
        <f t="shared" si="18"/>
        <v>8070813.7999999989</v>
      </c>
      <c r="BG85" s="25">
        <f t="shared" si="18"/>
        <v>17303318.170000002</v>
      </c>
      <c r="BH85" s="25">
        <f t="shared" si="18"/>
        <v>47239624.360000007</v>
      </c>
      <c r="BI85" s="25">
        <f t="shared" si="18"/>
        <v>4758517.0299999984</v>
      </c>
      <c r="BJ85" s="25">
        <f t="shared" si="18"/>
        <v>3126895.01</v>
      </c>
      <c r="BK85" s="25">
        <f t="shared" si="18"/>
        <v>11838331.749999998</v>
      </c>
      <c r="BL85" s="25">
        <f t="shared" si="18"/>
        <v>9711181.5900000017</v>
      </c>
      <c r="BM85" s="25">
        <f t="shared" si="18"/>
        <v>7379367.9400000013</v>
      </c>
      <c r="BN85" s="25">
        <f t="shared" si="18"/>
        <v>9118682.5399999991</v>
      </c>
      <c r="BO85" s="25">
        <f t="shared" ref="BO85:CD85" si="19">SUM(BO61:BO69)-BO84</f>
        <v>2048100.2</v>
      </c>
      <c r="BP85" s="25">
        <f t="shared" si="19"/>
        <v>5725915.21</v>
      </c>
      <c r="BQ85" s="25">
        <f t="shared" si="19"/>
        <v>704186.95</v>
      </c>
      <c r="BR85" s="25">
        <f t="shared" si="19"/>
        <v>22057339.560000002</v>
      </c>
      <c r="BS85" s="25">
        <f t="shared" si="19"/>
        <v>766015.56999999972</v>
      </c>
      <c r="BT85" s="25">
        <f t="shared" si="19"/>
        <v>279143.82</v>
      </c>
      <c r="BU85" s="25">
        <f t="shared" si="19"/>
        <v>-285517.48</v>
      </c>
      <c r="BV85" s="25">
        <f t="shared" si="19"/>
        <v>6014910.5299999993</v>
      </c>
      <c r="BW85" s="25">
        <f t="shared" si="19"/>
        <v>6173905.25</v>
      </c>
      <c r="BX85" s="25">
        <f t="shared" si="19"/>
        <v>9798475.8300000001</v>
      </c>
      <c r="BY85" s="25">
        <f t="shared" si="19"/>
        <v>2768868.4</v>
      </c>
      <c r="BZ85" s="25">
        <f t="shared" si="19"/>
        <v>6651858.3800000008</v>
      </c>
      <c r="CA85" s="25">
        <f t="shared" si="19"/>
        <v>2903505.5700000003</v>
      </c>
      <c r="CB85" s="25">
        <f t="shared" si="19"/>
        <v>6705207.2000000011</v>
      </c>
      <c r="CC85" s="25">
        <f t="shared" si="19"/>
        <v>24088402.369999997</v>
      </c>
      <c r="CD85" s="25">
        <f t="shared" si="19"/>
        <v>5812630.1400000006</v>
      </c>
      <c r="CE85" s="25">
        <f t="shared" si="16"/>
        <v>1036861981.4100003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88549542.219999999</v>
      </c>
      <c r="D87" s="273">
        <v>58029997.840000004</v>
      </c>
      <c r="E87" s="273">
        <v>198464447.05000001</v>
      </c>
      <c r="F87" s="273">
        <v>0</v>
      </c>
      <c r="G87" s="273">
        <v>18212270.600000001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8738542.9600000009</v>
      </c>
      <c r="N87" s="273">
        <v>24354636.25</v>
      </c>
      <c r="O87" s="273">
        <v>131695910.7</v>
      </c>
      <c r="P87" s="273">
        <v>90707005.430000007</v>
      </c>
      <c r="Q87" s="273">
        <v>6251315</v>
      </c>
      <c r="R87" s="273">
        <v>14900718</v>
      </c>
      <c r="S87" s="273">
        <v>0</v>
      </c>
      <c r="T87" s="273">
        <v>0</v>
      </c>
      <c r="U87" s="273">
        <v>114187014.01000001</v>
      </c>
      <c r="V87" s="273">
        <v>2149922</v>
      </c>
      <c r="W87" s="273">
        <v>7936428.5</v>
      </c>
      <c r="X87" s="273">
        <v>41214426.869999997</v>
      </c>
      <c r="Y87" s="273">
        <v>66620140.289999999</v>
      </c>
      <c r="Z87" s="273">
        <v>1118300</v>
      </c>
      <c r="AA87" s="273">
        <v>1886014</v>
      </c>
      <c r="AB87" s="273">
        <v>82986628.909999996</v>
      </c>
      <c r="AC87" s="273">
        <v>13181590</v>
      </c>
      <c r="AD87" s="273">
        <v>0</v>
      </c>
      <c r="AE87" s="273">
        <v>17350697</v>
      </c>
      <c r="AF87" s="273">
        <v>0</v>
      </c>
      <c r="AG87" s="273">
        <v>58807517.729999997</v>
      </c>
      <c r="AH87" s="273">
        <v>0</v>
      </c>
      <c r="AI87" s="273">
        <v>0</v>
      </c>
      <c r="AJ87" s="273">
        <v>35415967.810000002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5103914.07</v>
      </c>
      <c r="AQ87" s="273">
        <v>0</v>
      </c>
      <c r="AR87" s="273">
        <v>-6852.81</v>
      </c>
      <c r="AS87" s="273">
        <v>0</v>
      </c>
      <c r="AT87" s="273">
        <v>0</v>
      </c>
      <c r="AU87" s="273">
        <v>0</v>
      </c>
      <c r="AV87" s="273">
        <f>6008450.77-702800</f>
        <v>5305650.7699999996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1093161745.1999998</v>
      </c>
    </row>
    <row r="88" spans="1:84" x14ac:dyDescent="0.25">
      <c r="A88" s="31" t="s">
        <v>287</v>
      </c>
      <c r="B88" s="16"/>
      <c r="C88" s="273">
        <v>3815.11</v>
      </c>
      <c r="D88" s="273">
        <v>746205</v>
      </c>
      <c r="E88" s="273">
        <v>3391706.01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428566</v>
      </c>
      <c r="N88" s="273">
        <v>1814286.5</v>
      </c>
      <c r="O88" s="273">
        <v>5644572.1600000001</v>
      </c>
      <c r="P88" s="273">
        <v>241168819.47</v>
      </c>
      <c r="Q88" s="273">
        <v>25020760</v>
      </c>
      <c r="R88" s="273">
        <v>40854464</v>
      </c>
      <c r="S88" s="273">
        <v>0</v>
      </c>
      <c r="T88" s="273">
        <v>0</v>
      </c>
      <c r="U88" s="273">
        <v>131538197.70999999</v>
      </c>
      <c r="V88" s="273">
        <v>642736</v>
      </c>
      <c r="W88" s="273">
        <v>11601791.26</v>
      </c>
      <c r="X88" s="273">
        <v>64308185.049999997</v>
      </c>
      <c r="Y88" s="273">
        <v>160505076.19</v>
      </c>
      <c r="Z88" s="273">
        <v>47905269</v>
      </c>
      <c r="AA88" s="273">
        <v>5462183</v>
      </c>
      <c r="AB88" s="273">
        <v>108334190.14</v>
      </c>
      <c r="AC88" s="273">
        <v>332211</v>
      </c>
      <c r="AD88" s="273">
        <v>0</v>
      </c>
      <c r="AE88" s="273">
        <f>22640368.78+4453199.06</f>
        <v>27093567.84</v>
      </c>
      <c r="AF88" s="273">
        <v>0</v>
      </c>
      <c r="AG88" s="273">
        <v>156508488.74000001</v>
      </c>
      <c r="AH88" s="273">
        <v>0</v>
      </c>
      <c r="AI88" s="273">
        <v>0</v>
      </c>
      <c r="AJ88" s="273">
        <v>259642205.46000001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172935558.75</v>
      </c>
      <c r="AQ88" s="273">
        <v>0</v>
      </c>
      <c r="AR88" s="273">
        <v>171366242.97999999</v>
      </c>
      <c r="AS88" s="273"/>
      <c r="AT88" s="273"/>
      <c r="AU88" s="273"/>
      <c r="AV88" s="273">
        <f>21713523.91-79+72700</f>
        <v>21786144.91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1659035242.2800002</v>
      </c>
    </row>
    <row r="89" spans="1:84" x14ac:dyDescent="0.25">
      <c r="A89" s="21" t="s">
        <v>288</v>
      </c>
      <c r="B89" s="16"/>
      <c r="C89" s="25">
        <f t="shared" ref="C89:AV89" si="21">C87+C88</f>
        <v>88553357.329999998</v>
      </c>
      <c r="D89" s="25">
        <f t="shared" si="21"/>
        <v>58776202.840000004</v>
      </c>
      <c r="E89" s="25">
        <f t="shared" si="21"/>
        <v>201856153.06</v>
      </c>
      <c r="F89" s="25">
        <f t="shared" si="21"/>
        <v>0</v>
      </c>
      <c r="G89" s="25">
        <f t="shared" si="21"/>
        <v>18212270.600000001</v>
      </c>
      <c r="H89" s="25">
        <f t="shared" si="21"/>
        <v>0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9167108.9600000009</v>
      </c>
      <c r="N89" s="25">
        <f t="shared" si="21"/>
        <v>26168922.75</v>
      </c>
      <c r="O89" s="25">
        <f t="shared" si="21"/>
        <v>137340482.86000001</v>
      </c>
      <c r="P89" s="25">
        <f t="shared" si="21"/>
        <v>331875824.89999998</v>
      </c>
      <c r="Q89" s="25">
        <f t="shared" si="21"/>
        <v>31272075</v>
      </c>
      <c r="R89" s="25">
        <f t="shared" si="21"/>
        <v>55755182</v>
      </c>
      <c r="S89" s="25">
        <f t="shared" si="21"/>
        <v>0</v>
      </c>
      <c r="T89" s="25">
        <f t="shared" si="21"/>
        <v>0</v>
      </c>
      <c r="U89" s="25">
        <f t="shared" si="21"/>
        <v>245725211.72</v>
      </c>
      <c r="V89" s="25">
        <f t="shared" si="21"/>
        <v>2792658</v>
      </c>
      <c r="W89" s="25">
        <f t="shared" si="21"/>
        <v>19538219.759999998</v>
      </c>
      <c r="X89" s="25">
        <f t="shared" si="21"/>
        <v>105522611.91999999</v>
      </c>
      <c r="Y89" s="25">
        <f t="shared" si="21"/>
        <v>227125216.47999999</v>
      </c>
      <c r="Z89" s="25">
        <f t="shared" si="21"/>
        <v>49023569</v>
      </c>
      <c r="AA89" s="25">
        <f t="shared" si="21"/>
        <v>7348197</v>
      </c>
      <c r="AB89" s="25">
        <f t="shared" si="21"/>
        <v>191320819.05000001</v>
      </c>
      <c r="AC89" s="25">
        <f t="shared" si="21"/>
        <v>13513801</v>
      </c>
      <c r="AD89" s="25">
        <f t="shared" si="21"/>
        <v>0</v>
      </c>
      <c r="AE89" s="25">
        <f t="shared" si="21"/>
        <v>44444264.840000004</v>
      </c>
      <c r="AF89" s="25">
        <f t="shared" si="21"/>
        <v>0</v>
      </c>
      <c r="AG89" s="25">
        <f t="shared" si="21"/>
        <v>215316006.47</v>
      </c>
      <c r="AH89" s="25">
        <f t="shared" si="21"/>
        <v>0</v>
      </c>
      <c r="AI89" s="25">
        <f t="shared" si="21"/>
        <v>0</v>
      </c>
      <c r="AJ89" s="25">
        <f t="shared" si="21"/>
        <v>295058173.26999998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178039472.81999999</v>
      </c>
      <c r="AQ89" s="25">
        <f t="shared" si="21"/>
        <v>0</v>
      </c>
      <c r="AR89" s="25">
        <f t="shared" si="21"/>
        <v>171359390.16999999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27091795.68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2752196987.48</v>
      </c>
    </row>
    <row r="90" spans="1:84" x14ac:dyDescent="0.25">
      <c r="A90" s="31" t="s">
        <v>289</v>
      </c>
      <c r="B90" s="25"/>
      <c r="C90" s="273">
        <v>67134</v>
      </c>
      <c r="D90" s="273">
        <v>23629</v>
      </c>
      <c r="E90" s="273">
        <v>109117</v>
      </c>
      <c r="F90" s="273"/>
      <c r="G90" s="273">
        <v>8959</v>
      </c>
      <c r="H90" s="273"/>
      <c r="I90" s="273"/>
      <c r="J90" s="273"/>
      <c r="K90" s="273"/>
      <c r="L90" s="273"/>
      <c r="M90" s="273">
        <v>20835</v>
      </c>
      <c r="N90" s="273">
        <v>1583</v>
      </c>
      <c r="O90" s="273">
        <v>59054</v>
      </c>
      <c r="P90" s="273">
        <v>73751</v>
      </c>
      <c r="Q90" s="273">
        <v>5124</v>
      </c>
      <c r="R90" s="273">
        <v>652</v>
      </c>
      <c r="S90" s="273">
        <v>10155</v>
      </c>
      <c r="T90" s="273"/>
      <c r="U90" s="273">
        <v>15616</v>
      </c>
      <c r="V90" s="273">
        <v>298</v>
      </c>
      <c r="W90" s="273">
        <v>3046</v>
      </c>
      <c r="X90" s="273">
        <v>3173</v>
      </c>
      <c r="Y90" s="273">
        <v>50079</v>
      </c>
      <c r="Z90" s="273">
        <v>16493</v>
      </c>
      <c r="AA90" s="273">
        <v>1133</v>
      </c>
      <c r="AB90" s="273">
        <v>10551</v>
      </c>
      <c r="AC90" s="273">
        <v>2469</v>
      </c>
      <c r="AD90" s="273"/>
      <c r="AE90" s="273">
        <v>18417</v>
      </c>
      <c r="AF90" s="273"/>
      <c r="AG90" s="273">
        <v>55397</v>
      </c>
      <c r="AH90" s="273"/>
      <c r="AI90" s="273"/>
      <c r="AJ90" s="273">
        <v>157172</v>
      </c>
      <c r="AK90" s="273"/>
      <c r="AL90" s="273"/>
      <c r="AM90" s="273"/>
      <c r="AN90" s="273"/>
      <c r="AO90" s="273"/>
      <c r="AP90" s="273">
        <v>46010</v>
      </c>
      <c r="AQ90" s="273"/>
      <c r="AR90" s="273">
        <v>295</v>
      </c>
      <c r="AS90" s="273"/>
      <c r="AT90" s="273"/>
      <c r="AU90" s="273"/>
      <c r="AV90" s="273">
        <v>13159</v>
      </c>
      <c r="AW90" s="273"/>
      <c r="AX90" s="273"/>
      <c r="AY90" s="273"/>
      <c r="AZ90" s="273">
        <v>19828</v>
      </c>
      <c r="BA90" s="273">
        <v>1010</v>
      </c>
      <c r="BB90" s="273"/>
      <c r="BC90" s="273"/>
      <c r="BD90" s="273">
        <v>7426</v>
      </c>
      <c r="BE90" s="273">
        <v>642562</v>
      </c>
      <c r="BF90" s="273">
        <v>9869</v>
      </c>
      <c r="BG90" s="273">
        <v>5123</v>
      </c>
      <c r="BH90" s="273">
        <v>22722</v>
      </c>
      <c r="BI90" s="273">
        <v>25566</v>
      </c>
      <c r="BJ90" s="273">
        <v>4555</v>
      </c>
      <c r="BK90" s="273">
        <v>14669</v>
      </c>
      <c r="BL90" s="273">
        <v>5222</v>
      </c>
      <c r="BM90" s="273">
        <v>5020</v>
      </c>
      <c r="BN90" s="273">
        <v>13641</v>
      </c>
      <c r="BO90" s="273">
        <v>2355</v>
      </c>
      <c r="BP90" s="273">
        <v>2797</v>
      </c>
      <c r="BQ90" s="273">
        <v>1677</v>
      </c>
      <c r="BR90" s="273">
        <v>4919</v>
      </c>
      <c r="BS90" s="273">
        <v>4709</v>
      </c>
      <c r="BT90" s="273">
        <v>947</v>
      </c>
      <c r="BU90" s="273"/>
      <c r="BV90" s="273">
        <v>15511</v>
      </c>
      <c r="BW90" s="273">
        <v>2218</v>
      </c>
      <c r="BX90" s="273">
        <v>3258</v>
      </c>
      <c r="BY90" s="273">
        <v>1835</v>
      </c>
      <c r="BZ90" s="273"/>
      <c r="CA90" s="273">
        <v>5571</v>
      </c>
      <c r="CB90" s="273">
        <v>4127</v>
      </c>
      <c r="CC90" s="273">
        <v>6789</v>
      </c>
      <c r="CD90" s="224" t="s">
        <v>247</v>
      </c>
      <c r="CE90" s="25">
        <f t="shared" si="20"/>
        <v>1607227</v>
      </c>
      <c r="CF90" s="25">
        <f>BE59-CE90</f>
        <v>-964665</v>
      </c>
    </row>
    <row r="91" spans="1:84" x14ac:dyDescent="0.25">
      <c r="A91" s="21" t="s">
        <v>290</v>
      </c>
      <c r="B91" s="16"/>
      <c r="C91" s="273">
        <v>11125</v>
      </c>
      <c r="D91" s="273">
        <v>30522</v>
      </c>
      <c r="E91" s="273">
        <v>145333</v>
      </c>
      <c r="F91" s="273"/>
      <c r="G91" s="273">
        <v>11339</v>
      </c>
      <c r="H91" s="273"/>
      <c r="I91" s="273"/>
      <c r="J91" s="273"/>
      <c r="K91" s="273"/>
      <c r="L91" s="273"/>
      <c r="M91" s="273">
        <v>4914</v>
      </c>
      <c r="N91" s="273"/>
      <c r="O91" s="273">
        <v>35179</v>
      </c>
      <c r="P91" s="273"/>
      <c r="Q91" s="273"/>
      <c r="R91" s="273"/>
      <c r="S91" s="273"/>
      <c r="T91" s="273"/>
      <c r="U91" s="273"/>
      <c r="V91" s="273"/>
      <c r="W91" s="273"/>
      <c r="X91" s="273"/>
      <c r="Y91" s="273">
        <v>23</v>
      </c>
      <c r="Z91" s="273"/>
      <c r="AA91" s="273"/>
      <c r="AB91" s="273"/>
      <c r="AC91" s="273"/>
      <c r="AD91" s="273"/>
      <c r="AE91" s="273"/>
      <c r="AF91" s="273"/>
      <c r="AG91" s="273">
        <v>3882</v>
      </c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/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242317</v>
      </c>
      <c r="CF91" s="25">
        <f>AY59-CE91</f>
        <v>-242317</v>
      </c>
    </row>
    <row r="92" spans="1:84" x14ac:dyDescent="0.25">
      <c r="A92" s="21" t="s">
        <v>291</v>
      </c>
      <c r="B92" s="16"/>
      <c r="C92" s="273">
        <v>8568</v>
      </c>
      <c r="D92" s="273">
        <v>3016</v>
      </c>
      <c r="E92" s="273">
        <v>13926</v>
      </c>
      <c r="F92" s="273"/>
      <c r="G92" s="273">
        <v>1143</v>
      </c>
      <c r="H92" s="273"/>
      <c r="I92" s="273"/>
      <c r="J92" s="273"/>
      <c r="K92" s="273"/>
      <c r="L92" s="273"/>
      <c r="M92" s="273">
        <v>2659</v>
      </c>
      <c r="N92" s="273">
        <v>202</v>
      </c>
      <c r="O92" s="273">
        <v>7537</v>
      </c>
      <c r="P92" s="273">
        <v>9413</v>
      </c>
      <c r="Q92" s="273">
        <v>654</v>
      </c>
      <c r="R92" s="273">
        <v>83</v>
      </c>
      <c r="S92" s="273">
        <v>1296</v>
      </c>
      <c r="T92" s="273"/>
      <c r="U92" s="273">
        <v>1993</v>
      </c>
      <c r="V92" s="273">
        <v>38</v>
      </c>
      <c r="W92" s="273">
        <v>389</v>
      </c>
      <c r="X92" s="273">
        <v>405</v>
      </c>
      <c r="Y92" s="273">
        <v>6392</v>
      </c>
      <c r="Z92" s="273">
        <v>2105</v>
      </c>
      <c r="AA92" s="273">
        <v>145</v>
      </c>
      <c r="AB92" s="273">
        <v>1347</v>
      </c>
      <c r="AC92" s="273">
        <v>315</v>
      </c>
      <c r="AD92" s="273"/>
      <c r="AE92" s="273">
        <v>2351</v>
      </c>
      <c r="AF92" s="273"/>
      <c r="AG92" s="273">
        <v>7070</v>
      </c>
      <c r="AH92" s="273"/>
      <c r="AI92" s="273"/>
      <c r="AJ92" s="273">
        <v>20060</v>
      </c>
      <c r="AK92" s="273"/>
      <c r="AL92" s="273"/>
      <c r="AM92" s="273"/>
      <c r="AN92" s="273"/>
      <c r="AO92" s="273"/>
      <c r="AP92" s="273">
        <v>5872</v>
      </c>
      <c r="AQ92" s="273"/>
      <c r="AR92" s="273">
        <v>38</v>
      </c>
      <c r="AS92" s="273"/>
      <c r="AT92" s="273"/>
      <c r="AU92" s="273"/>
      <c r="AV92" s="273">
        <v>1680</v>
      </c>
      <c r="AW92" s="273"/>
      <c r="AX92" s="264" t="s">
        <v>247</v>
      </c>
      <c r="AY92" s="264" t="s">
        <v>247</v>
      </c>
      <c r="AZ92" s="24" t="s">
        <v>247</v>
      </c>
      <c r="BA92" s="273">
        <v>129</v>
      </c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2900</v>
      </c>
      <c r="BI92" s="273">
        <v>3263</v>
      </c>
      <c r="BJ92" s="24" t="s">
        <v>247</v>
      </c>
      <c r="BK92" s="273">
        <v>1872</v>
      </c>
      <c r="BL92" s="273">
        <v>666</v>
      </c>
      <c r="BM92" s="273">
        <v>641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601</v>
      </c>
      <c r="BT92" s="273">
        <v>121</v>
      </c>
      <c r="BU92" s="273"/>
      <c r="BV92" s="273">
        <v>1980</v>
      </c>
      <c r="BW92" s="273">
        <v>283</v>
      </c>
      <c r="BX92" s="273">
        <v>416</v>
      </c>
      <c r="BY92" s="273">
        <v>234</v>
      </c>
      <c r="BZ92" s="273"/>
      <c r="CA92" s="273">
        <v>711</v>
      </c>
      <c r="CB92" s="273">
        <v>527</v>
      </c>
      <c r="CC92" s="24" t="s">
        <v>247</v>
      </c>
      <c r="CD92" s="24" t="s">
        <v>247</v>
      </c>
      <c r="CE92" s="25">
        <f t="shared" si="20"/>
        <v>113041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95.259859349802966</v>
      </c>
      <c r="D94" s="277">
        <v>49.23097548640731</v>
      </c>
      <c r="E94" s="277">
        <v>235.71845151194191</v>
      </c>
      <c r="F94" s="277">
        <v>0</v>
      </c>
      <c r="G94" s="277">
        <v>12.656847870685789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f>15.2462857470014+3.11</f>
        <v>18.356285747001401</v>
      </c>
      <c r="N94" s="277">
        <v>2.1518859912785429</v>
      </c>
      <c r="O94" s="277">
        <v>137.68271166709607</v>
      </c>
      <c r="P94" s="274">
        <v>50.244434584299469</v>
      </c>
      <c r="Q94" s="274">
        <v>51.869669557915628</v>
      </c>
      <c r="R94" s="274">
        <v>0</v>
      </c>
      <c r="S94" s="278">
        <v>0</v>
      </c>
      <c r="T94" s="278">
        <v>0</v>
      </c>
      <c r="U94" s="279">
        <v>0.30525100430347618</v>
      </c>
      <c r="V94" s="274">
        <v>0</v>
      </c>
      <c r="W94" s="274">
        <v>0</v>
      </c>
      <c r="X94" s="274">
        <v>0</v>
      </c>
      <c r="Y94" s="274">
        <v>33.32501264325041</v>
      </c>
      <c r="Z94" s="274">
        <v>4.3683002700407449</v>
      </c>
      <c r="AA94" s="274">
        <v>0</v>
      </c>
      <c r="AB94" s="278">
        <v>0</v>
      </c>
      <c r="AC94" s="274">
        <v>9.54207578316587E-4</v>
      </c>
      <c r="AD94" s="274">
        <v>0</v>
      </c>
      <c r="AE94" s="274">
        <v>0</v>
      </c>
      <c r="AF94" s="274">
        <v>0</v>
      </c>
      <c r="AG94" s="274">
        <v>71.007189954102614</v>
      </c>
      <c r="AH94" s="274">
        <v>0</v>
      </c>
      <c r="AI94" s="274">
        <v>0</v>
      </c>
      <c r="AJ94" s="274">
        <v>60.584595272855658</v>
      </c>
      <c r="AK94" s="274">
        <v>0</v>
      </c>
      <c r="AL94" s="274">
        <v>0</v>
      </c>
      <c r="AM94" s="274">
        <v>0</v>
      </c>
      <c r="AN94" s="274">
        <v>0</v>
      </c>
      <c r="AO94" s="274">
        <v>0</v>
      </c>
      <c r="AP94" s="274">
        <v>18.416163322169105</v>
      </c>
      <c r="AQ94" s="274">
        <v>0</v>
      </c>
      <c r="AR94" s="274">
        <f>143.274578001699+28.01</f>
        <v>171.284578001699</v>
      </c>
      <c r="AS94" s="274"/>
      <c r="AT94" s="274"/>
      <c r="AU94" s="274"/>
      <c r="AV94" s="278">
        <f>10.9380289888262+2.8+0.04+0.25+3.35+1.67+17.07+0.04+8.77+0.81+4.01+3.11</f>
        <v>52.858028988826199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1065.3211954312546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/>
      <c r="E98" s="285"/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/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98034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1057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1389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1059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287" t="s">
        <v>1061</v>
      </c>
      <c r="D110" s="284"/>
      <c r="E110" s="285" t="s">
        <v>297</v>
      </c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/>
      <c r="D120" s="16"/>
      <c r="E120" s="16"/>
    </row>
    <row r="121" spans="1:5" x14ac:dyDescent="0.25">
      <c r="A121" s="16" t="s">
        <v>328</v>
      </c>
      <c r="B121" s="35" t="s">
        <v>299</v>
      </c>
      <c r="C121" s="292"/>
      <c r="D121" s="16"/>
      <c r="E121" s="16"/>
    </row>
    <row r="122" spans="1:5" x14ac:dyDescent="0.25">
      <c r="A122" s="16" t="s">
        <v>329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4">
        <v>17449</v>
      </c>
      <c r="D127" s="295">
        <v>76932</v>
      </c>
      <c r="E127" s="16"/>
    </row>
    <row r="128" spans="1:5" x14ac:dyDescent="0.25">
      <c r="A128" s="16" t="s">
        <v>334</v>
      </c>
      <c r="B128" s="35" t="s">
        <v>299</v>
      </c>
      <c r="C128" s="294"/>
      <c r="D128" s="295"/>
      <c r="E128" s="16"/>
    </row>
    <row r="129" spans="1:5" x14ac:dyDescent="0.25">
      <c r="A129" s="16" t="s">
        <v>335</v>
      </c>
      <c r="B129" s="35" t="s">
        <v>299</v>
      </c>
      <c r="C129" s="292"/>
      <c r="D129" s="295"/>
      <c r="E129" s="16"/>
    </row>
    <row r="130" spans="1:5" x14ac:dyDescent="0.25">
      <c r="A130" s="16" t="s">
        <v>336</v>
      </c>
      <c r="B130" s="35" t="s">
        <v>299</v>
      </c>
      <c r="C130" s="292">
        <v>4563</v>
      </c>
      <c r="D130" s="295">
        <v>6466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31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6">
        <v>167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8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71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14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/>
      <c r="D138" s="16"/>
      <c r="E138" s="16"/>
    </row>
    <row r="139" spans="1:5" x14ac:dyDescent="0.25">
      <c r="A139" s="16" t="s">
        <v>344</v>
      </c>
      <c r="B139" s="35" t="s">
        <v>299</v>
      </c>
      <c r="C139" s="294"/>
      <c r="D139" s="16"/>
      <c r="E139" s="16"/>
    </row>
    <row r="140" spans="1:5" x14ac:dyDescent="0.25">
      <c r="A140" s="16" t="s">
        <v>345</v>
      </c>
      <c r="B140" s="35"/>
      <c r="C140" s="292"/>
      <c r="D140" s="16"/>
      <c r="E140" s="16"/>
    </row>
    <row r="141" spans="1:5" x14ac:dyDescent="0.25">
      <c r="A141" s="16" t="s">
        <v>335</v>
      </c>
      <c r="B141" s="35" t="s">
        <v>299</v>
      </c>
      <c r="C141" s="292"/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43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f>SUM(C132:C142)</f>
        <v>354</v>
      </c>
    </row>
    <row r="144" spans="1:5" x14ac:dyDescent="0.25">
      <c r="A144" s="16" t="s">
        <v>348</v>
      </c>
      <c r="B144" s="35" t="s">
        <v>299</v>
      </c>
      <c r="C144" s="294">
        <v>354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7344</v>
      </c>
      <c r="C154" s="295">
        <v>2579</v>
      </c>
      <c r="D154" s="295">
        <v>7526</v>
      </c>
      <c r="E154" s="25">
        <f>SUM(B154:D154)</f>
        <v>17449</v>
      </c>
    </row>
    <row r="155" spans="1:6" x14ac:dyDescent="0.25">
      <c r="A155" s="16" t="s">
        <v>241</v>
      </c>
      <c r="B155" s="295">
        <v>47352</v>
      </c>
      <c r="C155" s="295">
        <v>11228</v>
      </c>
      <c r="D155" s="295">
        <v>18352</v>
      </c>
      <c r="E155" s="25">
        <f>SUM(B155:D155)</f>
        <v>76932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f>SUM(B156:D156)</f>
        <v>0</v>
      </c>
    </row>
    <row r="157" spans="1:6" x14ac:dyDescent="0.25">
      <c r="A157" s="16" t="s">
        <v>286</v>
      </c>
      <c r="B157" s="295">
        <v>582401481</v>
      </c>
      <c r="C157" s="295">
        <v>122839953</v>
      </c>
      <c r="D157" s="295">
        <v>387920311</v>
      </c>
      <c r="E157" s="25">
        <f>SUM(B157:D157)</f>
        <v>1093161745</v>
      </c>
      <c r="F157" s="14"/>
    </row>
    <row r="158" spans="1:6" x14ac:dyDescent="0.25">
      <c r="A158" s="16" t="s">
        <v>287</v>
      </c>
      <c r="B158" s="295">
        <v>723941129</v>
      </c>
      <c r="C158" s="295">
        <v>129159670</v>
      </c>
      <c r="D158" s="295">
        <v>805934443</v>
      </c>
      <c r="E158" s="25">
        <f>SUM(B158:D158)</f>
        <v>1659035242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355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355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72">
        <v>9552469</v>
      </c>
      <c r="C173" s="272">
        <v>22897960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35956067.710000001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1110176.68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4302973.16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63567682.490000002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281813.58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25786849.190000001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4037233.87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135042796.67999998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4687901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2584676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7272577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3719568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2097411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5816979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494152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8131155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8625307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17887782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17887782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2">
        <v>4913659.68</v>
      </c>
      <c r="C211" s="292"/>
      <c r="D211" s="295"/>
      <c r="E211" s="25">
        <f t="shared" ref="E211:E219" si="22">SUM(B211:C211)-D211</f>
        <v>4913659.68</v>
      </c>
    </row>
    <row r="212" spans="1:5" x14ac:dyDescent="0.25">
      <c r="A212" s="16" t="s">
        <v>390</v>
      </c>
      <c r="B212" s="292">
        <v>12938483.369999999</v>
      </c>
      <c r="C212" s="292">
        <v>69527.61</v>
      </c>
      <c r="D212" s="295">
        <v>814.03</v>
      </c>
      <c r="E212" s="25">
        <f t="shared" si="22"/>
        <v>13007196.949999999</v>
      </c>
    </row>
    <row r="213" spans="1:5" x14ac:dyDescent="0.25">
      <c r="A213" s="16" t="s">
        <v>391</v>
      </c>
      <c r="B213" s="292">
        <v>380315538.63999999</v>
      </c>
      <c r="C213" s="292">
        <v>652765.54</v>
      </c>
      <c r="D213" s="295">
        <v>2142.9499999999998</v>
      </c>
      <c r="E213" s="25">
        <f t="shared" si="22"/>
        <v>380966161.23000002</v>
      </c>
    </row>
    <row r="214" spans="1:5" x14ac:dyDescent="0.25">
      <c r="A214" s="16" t="s">
        <v>392</v>
      </c>
      <c r="B214" s="292">
        <v>142228525.56999999</v>
      </c>
      <c r="C214" s="292">
        <v>227638.71</v>
      </c>
      <c r="D214" s="295">
        <v>2374.7800000000002</v>
      </c>
      <c r="E214" s="25">
        <f t="shared" si="22"/>
        <v>142453789.5</v>
      </c>
    </row>
    <row r="215" spans="1:5" x14ac:dyDescent="0.25">
      <c r="A215" s="16" t="s">
        <v>393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394</v>
      </c>
      <c r="B216" s="292">
        <v>349524624.52999997</v>
      </c>
      <c r="C216" s="292">
        <v>9064938.1099999994</v>
      </c>
      <c r="D216" s="295">
        <v>39333814.450000003</v>
      </c>
      <c r="E216" s="25">
        <f t="shared" si="22"/>
        <v>319255748.19</v>
      </c>
    </row>
    <row r="217" spans="1:5" x14ac:dyDescent="0.25">
      <c r="A217" s="16" t="s">
        <v>395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396</v>
      </c>
      <c r="B218" s="292">
        <v>46157405.25</v>
      </c>
      <c r="C218" s="292">
        <v>34059.160000000003</v>
      </c>
      <c r="D218" s="295"/>
      <c r="E218" s="25">
        <f t="shared" si="22"/>
        <v>46191464.409999996</v>
      </c>
    </row>
    <row r="219" spans="1:5" x14ac:dyDescent="0.25">
      <c r="A219" s="16" t="s">
        <v>397</v>
      </c>
      <c r="B219" s="292">
        <v>6090321.0899999999</v>
      </c>
      <c r="C219" s="292">
        <v>11797636.279999999</v>
      </c>
      <c r="D219" s="295">
        <v>10048929</v>
      </c>
      <c r="E219" s="25">
        <f t="shared" si="22"/>
        <v>7839028.3699999973</v>
      </c>
    </row>
    <row r="220" spans="1:5" x14ac:dyDescent="0.25">
      <c r="A220" s="16" t="s">
        <v>229</v>
      </c>
      <c r="B220" s="25">
        <f>SUM(B211:B219)</f>
        <v>942168558.13</v>
      </c>
      <c r="C220" s="225">
        <f>SUM(C211:C219)</f>
        <v>21846565.409999996</v>
      </c>
      <c r="D220" s="25">
        <f>SUM(D211:D219)</f>
        <v>49388075.210000001</v>
      </c>
      <c r="E220" s="25">
        <f>SUM(E211:E219)</f>
        <v>914627048.32999992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6" x14ac:dyDescent="0.25">
      <c r="A225" s="16" t="s">
        <v>390</v>
      </c>
      <c r="B225" s="292">
        <v>12092374.119999999</v>
      </c>
      <c r="C225" s="292">
        <v>234500.81</v>
      </c>
      <c r="D225" s="295">
        <v>814.03</v>
      </c>
      <c r="E225" s="25">
        <f t="shared" ref="E225:E232" si="23">SUM(B225:C225)-D225</f>
        <v>12326060.9</v>
      </c>
    </row>
    <row r="226" spans="1:6" x14ac:dyDescent="0.25">
      <c r="A226" s="16" t="s">
        <v>391</v>
      </c>
      <c r="B226" s="292">
        <v>211301611.59999999</v>
      </c>
      <c r="C226" s="292">
        <v>13220680.68</v>
      </c>
      <c r="D226" s="295">
        <v>2142.9499999999998</v>
      </c>
      <c r="E226" s="25">
        <f t="shared" si="23"/>
        <v>224520149.33000001</v>
      </c>
    </row>
    <row r="227" spans="1:6" x14ac:dyDescent="0.25">
      <c r="A227" s="16" t="s">
        <v>392</v>
      </c>
      <c r="B227" s="292">
        <v>108062963.3</v>
      </c>
      <c r="C227" s="292">
        <v>4672037.54</v>
      </c>
      <c r="D227" s="295">
        <v>2374.7800000000002</v>
      </c>
      <c r="E227" s="25">
        <f t="shared" si="23"/>
        <v>112732626.06</v>
      </c>
    </row>
    <row r="228" spans="1:6" x14ac:dyDescent="0.25">
      <c r="A228" s="16" t="s">
        <v>393</v>
      </c>
      <c r="B228" s="292">
        <v>0</v>
      </c>
      <c r="C228" s="292">
        <v>0</v>
      </c>
      <c r="D228" s="295">
        <v>0</v>
      </c>
      <c r="E228" s="25">
        <f t="shared" si="23"/>
        <v>0</v>
      </c>
    </row>
    <row r="229" spans="1:6" x14ac:dyDescent="0.25">
      <c r="A229" s="16" t="s">
        <v>394</v>
      </c>
      <c r="B229" s="292">
        <v>239960671.03999999</v>
      </c>
      <c r="C229" s="292">
        <v>21499836.48</v>
      </c>
      <c r="D229" s="295">
        <v>39333814.445</v>
      </c>
      <c r="E229" s="25">
        <f t="shared" si="23"/>
        <v>222126693.07499999</v>
      </c>
    </row>
    <row r="230" spans="1:6" x14ac:dyDescent="0.25">
      <c r="A230" s="16" t="s">
        <v>395</v>
      </c>
      <c r="B230" s="292">
        <v>0</v>
      </c>
      <c r="C230" s="292"/>
      <c r="D230" s="295"/>
      <c r="E230" s="25">
        <f t="shared" si="23"/>
        <v>0</v>
      </c>
    </row>
    <row r="231" spans="1:6" x14ac:dyDescent="0.25">
      <c r="A231" s="16" t="s">
        <v>396</v>
      </c>
      <c r="B231" s="292">
        <v>31063385</v>
      </c>
      <c r="C231" s="292">
        <v>3053078.23</v>
      </c>
      <c r="D231" s="295"/>
      <c r="E231" s="25">
        <f t="shared" si="23"/>
        <v>34116463.229999997</v>
      </c>
    </row>
    <row r="232" spans="1:6" x14ac:dyDescent="0.25">
      <c r="A232" s="16" t="s">
        <v>397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602481005.05999994</v>
      </c>
      <c r="C233" s="225">
        <f>SUM(C224:C232)</f>
        <v>42680133.740000002</v>
      </c>
      <c r="D233" s="25">
        <f>SUM(D224:D232)</f>
        <v>39339146.204999998</v>
      </c>
      <c r="E233" s="25">
        <f>SUM(E224:E232)</f>
        <v>605821992.59500003</v>
      </c>
    </row>
    <row r="234" spans="1:6" x14ac:dyDescent="0.25">
      <c r="A234" s="16"/>
      <c r="B234" s="16"/>
      <c r="C234" s="22"/>
      <c r="D234" s="16"/>
      <c r="E234" s="16"/>
      <c r="F234" s="11">
        <f>E220-E233</f>
        <v>308805055.7349999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3" t="s">
        <v>400</v>
      </c>
      <c r="C236" s="343"/>
      <c r="D236" s="30"/>
      <c r="E236" s="30"/>
    </row>
    <row r="237" spans="1:6" x14ac:dyDescent="0.25">
      <c r="A237" s="43" t="s">
        <v>400</v>
      </c>
      <c r="B237" s="30"/>
      <c r="C237" s="292">
        <v>28960010</v>
      </c>
      <c r="D237" s="32">
        <f>C237</f>
        <v>28960010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913114017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195782279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10298087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16544547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591237600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1304938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1728281468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4222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5818513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7907556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13726069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12860071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9626064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22486135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1793453682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80087108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/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355114908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228663007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6028228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13917363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1110565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9201614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16622995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/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253419774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178648762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/>
      <c r="D279" s="16"/>
      <c r="E279" s="16"/>
    </row>
    <row r="280" spans="1:5" x14ac:dyDescent="0.25">
      <c r="A280" s="16" t="s">
        <v>432</v>
      </c>
      <c r="B280" s="35" t="s">
        <v>299</v>
      </c>
      <c r="C280" s="292"/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178648762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4913660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13007197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380966161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142453789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319255749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46191464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7845636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914633656</v>
      </c>
      <c r="E291" s="16"/>
    </row>
    <row r="292" spans="1:5" x14ac:dyDescent="0.25">
      <c r="A292" s="16" t="s">
        <v>439</v>
      </c>
      <c r="B292" s="35" t="s">
        <v>299</v>
      </c>
      <c r="C292" s="292">
        <v>605821993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308811663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5763057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265019281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270782338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24613555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24613555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1036276092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1036276092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43351923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>
        <v>73645752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>
        <v>754385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>
        <v>11986377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31231863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12828021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173798321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23425935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105507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23531442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243841375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285832310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23706828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553380513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12828021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540552492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298393837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1036276092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1036276092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1093161745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>
        <f>1654582269+4453199-2752197213+2752196987</f>
        <v>1659035242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2752196987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28960010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1728281468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13726070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22486135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1793453683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958743304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8337002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-1267872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16723991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5069991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4920451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2228905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f>62995328.71-36012468</f>
        <v>26982860.710000001</v>
      </c>
      <c r="D380" s="25">
        <v>0</v>
      </c>
      <c r="E380" s="204" t="str">
        <f>IF(OR(C380&gt;999999,C380/(D360+D383)&gt;0.01),"Additional Classification Necessary - See Responses-2 Tab","")</f>
        <v>Additional Classification Necessary - See Responses-2 Tab</v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62995328.710000001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21151027.449999999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84146356.159999996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1042889660.16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576513352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135042797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23749959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141511448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8525619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f>16264435+59199751</f>
        <v>75464186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61695123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/>
      <c r="D396" s="16"/>
      <c r="E396" s="16"/>
    </row>
    <row r="397" spans="1:5" x14ac:dyDescent="0.25">
      <c r="A397" s="16" t="s">
        <v>523</v>
      </c>
      <c r="B397" s="35" t="s">
        <v>299</v>
      </c>
      <c r="C397" s="294"/>
      <c r="D397" s="16"/>
      <c r="E397" s="16"/>
    </row>
    <row r="398" spans="1:5" x14ac:dyDescent="0.25">
      <c r="A398" s="16" t="s">
        <v>524</v>
      </c>
      <c r="B398" s="35" t="s">
        <v>299</v>
      </c>
      <c r="C398" s="294"/>
      <c r="D398" s="16"/>
      <c r="E398" s="16"/>
    </row>
    <row r="399" spans="1:5" x14ac:dyDescent="0.25">
      <c r="A399" s="16" t="s">
        <v>525</v>
      </c>
      <c r="B399" s="35" t="s">
        <v>299</v>
      </c>
      <c r="C399" s="294">
        <v>17887782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f>2097410.77+3719568.37</f>
        <v>5816979.1400000006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f>332019.82+121721.85+936783.21+145036.9+4426.77</f>
        <v>1539988.5499999998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f>7200104.33+678354.51+153255+99440.88</f>
        <v>8131154.7199999997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f>28081924.61-5816979.14-8131154.72-1539988.55</f>
        <v>12593802.199999999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28081924.609999999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1068472190.61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-25582530.450000048</v>
      </c>
      <c r="E417" s="25"/>
    </row>
    <row r="418" spans="1:13" x14ac:dyDescent="0.25">
      <c r="A418" s="25" t="s">
        <v>531</v>
      </c>
      <c r="B418" s="16"/>
      <c r="C418" s="294">
        <v>8350827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18442039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26792866</v>
      </c>
      <c r="E420" s="25"/>
      <c r="F420" s="11">
        <f>D420-C399</f>
        <v>8905084</v>
      </c>
    </row>
    <row r="421" spans="1:13" x14ac:dyDescent="0.25">
      <c r="A421" s="25" t="s">
        <v>534</v>
      </c>
      <c r="B421" s="16"/>
      <c r="C421" s="22"/>
      <c r="D421" s="25">
        <f>D417+D420</f>
        <v>1210335.5499999523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1210335.5499999523</v>
      </c>
      <c r="E424" s="16"/>
    </row>
    <row r="426" spans="1:13" ht="29.1" customHeight="1" x14ac:dyDescent="0.25">
      <c r="A426" s="344" t="s">
        <v>538</v>
      </c>
      <c r="B426" s="344"/>
      <c r="C426" s="344"/>
      <c r="D426" s="344"/>
      <c r="E426" s="344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964665</v>
      </c>
      <c r="E612" s="219">
        <f>SUM(C624:D647)+SUM(C668:D713)</f>
        <v>966129372.85878515</v>
      </c>
      <c r="F612" s="219">
        <f>CE64-(AX64+BD64+BE64+BG64+BJ64+BN64+BP64+BQ64+CB64+CC64+CD64)</f>
        <v>140036111.39000002</v>
      </c>
      <c r="G612" s="217">
        <f>CE91-(AX91+AY91+BD91+BE91+BG91+BJ91+BN91+BP91+BQ91+CB91+CC91+CD91)</f>
        <v>242317</v>
      </c>
      <c r="H612" s="222">
        <f>CE60-(AX60+AY60+AZ60+BD60+BE60+BG60+BJ60+BN60+BO60+BP60+BQ60+BR60+CB60+CC60+CD60)</f>
        <v>3826.6086317617523</v>
      </c>
      <c r="I612" s="217">
        <f>CE92-(AX92+AY92+AZ92+BD92+BE92+BF92+BG92+BJ92+BN92+BO92+BP92+BQ92+BR92+CB92+CC92+CD92)</f>
        <v>112514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2752196987.48</v>
      </c>
      <c r="L612" s="223">
        <f>CE94-(AW94+AX94+AY94+AZ94+BA94+BB94+BC94+BD94+BE94+BF94+BG94+BH94+BI94+BJ94+BK94+BL94+BM94+BN94+BO94+BP94+BQ94+BR94+BS94+BT94+BU94+BV94+BW94+BX94+BY94+BZ94+CA94+CB94+CC94+CD94)</f>
        <v>1065.3211954312546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24286623.48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5812630.1400000006</v>
      </c>
      <c r="D615" s="217">
        <f>SUM(C614:C615)</f>
        <v>30099253.620000001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2752211.86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3126895.01</v>
      </c>
      <c r="D617" s="217">
        <f>(D615/D612)*BJ90</f>
        <v>142124.05367573199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17303318.170000002</v>
      </c>
      <c r="D618" s="217">
        <f>(D615/D612)*BG90</f>
        <v>159846.65795406696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9118682.5399999991</v>
      </c>
      <c r="D619" s="217">
        <f>(D615/D612)*BN90</f>
        <v>425623.31859290012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24088402.369999997</v>
      </c>
      <c r="D620" s="217">
        <f>(D615/D612)*CC90</f>
        <v>211828.80360143678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5725915.21</v>
      </c>
      <c r="D621" s="217">
        <f>(D615/D612)*BP90</f>
        <v>87271.345363561442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6705207.2000000011</v>
      </c>
      <c r="D622" s="217">
        <f>(D615/D612)*CB90</f>
        <v>128769.69693078945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704186.95</v>
      </c>
      <c r="D623" s="217">
        <f>(D615/D612)*BQ90</f>
        <v>52325.36509642208</v>
      </c>
      <c r="E623" s="219">
        <f>SUM(C616:D623)</f>
        <v>70732608.551214918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3995713.4900000007</v>
      </c>
      <c r="D624" s="217">
        <f>(D615/D612)*BD90</f>
        <v>231704.32987837229</v>
      </c>
      <c r="E624" s="219">
        <f>(E623/E612)*SUM(C624:D624)</f>
        <v>309499.22260524548</v>
      </c>
      <c r="F624" s="219">
        <f>SUM(C624:E624)</f>
        <v>4536917.0424836185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0</v>
      </c>
      <c r="D625" s="217">
        <f>(D615/D612)*AY90</f>
        <v>0</v>
      </c>
      <c r="E625" s="219">
        <f>(E623/E612)*SUM(C625:D625)</f>
        <v>0</v>
      </c>
      <c r="F625" s="219">
        <f>(F624/F612)*AY64</f>
        <v>0</v>
      </c>
      <c r="G625" s="217">
        <f>SUM(C625:F625)</f>
        <v>0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22057339.560000002</v>
      </c>
      <c r="D626" s="217">
        <f>(D615/D612)*BR90</f>
        <v>153481.49726255229</v>
      </c>
      <c r="E626" s="219">
        <f>(E623/E612)*SUM(C626:D626)</f>
        <v>1626106.560445155</v>
      </c>
      <c r="F626" s="219">
        <f>(F624/F612)*BR64</f>
        <v>1644.4189115298727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2048100.2</v>
      </c>
      <c r="D627" s="217">
        <f>(D615/D612)*BO90</f>
        <v>73480.163865279654</v>
      </c>
      <c r="E627" s="219">
        <f>(E623/E612)*SUM(C627:D627)</f>
        <v>155325.89899754684</v>
      </c>
      <c r="F627" s="219">
        <f>(F624/F612)*BO64</f>
        <v>5514.826663781153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8815046.1400000006</v>
      </c>
      <c r="D628" s="217">
        <f>(D615/D612)*AZ90</f>
        <v>618668.65780074953</v>
      </c>
      <c r="E628" s="219">
        <f>(E623/E612)*SUM(C628:D628)</f>
        <v>690664.49558632355</v>
      </c>
      <c r="F628" s="219">
        <f>(F624/F612)*AZ64</f>
        <v>68385.981589669653</v>
      </c>
      <c r="G628" s="217">
        <f>(G625/G612)*AZ91</f>
        <v>0</v>
      </c>
      <c r="H628" s="219">
        <f>SUM(C626:G628)</f>
        <v>36313758.401122585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8070813.7999999989</v>
      </c>
      <c r="D629" s="217">
        <f>(D615/D612)*BF90</f>
        <v>307930.24933607003</v>
      </c>
      <c r="E629" s="219">
        <f>(E623/E612)*SUM(C629:D629)</f>
        <v>613427.60052812786</v>
      </c>
      <c r="F629" s="219">
        <f>(F624/F612)*BF64</f>
        <v>14269.638562513777</v>
      </c>
      <c r="G629" s="217">
        <f>(G625/G612)*BF91</f>
        <v>0</v>
      </c>
      <c r="H629" s="219">
        <f>(H628/H612)*BF60</f>
        <v>928744.59274323273</v>
      </c>
      <c r="I629" s="217">
        <f>SUM(C629:H629)</f>
        <v>9935185.8811699431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372383.99</v>
      </c>
      <c r="D630" s="217">
        <f>(D615/D612)*BA90</f>
        <v>31513.785776616754</v>
      </c>
      <c r="E630" s="219">
        <f>(E623/E612)*SUM(C630:D630)</f>
        <v>29570.30815053128</v>
      </c>
      <c r="F630" s="219">
        <f>(F624/F612)*BA64</f>
        <v>143.93318666436727</v>
      </c>
      <c r="G630" s="217">
        <f>(G625/G612)*BA91</f>
        <v>0</v>
      </c>
      <c r="H630" s="219">
        <f>(H628/H612)*BA60</f>
        <v>42156.176547013631</v>
      </c>
      <c r="I630" s="217">
        <f>(I629/I612)*BA92</f>
        <v>11390.928939251316</v>
      </c>
      <c r="J630" s="217">
        <f>SUM(C630:I630)</f>
        <v>487159.1226000773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3069729.5100000002</v>
      </c>
      <c r="D631" s="217">
        <f>(D615/D612)*AW90</f>
        <v>0</v>
      </c>
      <c r="E631" s="219">
        <f>(E623/E612)*SUM(C631:D631)</f>
        <v>224742.13277094901</v>
      </c>
      <c r="F631" s="219">
        <f>(F624/F612)*AW64</f>
        <v>1839.3095969382387</v>
      </c>
      <c r="G631" s="217">
        <f>(G625/G612)*AW91</f>
        <v>0</v>
      </c>
      <c r="H631" s="219">
        <f>(H628/H612)*AW60</f>
        <v>193199.99645917508</v>
      </c>
      <c r="I631" s="217">
        <f>(I629/I612)*AW92</f>
        <v>0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658432.32000000007</v>
      </c>
      <c r="D632" s="217">
        <f>(D615/D612)*BB90</f>
        <v>0</v>
      </c>
      <c r="E632" s="219">
        <f>(E623/E612)*SUM(C632:D632)</f>
        <v>48205.382070332307</v>
      </c>
      <c r="F632" s="219">
        <f>(F624/F612)*BB64</f>
        <v>0</v>
      </c>
      <c r="G632" s="217">
        <f>(G625/G612)*BB91</f>
        <v>0</v>
      </c>
      <c r="H632" s="219">
        <f>(H628/H612)*BB60</f>
        <v>2421.6431069356113</v>
      </c>
      <c r="I632" s="217">
        <f>(I629/I612)*BB92</f>
        <v>0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541477.21</v>
      </c>
      <c r="D633" s="217">
        <f>(D615/D612)*BC90</f>
        <v>0</v>
      </c>
      <c r="E633" s="219">
        <f>(E623/E612)*SUM(C633:D633)</f>
        <v>39642.822804365918</v>
      </c>
      <c r="F633" s="219">
        <f>(F624/F612)*BC64</f>
        <v>189.25210380083456</v>
      </c>
      <c r="G633" s="217">
        <f>(G625/G612)*BC91</f>
        <v>0</v>
      </c>
      <c r="H633" s="219">
        <f>(H628/H612)*BC60</f>
        <v>77564.930797717941</v>
      </c>
      <c r="I633" s="217">
        <f>(I629/I612)*BC92</f>
        <v>0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4758517.0299999984</v>
      </c>
      <c r="D634" s="217">
        <f>(D615/D612)*BI90</f>
        <v>797704.40313364752</v>
      </c>
      <c r="E634" s="219">
        <f>(E623/E612)*SUM(C634:D634)</f>
        <v>406784.06711805507</v>
      </c>
      <c r="F634" s="219">
        <f>(F624/F612)*BI64</f>
        <v>538.32514440690773</v>
      </c>
      <c r="G634" s="217">
        <f>(G625/G612)*BI91</f>
        <v>0</v>
      </c>
      <c r="H634" s="219">
        <f>(H628/H612)*BI60</f>
        <v>159523.78147351203</v>
      </c>
      <c r="I634" s="217">
        <f>(I629/I612)*BI92</f>
        <v>288128.6909207523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11838331.749999998</v>
      </c>
      <c r="D635" s="217">
        <f>(D615/D612)*BK90</f>
        <v>457698.73619523877</v>
      </c>
      <c r="E635" s="219">
        <f>(E623/E612)*SUM(C635:D635)</f>
        <v>900221.37360373698</v>
      </c>
      <c r="F635" s="219">
        <f>(F624/F612)*BK64</f>
        <v>562.42907643510318</v>
      </c>
      <c r="G635" s="217">
        <f>(G625/G612)*BK91</f>
        <v>0</v>
      </c>
      <c r="H635" s="219">
        <f>(H628/H612)*BK60</f>
        <v>682419.30824692687</v>
      </c>
      <c r="I635" s="217">
        <f>(I629/I612)*BK92</f>
        <v>165300.92228122841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47239624.360000007</v>
      </c>
      <c r="D636" s="217">
        <f>(D615/D612)*BH90</f>
        <v>708966.57466958999</v>
      </c>
      <c r="E636" s="219">
        <f>(E623/E612)*SUM(C636:D636)</f>
        <v>3510429.3570215693</v>
      </c>
      <c r="F636" s="219">
        <f>(F624/F612)*BH64</f>
        <v>5821.6488961810819</v>
      </c>
      <c r="G636" s="217">
        <f>(G625/G612)*BH91</f>
        <v>0</v>
      </c>
      <c r="H636" s="219">
        <f>(H628/H612)*BH60</f>
        <v>1077399.6853495792</v>
      </c>
      <c r="I636" s="217">
        <f>(I629/I612)*BH92</f>
        <v>256075.14669634742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9711181.5900000017</v>
      </c>
      <c r="D637" s="217">
        <f>(D615/D612)*BL90</f>
        <v>162935.63299553731</v>
      </c>
      <c r="E637" s="219">
        <f>(E623/E612)*SUM(C637:D637)</f>
        <v>722907.39516211557</v>
      </c>
      <c r="F637" s="219">
        <f>(F624/F612)*BL64</f>
        <v>2209.5312063557813</v>
      </c>
      <c r="G637" s="217">
        <f>(G625/G612)*BL91</f>
        <v>0</v>
      </c>
      <c r="H637" s="219">
        <f>(H628/H612)*BL60</f>
        <v>989957.56930057262</v>
      </c>
      <c r="I637" s="217">
        <f>(I629/I612)*BL92</f>
        <v>58808.981965437029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7379367.9400000013</v>
      </c>
      <c r="D638" s="217">
        <f>(D615/D612)*BM90</f>
        <v>156632.87584021396</v>
      </c>
      <c r="E638" s="219">
        <f>(E623/E612)*SUM(C638:D638)</f>
        <v>551728.38206045772</v>
      </c>
      <c r="F638" s="219">
        <f>(F624/F612)*BM64</f>
        <v>421.83128379794437</v>
      </c>
      <c r="G638" s="217">
        <f>(G625/G612)*BM91</f>
        <v>0</v>
      </c>
      <c r="H638" s="219">
        <f>(H628/H612)*BM60</f>
        <v>461507.96516914055</v>
      </c>
      <c r="I638" s="217">
        <f>(I629/I612)*BM92</f>
        <v>56601.437597365068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766015.56999999972</v>
      </c>
      <c r="D639" s="217">
        <f>(D615/D612)*BS90</f>
        <v>146929.12596246367</v>
      </c>
      <c r="E639" s="219">
        <f>(E623/E612)*SUM(C639:D639)</f>
        <v>66838.832999500868</v>
      </c>
      <c r="F639" s="219">
        <f>(F624/F612)*BS64</f>
        <v>9981.487206546266</v>
      </c>
      <c r="G639" s="217">
        <f>(G625/G612)*BS91</f>
        <v>0</v>
      </c>
      <c r="H639" s="219">
        <f>(H628/H612)*BS60</f>
        <v>45008.079431184589</v>
      </c>
      <c r="I639" s="217">
        <f>(I629/I612)*BS92</f>
        <v>53069.366608449927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279143.82</v>
      </c>
      <c r="D640" s="217">
        <f>(D615/D612)*BT90</f>
        <v>29548.074386590164</v>
      </c>
      <c r="E640" s="219">
        <f>(E623/E612)*SUM(C640:D640)</f>
        <v>22600.06117397191</v>
      </c>
      <c r="F640" s="219">
        <f>(F624/F612)*BT64</f>
        <v>7.586361004478932</v>
      </c>
      <c r="G640" s="217">
        <f>(G625/G612)*BT91</f>
        <v>0</v>
      </c>
      <c r="H640" s="219">
        <f>(H628/H612)*BT60</f>
        <v>22005.548697244292</v>
      </c>
      <c r="I640" s="217">
        <f>(I629/I612)*BT92</f>
        <v>10684.514741468289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-285517.48</v>
      </c>
      <c r="D641" s="217">
        <f>(D615/D612)*BU90</f>
        <v>0</v>
      </c>
      <c r="E641" s="219">
        <f>(E623/E612)*SUM(C641:D641)</f>
        <v>-20903.407674699902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6014910.5299999993</v>
      </c>
      <c r="D642" s="217">
        <f>(D615/D612)*BV90</f>
        <v>483970.62493178464</v>
      </c>
      <c r="E642" s="219">
        <f>(E623/E612)*SUM(C642:D642)</f>
        <v>475798.40719721827</v>
      </c>
      <c r="F642" s="219">
        <f>(F624/F612)*BV64</f>
        <v>316.2974080890715</v>
      </c>
      <c r="G642" s="217">
        <f>(G625/G612)*BV91</f>
        <v>0</v>
      </c>
      <c r="H642" s="219">
        <f>(H628/H612)*BV60</f>
        <v>443694.94778960804</v>
      </c>
      <c r="I642" s="217">
        <f>(I629/I612)*BV92</f>
        <v>174837.51395129928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6173905.25</v>
      </c>
      <c r="D643" s="217">
        <f>(D615/D612)*BW90</f>
        <v>69205.52163617422</v>
      </c>
      <c r="E643" s="219">
        <f>(E623/E612)*SUM(C643:D643)</f>
        <v>457072.85458607029</v>
      </c>
      <c r="F643" s="219">
        <f>(F624/F612)*BW64</f>
        <v>30.27935170304924</v>
      </c>
      <c r="G643" s="217">
        <f>(G625/G612)*BW91</f>
        <v>0</v>
      </c>
      <c r="H643" s="219">
        <f>(H628/H612)*BW60</f>
        <v>77597.937151248902</v>
      </c>
      <c r="I643" s="217">
        <f>(I629/I612)*BW92</f>
        <v>24989.402246574591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9798475.8300000001</v>
      </c>
      <c r="D644" s="217">
        <f>(D615/D612)*BX90</f>
        <v>101655.36045566078</v>
      </c>
      <c r="E644" s="219">
        <f>(E623/E612)*SUM(C644:D644)</f>
        <v>724811.93903471949</v>
      </c>
      <c r="F644" s="219">
        <f>(F624/F612)*BX64</f>
        <v>1555.1155588497568</v>
      </c>
      <c r="G644" s="217">
        <f>(G625/G612)*BX91</f>
        <v>0</v>
      </c>
      <c r="H644" s="219">
        <f>(H628/H612)*BX60</f>
        <v>546334.29374366615</v>
      </c>
      <c r="I644" s="217">
        <f>(I629/I612)*BX92</f>
        <v>36733.538284717426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2768868.4</v>
      </c>
      <c r="D645" s="217">
        <f>(D615/D612)*BY90</f>
        <v>57255.244455536384</v>
      </c>
      <c r="E645" s="219">
        <f>(E623/E612)*SUM(C645:D645)</f>
        <v>206907.17317609666</v>
      </c>
      <c r="F645" s="219">
        <f>(F624/F612)*BY64</f>
        <v>672.53595716525308</v>
      </c>
      <c r="G645" s="217">
        <f>(G625/G612)*BY91</f>
        <v>0</v>
      </c>
      <c r="H645" s="219">
        <f>(H628/H612)*BY60</f>
        <v>124064.27259687055</v>
      </c>
      <c r="I645" s="217">
        <f>(I629/I612)*BY92</f>
        <v>20662.615285153552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6651858.3800000008</v>
      </c>
      <c r="D646" s="217">
        <f>(D615/D612)*BZ90</f>
        <v>0</v>
      </c>
      <c r="E646" s="219">
        <f>(E623/E612)*SUM(C646:D646)</f>
        <v>486998.23041135306</v>
      </c>
      <c r="F646" s="219">
        <f>(F624/F612)*BZ64</f>
        <v>164.69168122535032</v>
      </c>
      <c r="G646" s="217">
        <f>(G625/G612)*BZ91</f>
        <v>0</v>
      </c>
      <c r="H646" s="219">
        <f>(H628/H612)*BZ60</f>
        <v>518811.83945280657</v>
      </c>
      <c r="I646" s="217">
        <f>(I629/I612)*BZ92</f>
        <v>0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2903505.5700000003</v>
      </c>
      <c r="D647" s="217">
        <f>(D615/D612)*CA90</f>
        <v>173825.05006092272</v>
      </c>
      <c r="E647" s="219">
        <f>(E623/E612)*SUM(C647:D647)</f>
        <v>225298.62795430428</v>
      </c>
      <c r="F647" s="219">
        <f>(F624/F612)*CA64</f>
        <v>10301.486756213671</v>
      </c>
      <c r="G647" s="217">
        <f>(G625/G612)*CA91</f>
        <v>0</v>
      </c>
      <c r="H647" s="219">
        <f>(H628/H612)*CA60</f>
        <v>136136.08606263384</v>
      </c>
      <c r="I647" s="217">
        <f>(I629/I612)*CA92</f>
        <v>62782.561827966558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265251297.69000003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27118762.470000006</v>
      </c>
      <c r="D668" s="217">
        <f>(D615/D612)*C90</f>
        <v>2094699.4993340487</v>
      </c>
      <c r="E668" s="219">
        <f>(E623/E612)*SUM(C668:D668)</f>
        <v>2138786.4068229073</v>
      </c>
      <c r="F668" s="219">
        <f>(F624/F612)*C64</f>
        <v>47468.836314632848</v>
      </c>
      <c r="G668" s="217">
        <f>(G625/G612)*C91</f>
        <v>0</v>
      </c>
      <c r="H668" s="219">
        <f>(H628/H612)*C60</f>
        <v>1182061.1571766126</v>
      </c>
      <c r="I668" s="217">
        <f>(I629/I612)*C92</f>
        <v>756569.60582562233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13662298.9</v>
      </c>
      <c r="D669" s="217">
        <f>(D615/D612)*D90</f>
        <v>737266.57833235373</v>
      </c>
      <c r="E669" s="219">
        <f>(E623/E612)*SUM(C669:D669)</f>
        <v>1054226.1284041745</v>
      </c>
      <c r="F669" s="219">
        <f>(F624/F612)*D64</f>
        <v>24366.852440445455</v>
      </c>
      <c r="G669" s="217">
        <f>(G625/G612)*D91</f>
        <v>0</v>
      </c>
      <c r="H669" s="219">
        <f>(H628/H612)*D60</f>
        <v>695226.04507416382</v>
      </c>
      <c r="I669" s="217">
        <f>(I629/I612)*D92</f>
        <v>266318.15256420133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54703869.029999986</v>
      </c>
      <c r="D670" s="217">
        <f>(D615/D612)*E90</f>
        <v>3404643.3292941488</v>
      </c>
      <c r="E670" s="219">
        <f>(E623/E612)*SUM(C670:D670)</f>
        <v>4254261.1514246454</v>
      </c>
      <c r="F670" s="219">
        <f>(F624/F612)*E64</f>
        <v>99480.661048189329</v>
      </c>
      <c r="G670" s="217">
        <f>(G625/G612)*E91</f>
        <v>0</v>
      </c>
      <c r="H670" s="219">
        <f>(H628/H612)*E60</f>
        <v>3348337.2761776699</v>
      </c>
      <c r="I670" s="217">
        <f>(I629/I612)*E92</f>
        <v>1229690.5147908048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3458195.3700000006</v>
      </c>
      <c r="D672" s="217">
        <f>(D615/D612)*G90</f>
        <v>279536.6403690193</v>
      </c>
      <c r="E672" s="219">
        <f>(E623/E612)*SUM(C672:D672)</f>
        <v>273648.17030298553</v>
      </c>
      <c r="F672" s="219">
        <f>(F624/F612)*G64</f>
        <v>3146.6262764012627</v>
      </c>
      <c r="G672" s="217">
        <f>(G625/G612)*G91</f>
        <v>0</v>
      </c>
      <c r="H672" s="219">
        <f>(H628/H612)*G60</f>
        <v>193852.10964148806</v>
      </c>
      <c r="I672" s="217">
        <f>(I629/I612)*G92</f>
        <v>100928.92850825003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-1000</v>
      </c>
      <c r="D674" s="217">
        <f>(D615/D612)*I90</f>
        <v>0</v>
      </c>
      <c r="E674" s="219">
        <f>(E623/E612)*SUM(C674:D674)</f>
        <v>-73.212356997196466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8594459.1400000043</v>
      </c>
      <c r="D678" s="217">
        <f>(D615/D612)*M90</f>
        <v>650088.83827307925</v>
      </c>
      <c r="E678" s="219">
        <f>(E623/E612)*SUM(C678:D678)</f>
        <v>676815.14686303993</v>
      </c>
      <c r="F678" s="219">
        <f>(F624/F612)*M64</f>
        <v>6530.0240590465582</v>
      </c>
      <c r="G678" s="217">
        <f>(G625/G612)*M91</f>
        <v>0</v>
      </c>
      <c r="H678" s="219">
        <f>(H628/H612)*M60</f>
        <v>470976.41947872785</v>
      </c>
      <c r="I678" s="217">
        <f>(I629/I612)*M92</f>
        <v>234794.41898813372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29046533.210000005</v>
      </c>
      <c r="D679" s="217">
        <f>(D615/D612)*N90</f>
        <v>49392.398895430022</v>
      </c>
      <c r="E679" s="219">
        <f>(E623/E612)*SUM(C679:D679)</f>
        <v>2130181.2928423239</v>
      </c>
      <c r="F679" s="219">
        <f>(F624/F612)*N64</f>
        <v>824.00755550762756</v>
      </c>
      <c r="G679" s="217">
        <f>(G625/G612)*N91</f>
        <v>0</v>
      </c>
      <c r="H679" s="219">
        <f>(H628/H612)*N60</f>
        <v>634417.52085714217</v>
      </c>
      <c r="I679" s="217">
        <f>(I629/I612)*N92</f>
        <v>17836.958494021441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41866849.169999987</v>
      </c>
      <c r="D680" s="217">
        <f>(D615/D612)*O90</f>
        <v>1842589.2131211148</v>
      </c>
      <c r="E680" s="219">
        <f>(E623/E612)*SUM(C680:D680)</f>
        <v>3200071.0070520244</v>
      </c>
      <c r="F680" s="219">
        <f>(F624/F612)*O64</f>
        <v>91104.174843011831</v>
      </c>
      <c r="G680" s="217">
        <f>(G625/G612)*O91</f>
        <v>0</v>
      </c>
      <c r="H680" s="219">
        <f>(H628/H612)*O60</f>
        <v>1815155.6167677997</v>
      </c>
      <c r="I680" s="217">
        <f>(I629/I612)*O92</f>
        <v>665530.47608633467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64375222.870000012</v>
      </c>
      <c r="D681" s="217">
        <f>(D615/D612)*P90</f>
        <v>2301161.5988230319</v>
      </c>
      <c r="E681" s="219">
        <f>(E623/E612)*SUM(C681:D681)</f>
        <v>4881535.2630137987</v>
      </c>
      <c r="F681" s="219">
        <f>(F624/F612)*P64</f>
        <v>1357039.6068114748</v>
      </c>
      <c r="G681" s="217">
        <f>(G625/G612)*P91</f>
        <v>0</v>
      </c>
      <c r="H681" s="219">
        <f>(H628/H612)*P60</f>
        <v>1021929.0446111365</v>
      </c>
      <c r="I681" s="217">
        <f>(I629/I612)*P92</f>
        <v>831184.60546645452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12101072.199999999</v>
      </c>
      <c r="D682" s="217">
        <f>(D615/D612)*Q90</f>
        <v>159877.85972216263</v>
      </c>
      <c r="E682" s="219">
        <f>(E623/E612)*SUM(C682:D682)</f>
        <v>897653.05289717636</v>
      </c>
      <c r="F682" s="219">
        <f>(F624/F612)*Q64</f>
        <v>13773.727837190499</v>
      </c>
      <c r="G682" s="217">
        <f>(G625/G612)*Q91</f>
        <v>0</v>
      </c>
      <c r="H682" s="219">
        <f>(H628/H612)*Q60</f>
        <v>616542.15814316238</v>
      </c>
      <c r="I682" s="217">
        <f>(I629/I612)*Q92</f>
        <v>57749.360668762485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2331333.4900000002</v>
      </c>
      <c r="D683" s="217">
        <f>(D615/D612)*R90</f>
        <v>20343.55279837042</v>
      </c>
      <c r="E683" s="219">
        <f>(E623/E612)*SUM(C683:D683)</f>
        <v>172171.81919946559</v>
      </c>
      <c r="F683" s="219">
        <f>(F624/F612)*R64</f>
        <v>17923.363632421078</v>
      </c>
      <c r="G683" s="217">
        <f>(G625/G612)*R91</f>
        <v>0</v>
      </c>
      <c r="H683" s="219">
        <f>(H628/H612)*R60</f>
        <v>68103.109452180724</v>
      </c>
      <c r="I683" s="217">
        <f>(I629/I612)*R92</f>
        <v>7329.0473019989086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4017048.29</v>
      </c>
      <c r="D684" s="217">
        <f>(D615/D612)*S90</f>
        <v>316853.95501142886</v>
      </c>
      <c r="E684" s="219">
        <f>(E623/E612)*SUM(C684:D684)</f>
        <v>317295.19835272798</v>
      </c>
      <c r="F684" s="219">
        <f>(F624/F612)*S64</f>
        <v>26841.760166105036</v>
      </c>
      <c r="G684" s="217">
        <f>(G625/G612)*S91</f>
        <v>0</v>
      </c>
      <c r="H684" s="219">
        <f>(H628/H612)*S60</f>
        <v>254985.85283987151</v>
      </c>
      <c r="I684" s="217">
        <f>(I629/I612)*S92</f>
        <v>114439.10004085043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34421318.629999995</v>
      </c>
      <c r="D686" s="217">
        <f>(D615/D612)*U90</f>
        <v>487246.81058182893</v>
      </c>
      <c r="E686" s="219">
        <f>(E623/E612)*SUM(C686:D686)</f>
        <v>2555738.3552958714</v>
      </c>
      <c r="F686" s="219">
        <f>(F624/F612)*U64</f>
        <v>295252.56079836277</v>
      </c>
      <c r="G686" s="217">
        <f>(G625/G612)*U91</f>
        <v>0</v>
      </c>
      <c r="H686" s="219">
        <f>(H628/H612)*U60</f>
        <v>1076809.4194634573</v>
      </c>
      <c r="I686" s="217">
        <f>(I629/I612)*U92</f>
        <v>175985.43702269669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379420.30000000005</v>
      </c>
      <c r="D687" s="217">
        <f>(D615/D612)*V90</f>
        <v>9298.1268925067252</v>
      </c>
      <c r="E687" s="219">
        <f>(E623/E612)*SUM(C687:D687)</f>
        <v>28458.992241042823</v>
      </c>
      <c r="F687" s="219">
        <f>(F624/F612)*V64</f>
        <v>2390.6656187777194</v>
      </c>
      <c r="G687" s="217">
        <f>(G625/G612)*V91</f>
        <v>0</v>
      </c>
      <c r="H687" s="219">
        <f>(H628/H612)*V60</f>
        <v>25517.306994803406</v>
      </c>
      <c r="I687" s="217">
        <f>(I629/I612)*V92</f>
        <v>3355.4674394693798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2121081.83</v>
      </c>
      <c r="D688" s="217">
        <f>(D615/D612)*W90</f>
        <v>95040.585619380829</v>
      </c>
      <c r="E688" s="219">
        <f>(E623/E612)*SUM(C688:D688)</f>
        <v>162247.54544181551</v>
      </c>
      <c r="F688" s="219">
        <f>(F624/F612)*W64</f>
        <v>6880.3946473047909</v>
      </c>
      <c r="G688" s="217">
        <f>(G625/G612)*W91</f>
        <v>0</v>
      </c>
      <c r="H688" s="219">
        <f>(H628/H612)*W60</f>
        <v>70560.113275313415</v>
      </c>
      <c r="I688" s="217">
        <f>(I629/I612)*W92</f>
        <v>34349.390367199703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4764502.1900000004</v>
      </c>
      <c r="D689" s="217">
        <f>(D615/D612)*X90</f>
        <v>99003.210167529673</v>
      </c>
      <c r="E689" s="219">
        <f>(E623/E612)*SUM(C689:D689)</f>
        <v>356068.69361485809</v>
      </c>
      <c r="F689" s="219">
        <f>(F624/F612)*X64</f>
        <v>23617.74464872415</v>
      </c>
      <c r="G689" s="217">
        <f>(G625/G612)*X91</f>
        <v>0</v>
      </c>
      <c r="H689" s="219">
        <f>(H628/H612)*X60</f>
        <v>141135.0771459055</v>
      </c>
      <c r="I689" s="217">
        <f>(I629/I612)*X92</f>
        <v>35762.218762765762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44567589.799999997</v>
      </c>
      <c r="D690" s="217">
        <f>(D615/D612)*Y90</f>
        <v>1562553.3444625649</v>
      </c>
      <c r="E690" s="219">
        <f>(E623/E612)*SUM(C690:D690)</f>
        <v>3377296.5082241683</v>
      </c>
      <c r="F690" s="219">
        <f>(F624/F612)*Y64</f>
        <v>286027.71072372166</v>
      </c>
      <c r="G690" s="217">
        <f>(G625/G612)*Y91</f>
        <v>0</v>
      </c>
      <c r="H690" s="219">
        <f>(H628/H612)*Y60</f>
        <v>1526375.1516658822</v>
      </c>
      <c r="I690" s="217">
        <f>(I629/I612)*Y92</f>
        <v>564424.94402863889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8839867.9900000002</v>
      </c>
      <c r="D691" s="217">
        <f>(D615/D612)*Z90</f>
        <v>514610.7612017229</v>
      </c>
      <c r="E691" s="219">
        <f>(E623/E612)*SUM(C691:D691)</f>
        <v>684863.43785566918</v>
      </c>
      <c r="F691" s="219">
        <f>(F624/F612)*Z64</f>
        <v>12123.468179325269</v>
      </c>
      <c r="G691" s="217">
        <f>(G625/G612)*Z91</f>
        <v>0</v>
      </c>
      <c r="H691" s="219">
        <f>(H628/H612)*Z60</f>
        <v>218448.86083383448</v>
      </c>
      <c r="I691" s="217">
        <f>(I629/I612)*Z92</f>
        <v>185875.23579165907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1442209.5399999998</v>
      </c>
      <c r="D692" s="217">
        <f>(D615/D612)*AA90</f>
        <v>35351.603252382956</v>
      </c>
      <c r="E692" s="219">
        <f>(E623/E612)*SUM(C692:D692)</f>
        <v>108175.73390497921</v>
      </c>
      <c r="F692" s="219">
        <f>(F624/F612)*AA64</f>
        <v>18133.923704145702</v>
      </c>
      <c r="G692" s="217">
        <f>(G625/G612)*AA91</f>
        <v>0</v>
      </c>
      <c r="H692" s="219">
        <f>(H628/H612)*AA60</f>
        <v>31349.742461885227</v>
      </c>
      <c r="I692" s="217">
        <f>(I629/I612)*AA92</f>
        <v>12803.75733481737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34886639.479999997</v>
      </c>
      <c r="D693" s="217">
        <f>(D615/D612)*AB90</f>
        <v>329209.8551773103</v>
      </c>
      <c r="E693" s="219">
        <f>(E623/E612)*SUM(C693:D693)</f>
        <v>2578235.3334864853</v>
      </c>
      <c r="F693" s="219">
        <f>(F624/F612)*AB64</f>
        <v>723337.16896739998</v>
      </c>
      <c r="G693" s="217">
        <f>(G625/G612)*AB91</f>
        <v>0</v>
      </c>
      <c r="H693" s="219">
        <f>(H628/H612)*AB60</f>
        <v>636991.9711563508</v>
      </c>
      <c r="I693" s="217">
        <f>(I629/I612)*AB92</f>
        <v>118942.49055171723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5313760.2799999984</v>
      </c>
      <c r="D694" s="217">
        <f>(D615/D612)*AC90</f>
        <v>77037.165428184919</v>
      </c>
      <c r="E694" s="219">
        <f>(E623/E612)*SUM(C694:D694)</f>
        <v>394672.98707426293</v>
      </c>
      <c r="F694" s="219">
        <f>(F624/F612)*AC64</f>
        <v>10718.503668448302</v>
      </c>
      <c r="G694" s="217">
        <f>(G625/G612)*AC91</f>
        <v>0</v>
      </c>
      <c r="H694" s="219">
        <f>(H628/H612)*AC60</f>
        <v>272567.87102089258</v>
      </c>
      <c r="I694" s="217">
        <f>(I629/I612)*AC92</f>
        <v>27815.059037706702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11545240.779999999</v>
      </c>
      <c r="D696" s="217">
        <f>(D615/D612)*AE90</f>
        <v>574642.963017773</v>
      </c>
      <c r="E696" s="219">
        <f>(E623/E612)*SUM(C696:D696)</f>
        <v>887325.25535833498</v>
      </c>
      <c r="F696" s="219">
        <f>(F624/F612)*AE64</f>
        <v>7660.0351446028008</v>
      </c>
      <c r="G696" s="217">
        <f>(G625/G612)*AE91</f>
        <v>0</v>
      </c>
      <c r="H696" s="219">
        <f>(H628/H612)*AE60</f>
        <v>666955.71842716692</v>
      </c>
      <c r="I696" s="217">
        <f>(I629/I612)*AE92</f>
        <v>207597.47237348717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21746822.009999998</v>
      </c>
      <c r="D698" s="217">
        <f>(D615/D612)*AG90</f>
        <v>1728484.3471952856</v>
      </c>
      <c r="E698" s="219">
        <f>(E623/E612)*SUM(C698:D698)</f>
        <v>1718682.509641537</v>
      </c>
      <c r="F698" s="219">
        <f>(F624/F612)*AG64</f>
        <v>58089.620227677486</v>
      </c>
      <c r="G698" s="217">
        <f>(G625/G612)*AG91</f>
        <v>0</v>
      </c>
      <c r="H698" s="219">
        <f>(H628/H612)*AG60</f>
        <v>1082078.7094912827</v>
      </c>
      <c r="I698" s="217">
        <f>(I629/I612)*AG92</f>
        <v>624293.54729075043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130588626.34999998</v>
      </c>
      <c r="D701" s="217">
        <f>(D615/D612)*AJ90</f>
        <v>4904044.2951310975</v>
      </c>
      <c r="E701" s="219">
        <f>(E623/E612)*SUM(C701:D701)</f>
        <v>9919737.7737748995</v>
      </c>
      <c r="F701" s="219">
        <f>(F624/F612)*AJ64</f>
        <v>240069.52312329292</v>
      </c>
      <c r="G701" s="217">
        <f>(G625/G612)*AJ91</f>
        <v>0</v>
      </c>
      <c r="H701" s="219">
        <f>(H628/H612)*AJ60</f>
        <v>5027817.6733747302</v>
      </c>
      <c r="I701" s="217">
        <f>(I629/I612)*AJ92</f>
        <v>1771333.6009409411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756.32</v>
      </c>
      <c r="D702" s="217">
        <f>(D615/D612)*AK90</f>
        <v>0</v>
      </c>
      <c r="E702" s="219">
        <f>(E623/E612)*SUM(C702:D702)</f>
        <v>55.37196984411964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103386272.11000001</v>
      </c>
      <c r="D707" s="217">
        <f>(D615/D612)*AP90</f>
        <v>1435593.3500813236</v>
      </c>
      <c r="E707" s="219">
        <f>(E623/E612)*SUM(C707:D707)</f>
        <v>7674255.8351755729</v>
      </c>
      <c r="F707" s="219">
        <f>(F624/F612)*AP64</f>
        <v>330831.83417172998</v>
      </c>
      <c r="G707" s="217">
        <f>(G625/G612)*AP91</f>
        <v>0</v>
      </c>
      <c r="H707" s="219">
        <f>(H628/H612)*AP60</f>
        <v>3847198.563331123</v>
      </c>
      <c r="I707" s="217">
        <f>(I629/I612)*AP92</f>
        <v>518508.02117274207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82846794.940000013</v>
      </c>
      <c r="D709" s="217">
        <f>(D615/D612)*AR90</f>
        <v>9204.5215882197444</v>
      </c>
      <c r="E709" s="219">
        <f>(E623/E612)*SUM(C709:D709)</f>
        <v>6066083.0119413165</v>
      </c>
      <c r="F709" s="219">
        <f>(F624/F612)*AR64</f>
        <v>118417.54741325058</v>
      </c>
      <c r="G709" s="217">
        <f>(G625/G612)*AR91</f>
        <v>0</v>
      </c>
      <c r="H709" s="219">
        <f>(H628/H612)*AR60</f>
        <v>4613042.6978612533</v>
      </c>
      <c r="I709" s="217">
        <f>(I629/I612)*AR92</f>
        <v>3355.4674394693798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23485137.029999994</v>
      </c>
      <c r="D713" s="217">
        <f>(D615/D612)*AV90</f>
        <v>410584.06637079193</v>
      </c>
      <c r="E713" s="219">
        <f>(E623/E612)*SUM(C713:D713)</f>
        <v>1749462.063612937</v>
      </c>
      <c r="F713" s="219">
        <f>(F624/F612)*AV64</f>
        <v>590296.09395955654</v>
      </c>
      <c r="G713" s="217">
        <f>(G625/G612)*AV91</f>
        <v>0</v>
      </c>
      <c r="H713" s="219">
        <f>(H628/H612)*AV60</f>
        <v>246774.56027969054</v>
      </c>
      <c r="I713" s="217">
        <f>(I629/I612)*AV92</f>
        <v>148346.98153443573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1036861981.4100001</v>
      </c>
      <c r="D715" s="202">
        <f>SUM(D616:D647)+SUM(D668:D713)</f>
        <v>30099253.620000005</v>
      </c>
      <c r="E715" s="202">
        <f>SUM(E624:E647)+SUM(E668:E713)</f>
        <v>70732608.551214904</v>
      </c>
      <c r="F715" s="202">
        <f>SUM(F625:F648)+SUM(F668:F713)</f>
        <v>4536917.0424836185</v>
      </c>
      <c r="G715" s="202">
        <f>SUM(G626:G647)+SUM(G668:G713)</f>
        <v>0</v>
      </c>
      <c r="H715" s="202">
        <f>SUM(H629:H647)+SUM(H668:H713)</f>
        <v>36313758.4011226</v>
      </c>
      <c r="I715" s="202">
        <f>SUM(I630:I647)+SUM(I668:I713)</f>
        <v>9935185.8811699431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1036861981.4100003</v>
      </c>
      <c r="D716" s="202">
        <f>D615</f>
        <v>30099253.620000001</v>
      </c>
      <c r="E716" s="202">
        <f>E623</f>
        <v>70732608.551214918</v>
      </c>
      <c r="F716" s="202">
        <f>F624</f>
        <v>4536917.0424836185</v>
      </c>
      <c r="G716" s="202">
        <f>G625</f>
        <v>0</v>
      </c>
      <c r="H716" s="202">
        <f>H628</f>
        <v>36313758.401122585</v>
      </c>
      <c r="I716" s="202">
        <f>I629</f>
        <v>9935185.8811699431</v>
      </c>
      <c r="J716" s="202">
        <f>J630</f>
        <v>487159.1226000773</v>
      </c>
      <c r="K716" s="202" t="e">
        <f>K644</f>
        <v>#DIV/0!</v>
      </c>
      <c r="L716" s="202" t="e">
        <f>L647</f>
        <v>#DIV/0!</v>
      </c>
      <c r="M716" s="202">
        <f>C648</f>
        <v>265251297.69000003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59" orientation="portrait" r:id="rId4"/>
  <headerFooter alignWithMargins="0">
    <oddFooter>&amp;R&amp;P</oddFooter>
  </headerFooter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topLeftCell="A160" zoomScaleNormal="100" workbookViewId="0">
      <selection activeCell="B176" sqref="B176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899</v>
      </c>
      <c r="B1" s="169"/>
      <c r="C1" s="169"/>
    </row>
    <row r="2" spans="1:3" ht="20.100000000000001" customHeight="1" x14ac:dyDescent="0.25">
      <c r="A2" s="168"/>
      <c r="B2" s="169"/>
      <c r="C2" s="94" t="s">
        <v>900</v>
      </c>
    </row>
    <row r="3" spans="1:3" ht="20.100000000000001" customHeight="1" x14ac:dyDescent="0.25">
      <c r="A3" s="120" t="str">
        <f>"Hospital: "&amp;data!C98</f>
        <v>Hospital: EvergreenHealth Kirkland / King Country Public Hos #2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901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80087108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355114908</v>
      </c>
    </row>
    <row r="9" spans="1:3" ht="20.100000000000001" customHeight="1" x14ac:dyDescent="0.25">
      <c r="A9" s="174">
        <v>5</v>
      </c>
      <c r="B9" s="176" t="s">
        <v>902</v>
      </c>
      <c r="C9" s="176">
        <f>data!C269</f>
        <v>228663007</v>
      </c>
    </row>
    <row r="10" spans="1:3" ht="20.100000000000001" customHeight="1" x14ac:dyDescent="0.25">
      <c r="A10" s="174">
        <v>6</v>
      </c>
      <c r="B10" s="176" t="s">
        <v>903</v>
      </c>
      <c r="C10" s="176">
        <f>data!C270</f>
        <v>6028228</v>
      </c>
    </row>
    <row r="11" spans="1:3" ht="20.100000000000001" customHeight="1" x14ac:dyDescent="0.25">
      <c r="A11" s="174">
        <v>7</v>
      </c>
      <c r="B11" s="176" t="s">
        <v>904</v>
      </c>
      <c r="C11" s="176">
        <f>data!C271</f>
        <v>13917363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1110565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9201614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16622995</v>
      </c>
    </row>
    <row r="15" spans="1:3" ht="20.100000000000001" customHeight="1" x14ac:dyDescent="0.25">
      <c r="A15" s="174">
        <v>11</v>
      </c>
      <c r="B15" s="176" t="s">
        <v>905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906</v>
      </c>
      <c r="C16" s="176">
        <f>data!D276</f>
        <v>253419774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907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178648762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908</v>
      </c>
      <c r="C22" s="176">
        <f>data!D281</f>
        <v>178648762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909</v>
      </c>
      <c r="C24" s="175"/>
    </row>
    <row r="25" spans="1:3" ht="20.100000000000001" customHeight="1" x14ac:dyDescent="0.25">
      <c r="A25" s="174">
        <v>21</v>
      </c>
      <c r="B25" s="176" t="s">
        <v>389</v>
      </c>
      <c r="C25" s="176">
        <f>data!C283</f>
        <v>4913660</v>
      </c>
    </row>
    <row r="26" spans="1:3" ht="20.100000000000001" customHeight="1" x14ac:dyDescent="0.25">
      <c r="A26" s="174">
        <v>22</v>
      </c>
      <c r="B26" s="176" t="s">
        <v>390</v>
      </c>
      <c r="C26" s="176">
        <f>data!C284</f>
        <v>13007197</v>
      </c>
    </row>
    <row r="27" spans="1:3" ht="20.100000000000001" customHeight="1" x14ac:dyDescent="0.25">
      <c r="A27" s="174">
        <v>23</v>
      </c>
      <c r="B27" s="176" t="s">
        <v>391</v>
      </c>
      <c r="C27" s="176">
        <f>data!C285</f>
        <v>380966161</v>
      </c>
    </row>
    <row r="28" spans="1:3" ht="20.100000000000001" customHeight="1" x14ac:dyDescent="0.25">
      <c r="A28" s="174">
        <v>24</v>
      </c>
      <c r="B28" s="176" t="s">
        <v>910</v>
      </c>
      <c r="C28" s="176">
        <f>data!C286</f>
        <v>142453789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319255749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46191464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7845636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911</v>
      </c>
      <c r="C34" s="176">
        <f>data!C292</f>
        <v>605821993</v>
      </c>
    </row>
    <row r="35" spans="1:3" ht="20.100000000000001" customHeight="1" x14ac:dyDescent="0.25">
      <c r="A35" s="174">
        <v>31</v>
      </c>
      <c r="B35" s="176" t="s">
        <v>912</v>
      </c>
      <c r="C35" s="176">
        <f>data!D293</f>
        <v>308811663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913</v>
      </c>
      <c r="C37" s="175"/>
    </row>
    <row r="38" spans="1:3" ht="20.100000000000001" customHeight="1" x14ac:dyDescent="0.25">
      <c r="A38" s="174">
        <v>34</v>
      </c>
      <c r="B38" s="176" t="s">
        <v>914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915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5763057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265019281</v>
      </c>
    </row>
    <row r="42" spans="1:3" ht="20.100000000000001" customHeight="1" x14ac:dyDescent="0.25">
      <c r="A42" s="174">
        <v>38</v>
      </c>
      <c r="B42" s="176" t="s">
        <v>916</v>
      </c>
      <c r="C42" s="176">
        <f>data!D299</f>
        <v>270782338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917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24613555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918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919</v>
      </c>
      <c r="C49" s="176">
        <f>data!D306</f>
        <v>24613555</v>
      </c>
    </row>
    <row r="50" spans="1:3" ht="20.100000000000001" customHeight="1" x14ac:dyDescent="0.25">
      <c r="A50" s="179">
        <v>46</v>
      </c>
      <c r="B50" s="180" t="s">
        <v>920</v>
      </c>
      <c r="C50" s="176">
        <f>data!D308</f>
        <v>1036276092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921</v>
      </c>
      <c r="B53" s="169"/>
      <c r="C53" s="169"/>
    </row>
    <row r="54" spans="1:3" ht="20.100000000000001" customHeight="1" x14ac:dyDescent="0.25">
      <c r="A54" s="168"/>
      <c r="B54" s="169"/>
      <c r="C54" s="94" t="s">
        <v>922</v>
      </c>
    </row>
    <row r="55" spans="1:3" ht="20.100000000000001" customHeight="1" x14ac:dyDescent="0.25">
      <c r="A55" s="120" t="str">
        <f>"Hospital: "&amp;data!C98</f>
        <v>Hospital: EvergreenHealth Kirkland / King Country Public Hos #2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923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924</v>
      </c>
      <c r="C59" s="176">
        <f>data!C315</f>
        <v>43351923</v>
      </c>
    </row>
    <row r="60" spans="1:3" ht="20.100000000000001" customHeight="1" x14ac:dyDescent="0.25">
      <c r="A60" s="174">
        <v>4</v>
      </c>
      <c r="B60" s="176" t="s">
        <v>925</v>
      </c>
      <c r="C60" s="176">
        <f>data!C316</f>
        <v>73645752</v>
      </c>
    </row>
    <row r="61" spans="1:3" ht="20.100000000000001" customHeight="1" x14ac:dyDescent="0.25">
      <c r="A61" s="174">
        <v>5</v>
      </c>
      <c r="B61" s="176" t="s">
        <v>458</v>
      </c>
      <c r="C61" s="176">
        <f>data!C317</f>
        <v>754385</v>
      </c>
    </row>
    <row r="62" spans="1:3" ht="20.100000000000001" customHeight="1" x14ac:dyDescent="0.25">
      <c r="A62" s="174">
        <v>6</v>
      </c>
      <c r="B62" s="176" t="s">
        <v>926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927</v>
      </c>
      <c r="C63" s="176">
        <f>data!C319</f>
        <v>11986377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31231863</v>
      </c>
    </row>
    <row r="67" spans="1:3" ht="20.100000000000001" customHeight="1" x14ac:dyDescent="0.25">
      <c r="A67" s="174">
        <v>11</v>
      </c>
      <c r="B67" s="176" t="s">
        <v>928</v>
      </c>
      <c r="C67" s="176">
        <f>data!C323</f>
        <v>12828021</v>
      </c>
    </row>
    <row r="68" spans="1:3" ht="20.100000000000001" customHeight="1" x14ac:dyDescent="0.25">
      <c r="A68" s="174">
        <v>12</v>
      </c>
      <c r="B68" s="176" t="s">
        <v>929</v>
      </c>
      <c r="C68" s="176">
        <f>data!D324</f>
        <v>173798321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930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931</v>
      </c>
      <c r="C72" s="176">
        <f>data!C327</f>
        <v>23425935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105507</v>
      </c>
    </row>
    <row r="74" spans="1:3" ht="20.100000000000001" customHeight="1" x14ac:dyDescent="0.25">
      <c r="A74" s="174">
        <v>18</v>
      </c>
      <c r="B74" s="176" t="s">
        <v>932</v>
      </c>
      <c r="C74" s="176">
        <f>data!D329</f>
        <v>23531442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933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934</v>
      </c>
      <c r="C80" s="176">
        <f>data!C334</f>
        <v>243841375</v>
      </c>
    </row>
    <row r="81" spans="1:3" ht="20.100000000000001" customHeight="1" x14ac:dyDescent="0.25">
      <c r="A81" s="174">
        <v>25</v>
      </c>
      <c r="B81" s="176" t="s">
        <v>476</v>
      </c>
      <c r="C81" s="176">
        <f>data!C335</f>
        <v>285832310</v>
      </c>
    </row>
    <row r="82" spans="1:3" ht="20.100000000000001" customHeight="1" x14ac:dyDescent="0.25">
      <c r="A82" s="174">
        <v>26</v>
      </c>
      <c r="B82" s="176" t="s">
        <v>935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23706828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553380513</v>
      </c>
    </row>
    <row r="86" spans="1:3" ht="20.100000000000001" customHeight="1" x14ac:dyDescent="0.25">
      <c r="A86" s="174">
        <v>30</v>
      </c>
      <c r="B86" s="176" t="s">
        <v>936</v>
      </c>
      <c r="C86" s="176">
        <f>data!D340</f>
        <v>12828021</v>
      </c>
    </row>
    <row r="87" spans="1:3" ht="20.100000000000001" customHeight="1" x14ac:dyDescent="0.25">
      <c r="A87" s="174">
        <v>31</v>
      </c>
      <c r="B87" s="176" t="s">
        <v>937</v>
      </c>
      <c r="C87" s="176">
        <f>data!D341</f>
        <v>540552492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938</v>
      </c>
      <c r="C89" s="176">
        <f>data!C343</f>
        <v>298393837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939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940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941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942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943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944</v>
      </c>
      <c r="C102" s="176">
        <f>data!C343+data!C345+data!C346+data!C347+data!C348-data!C349</f>
        <v>298393837</v>
      </c>
    </row>
    <row r="103" spans="1:3" ht="20.100000000000001" customHeight="1" x14ac:dyDescent="0.25">
      <c r="A103" s="174">
        <v>47</v>
      </c>
      <c r="B103" s="176" t="s">
        <v>945</v>
      </c>
      <c r="C103" s="176">
        <f>data!D352</f>
        <v>1036276092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946</v>
      </c>
      <c r="B106" s="169"/>
      <c r="C106" s="169"/>
    </row>
    <row r="107" spans="1:3" ht="20.100000000000001" customHeight="1" x14ac:dyDescent="0.25">
      <c r="A107" s="170"/>
      <c r="C107" s="94" t="s">
        <v>947</v>
      </c>
    </row>
    <row r="108" spans="1:3" ht="20.100000000000001" customHeight="1" x14ac:dyDescent="0.25">
      <c r="A108" s="120" t="str">
        <f>"Hospital: "&amp;data!C98</f>
        <v>Hospital: EvergreenHealth Kirkland / King Country Public Hos #2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948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1093161745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1659035242</v>
      </c>
    </row>
    <row r="113" spans="1:3" ht="20.100000000000001" customHeight="1" x14ac:dyDescent="0.25">
      <c r="A113" s="174">
        <v>4</v>
      </c>
      <c r="B113" s="176" t="s">
        <v>949</v>
      </c>
      <c r="C113" s="176">
        <f>data!D360</f>
        <v>2752196987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950</v>
      </c>
      <c r="C115" s="175"/>
    </row>
    <row r="116" spans="1:3" ht="20.100000000000001" customHeight="1" x14ac:dyDescent="0.25">
      <c r="A116" s="174">
        <v>7</v>
      </c>
      <c r="B116" s="188" t="s">
        <v>951</v>
      </c>
      <c r="C116" s="189">
        <f>data!C362</f>
        <v>28960010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1728281468</v>
      </c>
    </row>
    <row r="118" spans="1:3" ht="20.100000000000001" customHeight="1" x14ac:dyDescent="0.25">
      <c r="A118" s="174">
        <v>9</v>
      </c>
      <c r="B118" s="176" t="s">
        <v>952</v>
      </c>
      <c r="C118" s="189">
        <f>data!C364</f>
        <v>13726070</v>
      </c>
    </row>
    <row r="119" spans="1:3" ht="20.100000000000001" customHeight="1" x14ac:dyDescent="0.25">
      <c r="A119" s="174">
        <v>10</v>
      </c>
      <c r="B119" s="176" t="s">
        <v>953</v>
      </c>
      <c r="C119" s="189">
        <f>data!C365</f>
        <v>22486135</v>
      </c>
    </row>
    <row r="120" spans="1:3" ht="20.100000000000001" customHeight="1" x14ac:dyDescent="0.25">
      <c r="A120" s="174">
        <v>11</v>
      </c>
      <c r="B120" s="176" t="s">
        <v>897</v>
      </c>
      <c r="C120" s="189">
        <f>data!D366</f>
        <v>1793453683</v>
      </c>
    </row>
    <row r="121" spans="1:3" ht="20.100000000000001" customHeight="1" x14ac:dyDescent="0.25">
      <c r="A121" s="174">
        <v>12</v>
      </c>
      <c r="B121" s="176" t="s">
        <v>954</v>
      </c>
      <c r="C121" s="189">
        <f>data!D367</f>
        <v>958743304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955</v>
      </c>
      <c r="B125" s="192" t="s">
        <v>502</v>
      </c>
      <c r="C125" s="191">
        <f>data!C370</f>
        <v>8337002</v>
      </c>
    </row>
    <row r="126" spans="1:3" ht="20.100000000000001" customHeight="1" x14ac:dyDescent="0.25">
      <c r="A126" s="195" t="s">
        <v>956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957</v>
      </c>
      <c r="B127" s="192" t="s">
        <v>504</v>
      </c>
      <c r="C127" s="191">
        <f>data!C372</f>
        <v>-1267872</v>
      </c>
    </row>
    <row r="128" spans="1:3" ht="20.100000000000001" customHeight="1" x14ac:dyDescent="0.25">
      <c r="A128" s="195" t="s">
        <v>958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959</v>
      </c>
      <c r="B129" s="192" t="s">
        <v>506</v>
      </c>
      <c r="C129" s="191">
        <f>data!C374</f>
        <v>16723991</v>
      </c>
    </row>
    <row r="130" spans="1:3" ht="20.100000000000001" customHeight="1" x14ac:dyDescent="0.25">
      <c r="A130" s="195" t="s">
        <v>960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961</v>
      </c>
      <c r="B131" s="192" t="s">
        <v>508</v>
      </c>
      <c r="C131" s="191">
        <f>data!C376</f>
        <v>5069991</v>
      </c>
    </row>
    <row r="132" spans="1:3" ht="20.100000000000001" customHeight="1" x14ac:dyDescent="0.25">
      <c r="A132" s="195" t="s">
        <v>962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963</v>
      </c>
      <c r="B133" s="192" t="s">
        <v>510</v>
      </c>
      <c r="C133" s="191">
        <f>data!C378</f>
        <v>4920451</v>
      </c>
    </row>
    <row r="134" spans="1:3" ht="20.100000000000001" customHeight="1" x14ac:dyDescent="0.25">
      <c r="A134" s="195" t="s">
        <v>964</v>
      </c>
      <c r="B134" s="192" t="s">
        <v>511</v>
      </c>
      <c r="C134" s="191">
        <f>data!C379</f>
        <v>2228905</v>
      </c>
    </row>
    <row r="135" spans="1:3" ht="20.100000000000001" customHeight="1" x14ac:dyDescent="0.25">
      <c r="A135" s="195" t="s">
        <v>965</v>
      </c>
      <c r="B135" s="192" t="s">
        <v>512</v>
      </c>
      <c r="C135" s="191">
        <f>data!C380</f>
        <v>26982860.710000001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966</v>
      </c>
      <c r="C137" s="189">
        <f>data!D383</f>
        <v>84146356.159999996</v>
      </c>
    </row>
    <row r="138" spans="1:3" ht="20.100000000000001" customHeight="1" x14ac:dyDescent="0.25">
      <c r="A138" s="174">
        <v>18</v>
      </c>
      <c r="B138" s="176" t="s">
        <v>967</v>
      </c>
      <c r="C138" s="189">
        <f>data!D384</f>
        <v>1042889660.16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968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576513352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135042797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23749959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141511448</v>
      </c>
    </row>
    <row r="145" spans="1:3" ht="20.100000000000001" customHeight="1" x14ac:dyDescent="0.25">
      <c r="A145" s="174">
        <v>25</v>
      </c>
      <c r="B145" s="176" t="s">
        <v>969</v>
      </c>
      <c r="C145" s="189">
        <f>data!C393</f>
        <v>8525619</v>
      </c>
    </row>
    <row r="146" spans="1:3" ht="20.100000000000001" customHeight="1" x14ac:dyDescent="0.25">
      <c r="A146" s="174">
        <v>26</v>
      </c>
      <c r="B146" s="176" t="s">
        <v>970</v>
      </c>
      <c r="C146" s="189">
        <f>data!C394</f>
        <v>75464186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61695123</v>
      </c>
    </row>
    <row r="148" spans="1:3" ht="20.100000000000001" customHeight="1" x14ac:dyDescent="0.25">
      <c r="A148" s="174">
        <v>28</v>
      </c>
      <c r="B148" s="176" t="s">
        <v>971</v>
      </c>
      <c r="C148" s="189">
        <f>data!C396</f>
        <v>0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972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17887782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973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974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975</v>
      </c>
      <c r="B155" s="193" t="s">
        <v>976</v>
      </c>
      <c r="C155" s="189">
        <f>data!C403</f>
        <v>0</v>
      </c>
    </row>
    <row r="156" spans="1:3" ht="20.100000000000001" customHeight="1" x14ac:dyDescent="0.25">
      <c r="A156" s="195" t="s">
        <v>977</v>
      </c>
      <c r="B156" s="193" t="s">
        <v>272</v>
      </c>
      <c r="C156" s="189">
        <f>data!C404</f>
        <v>5816979.1400000006</v>
      </c>
    </row>
    <row r="157" spans="1:3" ht="20.100000000000001" customHeight="1" x14ac:dyDescent="0.25">
      <c r="A157" s="195" t="s">
        <v>978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979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980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981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982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983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984</v>
      </c>
      <c r="B163" s="193" t="s">
        <v>279</v>
      </c>
      <c r="C163" s="189">
        <f>data!C411</f>
        <v>1539988.5499999998</v>
      </c>
    </row>
    <row r="164" spans="1:3" ht="20.100000000000001" customHeight="1" x14ac:dyDescent="0.25">
      <c r="A164" s="195" t="s">
        <v>985</v>
      </c>
      <c r="B164" s="193" t="s">
        <v>280</v>
      </c>
      <c r="C164" s="189">
        <f>data!C412</f>
        <v>8131154.7199999997</v>
      </c>
    </row>
    <row r="165" spans="1:3" ht="20.100000000000001" customHeight="1" x14ac:dyDescent="0.25">
      <c r="A165" s="195" t="s">
        <v>986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987</v>
      </c>
      <c r="B166" s="193" t="s">
        <v>988</v>
      </c>
      <c r="C166" s="189">
        <f>data!C414</f>
        <v>12593802.199999999</v>
      </c>
    </row>
    <row r="167" spans="1:3" ht="20.100000000000001" customHeight="1" x14ac:dyDescent="0.25">
      <c r="A167" s="174">
        <v>34</v>
      </c>
      <c r="B167" s="176" t="s">
        <v>989</v>
      </c>
      <c r="C167" s="189">
        <f>data!D416</f>
        <v>1068472190.61</v>
      </c>
    </row>
    <row r="168" spans="1:3" ht="20.100000000000001" customHeight="1" x14ac:dyDescent="0.25">
      <c r="A168" s="174">
        <v>35</v>
      </c>
      <c r="B168" s="176" t="s">
        <v>990</v>
      </c>
      <c r="C168" s="189">
        <f>data!D417</f>
        <v>-25582530.450000048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991</v>
      </c>
      <c r="C170" s="189">
        <f>data!D420</f>
        <v>26792866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992</v>
      </c>
      <c r="C172" s="176">
        <f>data!D421</f>
        <v>1210335.5499999523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993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994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995</v>
      </c>
      <c r="C177" s="189">
        <f>data!D424</f>
        <v>1210335.5499999523</v>
      </c>
    </row>
    <row r="178" spans="1:3" ht="20.100000000000001" customHeight="1" x14ac:dyDescent="0.25">
      <c r="A178" s="179">
        <v>45</v>
      </c>
      <c r="B178" s="178" t="s">
        <v>996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 r:id="rId1"/>
  <headerFooter alignWithMargins="0"/>
  <rowBreaks count="3" manualBreakCount="3">
    <brk id="52" max="1048575" man="1"/>
    <brk id="104" max="1048575" man="1"/>
    <brk id="151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265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997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998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EvergreenHealth Kirkland / King Country Public Hos #2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999</v>
      </c>
      <c r="C6" s="243" t="s">
        <v>117</v>
      </c>
      <c r="D6" s="244" t="s">
        <v>1000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1001</v>
      </c>
      <c r="E7" s="244" t="s">
        <v>189</v>
      </c>
      <c r="F7" s="244" t="s">
        <v>1002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1003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5492</v>
      </c>
      <c r="D9" s="238">
        <f>data!D59</f>
        <v>10477</v>
      </c>
      <c r="E9" s="238">
        <f>data!E59</f>
        <v>49862</v>
      </c>
      <c r="F9" s="238">
        <f>data!F59</f>
        <v>0</v>
      </c>
      <c r="G9" s="238">
        <f>data!G59</f>
        <v>3878</v>
      </c>
      <c r="H9" s="238">
        <f>data!H59</f>
        <v>0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124.56120287407323</v>
      </c>
      <c r="D10" s="245">
        <f>data!D60</f>
        <v>73.260331682554224</v>
      </c>
      <c r="E10" s="245">
        <f>data!E60</f>
        <v>352.83531331405834</v>
      </c>
      <c r="F10" s="245">
        <f>data!F60</f>
        <v>0</v>
      </c>
      <c r="G10" s="245">
        <f>data!G60</f>
        <v>20.427413429517454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17584554.830000002</v>
      </c>
      <c r="D11" s="238">
        <f>data!D61</f>
        <v>8974198.0500000007</v>
      </c>
      <c r="E11" s="238">
        <f>data!E61</f>
        <v>40426700.999999993</v>
      </c>
      <c r="F11" s="238">
        <f>data!F61</f>
        <v>0</v>
      </c>
      <c r="G11" s="238">
        <f>data!G61</f>
        <v>2661993.4700000002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4063797</v>
      </c>
      <c r="D12" s="238">
        <f>data!D62</f>
        <v>2173035</v>
      </c>
      <c r="E12" s="238">
        <f>data!E62</f>
        <v>7927686</v>
      </c>
      <c r="F12" s="238">
        <f>data!F62</f>
        <v>0</v>
      </c>
      <c r="G12" s="238">
        <f>data!G62</f>
        <v>589298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772267.48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1465169.2300000004</v>
      </c>
      <c r="D14" s="238">
        <f>data!D64</f>
        <v>752105.27999999991</v>
      </c>
      <c r="E14" s="238">
        <f>data!E64</f>
        <v>3070561.9700000007</v>
      </c>
      <c r="F14" s="238">
        <f>data!F64</f>
        <v>0</v>
      </c>
      <c r="G14" s="238">
        <f>data!G64</f>
        <v>97123.510000000009</v>
      </c>
      <c r="H14" s="238">
        <f>data!H64</f>
        <v>0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5447.32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588337.32000000007</v>
      </c>
      <c r="D16" s="238">
        <f>data!D66</f>
        <v>384175.57</v>
      </c>
      <c r="E16" s="238">
        <f>data!E66</f>
        <v>1197941.8700000001</v>
      </c>
      <c r="F16" s="238">
        <f>data!F66</f>
        <v>0</v>
      </c>
      <c r="G16" s="238">
        <f>data!G66</f>
        <v>57634.889999999992</v>
      </c>
      <c r="H16" s="238">
        <f>data!H66</f>
        <v>0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2664691</v>
      </c>
      <c r="D17" s="238">
        <f>data!D67</f>
        <v>1378994</v>
      </c>
      <c r="E17" s="238">
        <f>data!E67</f>
        <v>2088319</v>
      </c>
      <c r="F17" s="238">
        <f>data!F67</f>
        <v>0</v>
      </c>
      <c r="G17" s="238">
        <f>data!G67</f>
        <v>70614</v>
      </c>
      <c r="H17" s="238">
        <f>data!H67</f>
        <v>0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1004</v>
      </c>
      <c r="C18" s="238">
        <f>data!C68</f>
        <v>1622.03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1005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0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-27123.740000000005</v>
      </c>
      <c r="D20" s="238">
        <f>-data!D84</f>
        <v>-209</v>
      </c>
      <c r="E20" s="238">
        <f>-data!E84</f>
        <v>-7340.81</v>
      </c>
      <c r="F20" s="238">
        <f>-data!F84</f>
        <v>0</v>
      </c>
      <c r="G20" s="238">
        <f>-data!G84</f>
        <v>-18468.5</v>
      </c>
      <c r="H20" s="238">
        <f>-data!H84</f>
        <v>0</v>
      </c>
      <c r="I20" s="238">
        <f>-data!I84</f>
        <v>-1000</v>
      </c>
    </row>
    <row r="21" spans="1:9" ht="20.100000000000001" customHeight="1" x14ac:dyDescent="0.2">
      <c r="A21" s="230">
        <v>16</v>
      </c>
      <c r="B21" s="246" t="s">
        <v>1006</v>
      </c>
      <c r="C21" s="238">
        <f>data!C85</f>
        <v>27118762.470000006</v>
      </c>
      <c r="D21" s="238">
        <f>data!D85</f>
        <v>13662298.9</v>
      </c>
      <c r="E21" s="238">
        <f>data!E85</f>
        <v>54703869.029999986</v>
      </c>
      <c r="F21" s="238">
        <f>data!F85</f>
        <v>0</v>
      </c>
      <c r="G21" s="238">
        <f>data!G85</f>
        <v>3458195.3700000006</v>
      </c>
      <c r="H21" s="238">
        <f>data!H85</f>
        <v>0</v>
      </c>
      <c r="I21" s="238">
        <f>data!I85</f>
        <v>-1000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1007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1008</v>
      </c>
      <c r="C24" s="238">
        <f>data!C87</f>
        <v>88549542.219999999</v>
      </c>
      <c r="D24" s="238">
        <f>data!D87</f>
        <v>58029997.840000004</v>
      </c>
      <c r="E24" s="238">
        <f>data!E87</f>
        <v>198464447.05000001</v>
      </c>
      <c r="F24" s="238">
        <f>data!F87</f>
        <v>0</v>
      </c>
      <c r="G24" s="238">
        <f>data!G87</f>
        <v>18212270.600000001</v>
      </c>
      <c r="H24" s="238">
        <f>data!H87</f>
        <v>0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1009</v>
      </c>
      <c r="C25" s="238">
        <f>data!C88</f>
        <v>3815.11</v>
      </c>
      <c r="D25" s="238">
        <f>data!D88</f>
        <v>746205</v>
      </c>
      <c r="E25" s="238">
        <f>data!E88</f>
        <v>3391706.01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1010</v>
      </c>
      <c r="C26" s="238">
        <f>data!C89</f>
        <v>88553357.329999998</v>
      </c>
      <c r="D26" s="238">
        <f>data!D89</f>
        <v>58776202.840000004</v>
      </c>
      <c r="E26" s="238">
        <f>data!E89</f>
        <v>201856153.06</v>
      </c>
      <c r="F26" s="238">
        <f>data!F89</f>
        <v>0</v>
      </c>
      <c r="G26" s="238">
        <f>data!G89</f>
        <v>18212270.600000001</v>
      </c>
      <c r="H26" s="238">
        <f>data!H89</f>
        <v>0</v>
      </c>
      <c r="I26" s="238">
        <f>data!I89</f>
        <v>0</v>
      </c>
    </row>
    <row r="27" spans="1:9" ht="20.100000000000001" customHeight="1" x14ac:dyDescent="0.2">
      <c r="A27" s="230" t="s">
        <v>1011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1012</v>
      </c>
      <c r="C28" s="238">
        <f>data!C90</f>
        <v>67134</v>
      </c>
      <c r="D28" s="238">
        <f>data!D90</f>
        <v>23629</v>
      </c>
      <c r="E28" s="238">
        <f>data!E90</f>
        <v>109117</v>
      </c>
      <c r="F28" s="238">
        <f>data!F90</f>
        <v>0</v>
      </c>
      <c r="G28" s="238">
        <f>data!G90</f>
        <v>8959</v>
      </c>
      <c r="H28" s="238">
        <f>data!H90</f>
        <v>0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1013</v>
      </c>
      <c r="C29" s="238">
        <f>data!C91</f>
        <v>11125</v>
      </c>
      <c r="D29" s="238">
        <f>data!D91</f>
        <v>30522</v>
      </c>
      <c r="E29" s="238">
        <f>data!E91</f>
        <v>145333</v>
      </c>
      <c r="F29" s="238">
        <f>data!F91</f>
        <v>0</v>
      </c>
      <c r="G29" s="238">
        <f>data!G91</f>
        <v>11339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1014</v>
      </c>
      <c r="C30" s="238">
        <f>data!C92</f>
        <v>8568</v>
      </c>
      <c r="D30" s="238">
        <f>data!D92</f>
        <v>3016</v>
      </c>
      <c r="E30" s="238">
        <f>data!E92</f>
        <v>13926</v>
      </c>
      <c r="F30" s="238">
        <f>data!F92</f>
        <v>0</v>
      </c>
      <c r="G30" s="238">
        <f>data!G92</f>
        <v>1143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1015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95.259859349802966</v>
      </c>
      <c r="D32" s="245">
        <f>data!D94</f>
        <v>49.23097548640731</v>
      </c>
      <c r="E32" s="245">
        <f>data!E94</f>
        <v>235.71845151194191</v>
      </c>
      <c r="F32" s="245">
        <f>data!F94</f>
        <v>0</v>
      </c>
      <c r="G32" s="245">
        <f>data!G94</f>
        <v>12.656847870685789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997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1016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EvergreenHealth Kirkland / King Country Public Hos #2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999</v>
      </c>
      <c r="C38" s="244"/>
      <c r="D38" s="244" t="s">
        <v>125</v>
      </c>
      <c r="E38" s="244" t="s">
        <v>126</v>
      </c>
      <c r="F38" s="244" t="s">
        <v>1017</v>
      </c>
      <c r="G38" s="244" t="s">
        <v>128</v>
      </c>
      <c r="H38" s="244" t="s">
        <v>1018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1003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3603</v>
      </c>
      <c r="G41" s="238">
        <f>data!N59</f>
        <v>0</v>
      </c>
      <c r="H41" s="238">
        <f>data!O59</f>
        <v>4544</v>
      </c>
      <c r="I41" s="238">
        <f>data!P59</f>
        <v>808903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49.629741218904798</v>
      </c>
      <c r="G42" s="245">
        <f>data!N60</f>
        <v>66.85255584499852</v>
      </c>
      <c r="H42" s="245">
        <f>data!O60</f>
        <v>191.2743394498039</v>
      </c>
      <c r="I42" s="245">
        <f>data!P60</f>
        <v>107.68707716676685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6506508.5700000003</v>
      </c>
      <c r="G43" s="238">
        <f>data!N61</f>
        <v>24210346.270000003</v>
      </c>
      <c r="H43" s="238">
        <f>data!O61</f>
        <v>27640233.979999993</v>
      </c>
      <c r="I43" s="238">
        <f>data!P61</f>
        <v>13411764.359999998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1481195</v>
      </c>
      <c r="G44" s="238">
        <f>data!N62</f>
        <v>4205052</v>
      </c>
      <c r="H44" s="238">
        <f>data!O62</f>
        <v>5673365</v>
      </c>
      <c r="I44" s="238">
        <f>data!P62</f>
        <v>2697327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-1000</v>
      </c>
      <c r="G45" s="238">
        <f>data!N63</f>
        <v>726446.15</v>
      </c>
      <c r="H45" s="238">
        <f>data!O63</f>
        <v>1916160.88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201555.19</v>
      </c>
      <c r="G46" s="238">
        <f>data!N64</f>
        <v>25433.750000000004</v>
      </c>
      <c r="H46" s="238">
        <f>data!O64</f>
        <v>2812014.03</v>
      </c>
      <c r="I46" s="238">
        <f>data!P64</f>
        <v>41886273.820000015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11914.75</v>
      </c>
      <c r="G47" s="238">
        <f>data!N65</f>
        <v>30203.3</v>
      </c>
      <c r="H47" s="238">
        <f>data!O65</f>
        <v>1145.17</v>
      </c>
      <c r="I47" s="238">
        <f>data!P65</f>
        <v>1001.11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148030.32</v>
      </c>
      <c r="G48" s="238">
        <f>data!N66</f>
        <v>103090.89</v>
      </c>
      <c r="H48" s="238">
        <f>data!O66</f>
        <v>343622.67999999993</v>
      </c>
      <c r="I48" s="238">
        <f>data!P66</f>
        <v>2739604.5700000008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242425</v>
      </c>
      <c r="G49" s="238">
        <f>data!N67</f>
        <v>2518</v>
      </c>
      <c r="H49" s="238">
        <f>data!O67</f>
        <v>3540791</v>
      </c>
      <c r="I49" s="238">
        <f>data!P67</f>
        <v>3606309</v>
      </c>
    </row>
    <row r="50" spans="1:11" ht="20.100000000000001" customHeight="1" x14ac:dyDescent="0.2">
      <c r="A50" s="230">
        <v>13</v>
      </c>
      <c r="B50" s="238" t="s">
        <v>1004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33178.050000000003</v>
      </c>
      <c r="G50" s="238">
        <f>data!N68</f>
        <v>0</v>
      </c>
      <c r="H50" s="238">
        <f>data!O68</f>
        <v>1085.47</v>
      </c>
      <c r="I50" s="238">
        <f>data!P68</f>
        <v>53423.03</v>
      </c>
    </row>
    <row r="51" spans="1:11" ht="20.100000000000001" customHeight="1" x14ac:dyDescent="0.2">
      <c r="A51" s="230">
        <v>14</v>
      </c>
      <c r="B51" s="238" t="s">
        <v>1005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13855.21</v>
      </c>
      <c r="G51" s="238">
        <f>data!N69</f>
        <v>43891.91</v>
      </c>
      <c r="H51" s="238">
        <f>data!O69</f>
        <v>381.48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-43202.95</v>
      </c>
      <c r="G52" s="238">
        <f>-data!N84</f>
        <v>-300449.05999999994</v>
      </c>
      <c r="H52" s="238">
        <f>-data!O84</f>
        <v>-61950.520000000004</v>
      </c>
      <c r="I52" s="238">
        <f>-data!P84</f>
        <v>-20480.02</v>
      </c>
    </row>
    <row r="53" spans="1:11" ht="20.100000000000001" customHeight="1" x14ac:dyDescent="0.2">
      <c r="A53" s="230">
        <v>16</v>
      </c>
      <c r="B53" s="246" t="s">
        <v>1006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8594459.1400000043</v>
      </c>
      <c r="G53" s="238">
        <f>data!N85</f>
        <v>29046533.210000005</v>
      </c>
      <c r="H53" s="238">
        <f>data!O85</f>
        <v>41866849.169999987</v>
      </c>
      <c r="I53" s="238">
        <f>data!P85</f>
        <v>64375222.870000012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1007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1008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8738542.9600000009</v>
      </c>
      <c r="G56" s="238">
        <f>data!N87</f>
        <v>24354636.25</v>
      </c>
      <c r="H56" s="238">
        <f>data!O87</f>
        <v>131695910.7</v>
      </c>
      <c r="I56" s="238">
        <f>data!P87</f>
        <v>90707005.430000007</v>
      </c>
    </row>
    <row r="57" spans="1:11" ht="20.100000000000001" customHeight="1" x14ac:dyDescent="0.2">
      <c r="A57" s="230">
        <v>20</v>
      </c>
      <c r="B57" s="246" t="s">
        <v>1009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428566</v>
      </c>
      <c r="G57" s="238">
        <f>data!N88</f>
        <v>1814286.5</v>
      </c>
      <c r="H57" s="238">
        <f>data!O88</f>
        <v>5644572.1600000001</v>
      </c>
      <c r="I57" s="238">
        <f>data!P88</f>
        <v>241168819.47</v>
      </c>
    </row>
    <row r="58" spans="1:11" ht="20.100000000000001" customHeight="1" x14ac:dyDescent="0.2">
      <c r="A58" s="230">
        <v>21</v>
      </c>
      <c r="B58" s="246" t="s">
        <v>1010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9167108.9600000009</v>
      </c>
      <c r="G58" s="238">
        <f>data!N89</f>
        <v>26168922.75</v>
      </c>
      <c r="H58" s="238">
        <f>data!O89</f>
        <v>137340482.86000001</v>
      </c>
      <c r="I58" s="238">
        <f>data!P89</f>
        <v>331875824.89999998</v>
      </c>
    </row>
    <row r="59" spans="1:11" ht="20.100000000000001" customHeight="1" x14ac:dyDescent="0.2">
      <c r="A59" s="230" t="s">
        <v>1011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1012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20835</v>
      </c>
      <c r="G60" s="238">
        <f>data!N90</f>
        <v>1583</v>
      </c>
      <c r="H60" s="238">
        <f>data!O90</f>
        <v>59054</v>
      </c>
      <c r="I60" s="238">
        <f>data!P90</f>
        <v>73751</v>
      </c>
      <c r="K60" s="249"/>
    </row>
    <row r="61" spans="1:11" ht="20.100000000000001" customHeight="1" x14ac:dyDescent="0.2">
      <c r="A61" s="230">
        <v>23</v>
      </c>
      <c r="B61" s="238" t="s">
        <v>1013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4914</v>
      </c>
      <c r="G61" s="238">
        <f>data!N91</f>
        <v>0</v>
      </c>
      <c r="H61" s="238">
        <f>data!O91</f>
        <v>35179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1014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2659</v>
      </c>
      <c r="G62" s="238">
        <f>data!N92</f>
        <v>202</v>
      </c>
      <c r="H62" s="238">
        <f>data!O92</f>
        <v>7537</v>
      </c>
      <c r="I62" s="238">
        <f>data!P92</f>
        <v>9413</v>
      </c>
    </row>
    <row r="63" spans="1:11" ht="20.100000000000001" customHeight="1" x14ac:dyDescent="0.2">
      <c r="A63" s="230">
        <v>25</v>
      </c>
      <c r="B63" s="238" t="s">
        <v>1015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18.356285747001401</v>
      </c>
      <c r="G64" s="245">
        <f>data!N94</f>
        <v>2.1518859912785429</v>
      </c>
      <c r="H64" s="245">
        <f>data!O94</f>
        <v>137.68271166709607</v>
      </c>
      <c r="I64" s="245">
        <f>data!P94</f>
        <v>50.244434584299469</v>
      </c>
    </row>
    <row r="65" spans="1:9" ht="20.100000000000001" customHeight="1" x14ac:dyDescent="0.2">
      <c r="A65" s="231" t="s">
        <v>997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1019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EvergreenHealth Kirkland / King Country Public Hos #2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999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1020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1003</v>
      </c>
      <c r="C72" s="240" t="s">
        <v>1021</v>
      </c>
      <c r="D72" s="239" t="s">
        <v>1022</v>
      </c>
      <c r="E72" s="250"/>
      <c r="F72" s="250"/>
      <c r="G72" s="239" t="s">
        <v>1023</v>
      </c>
      <c r="H72" s="239" t="s">
        <v>1023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1693248</v>
      </c>
      <c r="D73" s="246">
        <f>data!R59</f>
        <v>1630374</v>
      </c>
      <c r="E73" s="250"/>
      <c r="F73" s="250"/>
      <c r="G73" s="238">
        <f>data!U59</f>
        <v>2277784</v>
      </c>
      <c r="H73" s="238">
        <f>data!V59</f>
        <v>0</v>
      </c>
      <c r="I73" s="238">
        <f>data!W59</f>
        <v>28888.35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64.968916688136346</v>
      </c>
      <c r="D74" s="245">
        <f>data!R60</f>
        <v>7.1764520653823025</v>
      </c>
      <c r="E74" s="245">
        <f>data!S60</f>
        <v>26.869459632248393</v>
      </c>
      <c r="F74" s="245">
        <f>data!T60</f>
        <v>0</v>
      </c>
      <c r="G74" s="245">
        <f>data!U60</f>
        <v>113.47016670006394</v>
      </c>
      <c r="H74" s="245">
        <f>data!V60</f>
        <v>2.6889187873930096</v>
      </c>
      <c r="I74" s="245">
        <f>data!W60</f>
        <v>7.4353619786448348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9653683.0600000005</v>
      </c>
      <c r="D75" s="238">
        <f>data!R61</f>
        <v>670285.16</v>
      </c>
      <c r="E75" s="238">
        <f>data!S61</f>
        <v>2186020.62</v>
      </c>
      <c r="F75" s="238">
        <f>data!T61</f>
        <v>0</v>
      </c>
      <c r="G75" s="238">
        <f>data!U61</f>
        <v>10435776.17</v>
      </c>
      <c r="H75" s="238">
        <f>data!V61</f>
        <v>244541.21000000002</v>
      </c>
      <c r="I75" s="238">
        <f>data!W61</f>
        <v>1453791.54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1788783</v>
      </c>
      <c r="D76" s="238">
        <f>data!R62</f>
        <v>150595</v>
      </c>
      <c r="E76" s="238">
        <f>data!S62</f>
        <v>569575</v>
      </c>
      <c r="F76" s="238">
        <f>data!T62</f>
        <v>0</v>
      </c>
      <c r="G76" s="238">
        <f>data!U62</f>
        <v>2518004</v>
      </c>
      <c r="H76" s="238">
        <f>data!V62</f>
        <v>56071</v>
      </c>
      <c r="I76" s="238">
        <f>data!W62</f>
        <v>134604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750000</v>
      </c>
      <c r="E77" s="238">
        <f>data!S63</f>
        <v>0</v>
      </c>
      <c r="F77" s="238">
        <f>data!T63</f>
        <v>0</v>
      </c>
      <c r="G77" s="238">
        <f>data!U63</f>
        <v>199482.8</v>
      </c>
      <c r="H77" s="238">
        <f>data!V63</f>
        <v>950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425138.75999999995</v>
      </c>
      <c r="D78" s="238">
        <f>data!R64</f>
        <v>553221.07999999996</v>
      </c>
      <c r="E78" s="238">
        <f>data!S64</f>
        <v>828495.58</v>
      </c>
      <c r="F78" s="238">
        <f>data!T64</f>
        <v>0</v>
      </c>
      <c r="G78" s="238">
        <f>data!U64</f>
        <v>9113241.4599999972</v>
      </c>
      <c r="H78" s="238">
        <f>data!V64</f>
        <v>73790.09</v>
      </c>
      <c r="I78" s="238">
        <f>data!W64</f>
        <v>212369.70000000004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8498.3700000000008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62709.94</v>
      </c>
      <c r="D80" s="238">
        <f>data!R66</f>
        <v>76647.25</v>
      </c>
      <c r="E80" s="238">
        <f>data!S66</f>
        <v>208992.76</v>
      </c>
      <c r="F80" s="238">
        <f>data!T66</f>
        <v>0</v>
      </c>
      <c r="G80" s="238">
        <f>data!U66</f>
        <v>11611298.059999999</v>
      </c>
      <c r="H80" s="238">
        <f>data!V66</f>
        <v>0</v>
      </c>
      <c r="I80" s="238">
        <f>data!W66</f>
        <v>292256.59000000003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174809</v>
      </c>
      <c r="D81" s="238">
        <f>data!R67</f>
        <v>131540</v>
      </c>
      <c r="E81" s="238">
        <f>data!S67</f>
        <v>226071</v>
      </c>
      <c r="F81" s="238">
        <f>data!T67</f>
        <v>0</v>
      </c>
      <c r="G81" s="238">
        <f>data!U67</f>
        <v>551515</v>
      </c>
      <c r="H81" s="238">
        <f>data!V67</f>
        <v>4068</v>
      </c>
      <c r="I81" s="238">
        <f>data!W67</f>
        <v>42431</v>
      </c>
    </row>
    <row r="82" spans="1:9" ht="20.100000000000001" customHeight="1" x14ac:dyDescent="0.2">
      <c r="A82" s="230">
        <v>13</v>
      </c>
      <c r="B82" s="238" t="s">
        <v>1004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53530.04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1005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-4051.5599999999995</v>
      </c>
      <c r="D84" s="238">
        <f>-data!R84</f>
        <v>-955</v>
      </c>
      <c r="E84" s="238">
        <f>-data!S84</f>
        <v>-2106.67</v>
      </c>
      <c r="F84" s="238">
        <f>-data!T84</f>
        <v>0</v>
      </c>
      <c r="G84" s="238">
        <f>-data!U84</f>
        <v>-70027.27</v>
      </c>
      <c r="H84" s="238">
        <f>-data!V84</f>
        <v>0</v>
      </c>
      <c r="I84" s="238">
        <f>-data!W84</f>
        <v>-14371</v>
      </c>
    </row>
    <row r="85" spans="1:9" ht="20.100000000000001" customHeight="1" x14ac:dyDescent="0.2">
      <c r="A85" s="230">
        <v>16</v>
      </c>
      <c r="B85" s="246" t="s">
        <v>1006</v>
      </c>
      <c r="C85" s="238">
        <f>data!Q85</f>
        <v>12101072.199999999</v>
      </c>
      <c r="D85" s="238">
        <f>data!R85</f>
        <v>2331333.4900000002</v>
      </c>
      <c r="E85" s="238">
        <f>data!S85</f>
        <v>4017048.29</v>
      </c>
      <c r="F85" s="238">
        <f>data!T85</f>
        <v>0</v>
      </c>
      <c r="G85" s="238">
        <f>data!U85</f>
        <v>34421318.629999995</v>
      </c>
      <c r="H85" s="238">
        <f>data!V85</f>
        <v>379420.30000000005</v>
      </c>
      <c r="I85" s="238">
        <f>data!W85</f>
        <v>2121081.83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1007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1008</v>
      </c>
      <c r="C88" s="238">
        <f>data!Q87</f>
        <v>6251315</v>
      </c>
      <c r="D88" s="238">
        <f>data!R87</f>
        <v>14900718</v>
      </c>
      <c r="E88" s="238">
        <f>data!S87</f>
        <v>0</v>
      </c>
      <c r="F88" s="238">
        <f>data!T87</f>
        <v>0</v>
      </c>
      <c r="G88" s="238">
        <f>data!U87</f>
        <v>114187014.01000001</v>
      </c>
      <c r="H88" s="238">
        <f>data!V87</f>
        <v>2149922</v>
      </c>
      <c r="I88" s="238">
        <f>data!W87</f>
        <v>7936428.5</v>
      </c>
    </row>
    <row r="89" spans="1:9" ht="20.100000000000001" customHeight="1" x14ac:dyDescent="0.2">
      <c r="A89" s="230">
        <v>20</v>
      </c>
      <c r="B89" s="246" t="s">
        <v>1009</v>
      </c>
      <c r="C89" s="238">
        <f>data!Q88</f>
        <v>25020760</v>
      </c>
      <c r="D89" s="238">
        <f>data!R88</f>
        <v>40854464</v>
      </c>
      <c r="E89" s="238">
        <f>data!S88</f>
        <v>0</v>
      </c>
      <c r="F89" s="238">
        <f>data!T88</f>
        <v>0</v>
      </c>
      <c r="G89" s="238">
        <f>data!U88</f>
        <v>131538197.70999999</v>
      </c>
      <c r="H89" s="238">
        <f>data!V88</f>
        <v>642736</v>
      </c>
      <c r="I89" s="238">
        <f>data!W88</f>
        <v>11601791.26</v>
      </c>
    </row>
    <row r="90" spans="1:9" ht="20.100000000000001" customHeight="1" x14ac:dyDescent="0.2">
      <c r="A90" s="230">
        <v>21</v>
      </c>
      <c r="B90" s="246" t="s">
        <v>1010</v>
      </c>
      <c r="C90" s="238">
        <f>data!Q89</f>
        <v>31272075</v>
      </c>
      <c r="D90" s="238">
        <f>data!R89</f>
        <v>55755182</v>
      </c>
      <c r="E90" s="238">
        <f>data!S89</f>
        <v>0</v>
      </c>
      <c r="F90" s="238">
        <f>data!T89</f>
        <v>0</v>
      </c>
      <c r="G90" s="238">
        <f>data!U89</f>
        <v>245725211.72</v>
      </c>
      <c r="H90" s="238">
        <f>data!V89</f>
        <v>2792658</v>
      </c>
      <c r="I90" s="238">
        <f>data!W89</f>
        <v>19538219.759999998</v>
      </c>
    </row>
    <row r="91" spans="1:9" ht="20.100000000000001" customHeight="1" x14ac:dyDescent="0.2">
      <c r="A91" s="230" t="s">
        <v>1011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1012</v>
      </c>
      <c r="C92" s="238">
        <f>data!Q90</f>
        <v>5124</v>
      </c>
      <c r="D92" s="238">
        <f>data!R90</f>
        <v>652</v>
      </c>
      <c r="E92" s="238">
        <f>data!S90</f>
        <v>10155</v>
      </c>
      <c r="F92" s="238">
        <f>data!T90</f>
        <v>0</v>
      </c>
      <c r="G92" s="238">
        <f>data!U90</f>
        <v>15616</v>
      </c>
      <c r="H92" s="238">
        <f>data!V90</f>
        <v>298</v>
      </c>
      <c r="I92" s="238">
        <f>data!W90</f>
        <v>3046</v>
      </c>
    </row>
    <row r="93" spans="1:9" ht="20.100000000000001" customHeight="1" x14ac:dyDescent="0.2">
      <c r="A93" s="230">
        <v>23</v>
      </c>
      <c r="B93" s="238" t="s">
        <v>1013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1014</v>
      </c>
      <c r="C94" s="238">
        <f>data!Q92</f>
        <v>654</v>
      </c>
      <c r="D94" s="238">
        <f>data!R92</f>
        <v>83</v>
      </c>
      <c r="E94" s="238">
        <f>data!S92</f>
        <v>1296</v>
      </c>
      <c r="F94" s="238">
        <f>data!T92</f>
        <v>0</v>
      </c>
      <c r="G94" s="238">
        <f>data!U92</f>
        <v>1993</v>
      </c>
      <c r="H94" s="238">
        <f>data!V92</f>
        <v>38</v>
      </c>
      <c r="I94" s="238">
        <f>data!W92</f>
        <v>389</v>
      </c>
    </row>
    <row r="95" spans="1:9" ht="20.100000000000001" customHeight="1" x14ac:dyDescent="0.2">
      <c r="A95" s="230">
        <v>25</v>
      </c>
      <c r="B95" s="238" t="s">
        <v>1015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51.869669557915628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0.30525100430347618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997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1024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EvergreenHealth Kirkland / King Country Public Hos #2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999</v>
      </c>
      <c r="C102" s="244" t="s">
        <v>1025</v>
      </c>
      <c r="D102" s="244" t="s">
        <v>1026</v>
      </c>
      <c r="E102" s="244" t="s">
        <v>1026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1003</v>
      </c>
      <c r="C104" s="239" t="s">
        <v>250</v>
      </c>
      <c r="D104" s="240" t="s">
        <v>1027</v>
      </c>
      <c r="E104" s="240" t="s">
        <v>1027</v>
      </c>
      <c r="F104" s="240" t="s">
        <v>1027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212013.66</v>
      </c>
      <c r="D105" s="238">
        <f>data!Y59</f>
        <v>410167.25</v>
      </c>
      <c r="E105" s="238">
        <f>data!Z59</f>
        <v>70120.87999999999</v>
      </c>
      <c r="F105" s="238">
        <f>data!AA59</f>
        <v>16790.48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14.872288857718107</v>
      </c>
      <c r="D106" s="245">
        <f>data!Y60</f>
        <v>160.84372942489912</v>
      </c>
      <c r="E106" s="245">
        <f>data!Z60</f>
        <v>23.019327474498802</v>
      </c>
      <c r="F106" s="245">
        <f>data!AA60</f>
        <v>3.3035191175488312</v>
      </c>
      <c r="G106" s="245">
        <f>data!AB60</f>
        <v>67.123841830551825</v>
      </c>
      <c r="H106" s="245">
        <f>data!AC60</f>
        <v>28.722187234611013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3110247.56</v>
      </c>
      <c r="D107" s="238">
        <f>data!Y61</f>
        <v>21882525.079999998</v>
      </c>
      <c r="E107" s="238">
        <f>data!Z61</f>
        <v>5349401.2600000007</v>
      </c>
      <c r="F107" s="238">
        <f>data!AA61</f>
        <v>511227.86</v>
      </c>
      <c r="G107" s="238">
        <f>data!AB61</f>
        <v>9359675.7899999991</v>
      </c>
      <c r="H107" s="238">
        <f>data!AC61</f>
        <v>4043016.3899999997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215305</v>
      </c>
      <c r="D108" s="238">
        <f>data!Y62</f>
        <v>4280645</v>
      </c>
      <c r="E108" s="238">
        <f>data!Z62</f>
        <v>956818</v>
      </c>
      <c r="F108" s="238">
        <f>data!AA62</f>
        <v>90471</v>
      </c>
      <c r="G108" s="238">
        <f>data!AB62</f>
        <v>2018629</v>
      </c>
      <c r="H108" s="238">
        <f>data!AC62</f>
        <v>802226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108971.13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728983.38</v>
      </c>
      <c r="D110" s="238">
        <f>data!Y64</f>
        <v>8828507.9899999984</v>
      </c>
      <c r="E110" s="238">
        <f>data!Z64</f>
        <v>374201.98</v>
      </c>
      <c r="F110" s="238">
        <f>data!AA64</f>
        <v>559720.20999999985</v>
      </c>
      <c r="G110" s="238">
        <f>data!AB64</f>
        <v>22326466.059999999</v>
      </c>
      <c r="H110" s="238">
        <f>data!AC64</f>
        <v>330836.46000000002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14784.05</v>
      </c>
      <c r="E111" s="238">
        <f>data!Z65</f>
        <v>2305.81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571250.1</v>
      </c>
      <c r="D112" s="238">
        <f>data!Y66</f>
        <v>6382731.2700000014</v>
      </c>
      <c r="E112" s="238">
        <f>data!Z66</f>
        <v>1084203.8099999998</v>
      </c>
      <c r="F112" s="238">
        <f>data!AA66</f>
        <v>109681.47</v>
      </c>
      <c r="G112" s="238">
        <f>data!AB66</f>
        <v>308158.99</v>
      </c>
      <c r="H112" s="238">
        <f>data!AC66</f>
        <v>87049.76999999999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141581</v>
      </c>
      <c r="D113" s="238">
        <f>data!Y67</f>
        <v>3009530</v>
      </c>
      <c r="E113" s="238">
        <f>data!Z67</f>
        <v>1102833</v>
      </c>
      <c r="F113" s="238">
        <f>data!AA67</f>
        <v>171632</v>
      </c>
      <c r="G113" s="238">
        <f>data!AB67</f>
        <v>609579</v>
      </c>
      <c r="H113" s="238">
        <f>data!AC67</f>
        <v>30073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1004</v>
      </c>
      <c r="C114" s="238">
        <f>data!X68</f>
        <v>0</v>
      </c>
      <c r="D114" s="238">
        <f>data!Y68</f>
        <v>94785.38</v>
      </c>
      <c r="E114" s="238">
        <f>data!Z68</f>
        <v>0</v>
      </c>
      <c r="F114" s="238">
        <f>data!AA68</f>
        <v>0</v>
      </c>
      <c r="G114" s="238">
        <f>data!AB68</f>
        <v>287684.81</v>
      </c>
      <c r="H114" s="238">
        <f>data!AC68</f>
        <v>24410.1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1005</v>
      </c>
      <c r="C115" s="238">
        <f>data!X69</f>
        <v>0</v>
      </c>
      <c r="D115" s="238">
        <f>data!Y69</f>
        <v>22330.5</v>
      </c>
      <c r="E115" s="238">
        <f>data!Z69</f>
        <v>0</v>
      </c>
      <c r="F115" s="238">
        <f>data!AA69</f>
        <v>0</v>
      </c>
      <c r="G115" s="238">
        <f>data!AB69</f>
        <v>0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-2864.85</v>
      </c>
      <c r="D116" s="238">
        <f>-data!Y84</f>
        <v>-57220.599999999991</v>
      </c>
      <c r="E116" s="238">
        <f>-data!Z84</f>
        <v>-29895.870000000003</v>
      </c>
      <c r="F116" s="238">
        <f>-data!AA84</f>
        <v>-523</v>
      </c>
      <c r="G116" s="238">
        <f>-data!AB84</f>
        <v>-23554.170000000002</v>
      </c>
      <c r="H116" s="238">
        <f>-data!AC84</f>
        <v>-3851.44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1006</v>
      </c>
      <c r="C117" s="238">
        <f>data!X85</f>
        <v>4764502.1900000004</v>
      </c>
      <c r="D117" s="238">
        <f>data!Y85</f>
        <v>44567589.799999997</v>
      </c>
      <c r="E117" s="238">
        <f>data!Z85</f>
        <v>8839867.9900000002</v>
      </c>
      <c r="F117" s="238">
        <f>data!AA85</f>
        <v>1442209.5399999998</v>
      </c>
      <c r="G117" s="238">
        <f>data!AB85</f>
        <v>34886639.479999997</v>
      </c>
      <c r="H117" s="238">
        <f>data!AC85</f>
        <v>5313760.2799999984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1007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1008</v>
      </c>
      <c r="C120" s="238">
        <f>data!X87</f>
        <v>41214426.869999997</v>
      </c>
      <c r="D120" s="238">
        <f>data!Y87</f>
        <v>66620140.289999999</v>
      </c>
      <c r="E120" s="238">
        <f>data!Z87</f>
        <v>1118300</v>
      </c>
      <c r="F120" s="238">
        <f>data!AA87</f>
        <v>1886014</v>
      </c>
      <c r="G120" s="238">
        <f>data!AB87</f>
        <v>82986628.909999996</v>
      </c>
      <c r="H120" s="238">
        <f>data!AC87</f>
        <v>13181590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1009</v>
      </c>
      <c r="C121" s="238">
        <f>data!X88</f>
        <v>64308185.049999997</v>
      </c>
      <c r="D121" s="238">
        <f>data!Y88</f>
        <v>160505076.19</v>
      </c>
      <c r="E121" s="238">
        <f>data!Z88</f>
        <v>47905269</v>
      </c>
      <c r="F121" s="238">
        <f>data!AA88</f>
        <v>5462183</v>
      </c>
      <c r="G121" s="238">
        <f>data!AB88</f>
        <v>108334190.14</v>
      </c>
      <c r="H121" s="238">
        <f>data!AC88</f>
        <v>332211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1010</v>
      </c>
      <c r="C122" s="238">
        <f>data!X89</f>
        <v>105522611.91999999</v>
      </c>
      <c r="D122" s="238">
        <f>data!Y89</f>
        <v>227125216.47999999</v>
      </c>
      <c r="E122" s="238">
        <f>data!Z89</f>
        <v>49023569</v>
      </c>
      <c r="F122" s="238">
        <f>data!AA89</f>
        <v>7348197</v>
      </c>
      <c r="G122" s="238">
        <f>data!AB89</f>
        <v>191320819.05000001</v>
      </c>
      <c r="H122" s="238">
        <f>data!AC89</f>
        <v>13513801</v>
      </c>
      <c r="I122" s="238">
        <f>data!AD89</f>
        <v>0</v>
      </c>
    </row>
    <row r="123" spans="1:9" ht="20.100000000000001" customHeight="1" x14ac:dyDescent="0.2">
      <c r="A123" s="230" t="s">
        <v>1011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1012</v>
      </c>
      <c r="C124" s="238">
        <f>data!X90</f>
        <v>3173</v>
      </c>
      <c r="D124" s="238">
        <f>data!Y90</f>
        <v>50079</v>
      </c>
      <c r="E124" s="238">
        <f>data!Z90</f>
        <v>16493</v>
      </c>
      <c r="F124" s="238">
        <f>data!AA90</f>
        <v>1133</v>
      </c>
      <c r="G124" s="238">
        <f>data!AB90</f>
        <v>10551</v>
      </c>
      <c r="H124" s="238">
        <f>data!AC90</f>
        <v>2469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1013</v>
      </c>
      <c r="C125" s="238">
        <f>data!X91</f>
        <v>0</v>
      </c>
      <c r="D125" s="238">
        <f>data!Y91</f>
        <v>23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1014</v>
      </c>
      <c r="C126" s="238">
        <f>data!X92</f>
        <v>405</v>
      </c>
      <c r="D126" s="238">
        <f>data!Y92</f>
        <v>6392</v>
      </c>
      <c r="E126" s="238">
        <f>data!Z92</f>
        <v>2105</v>
      </c>
      <c r="F126" s="238">
        <f>data!AA92</f>
        <v>145</v>
      </c>
      <c r="G126" s="238">
        <f>data!AB92</f>
        <v>1347</v>
      </c>
      <c r="H126" s="238">
        <f>data!AC92</f>
        <v>315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1015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33.32501264325041</v>
      </c>
      <c r="E128" s="245">
        <f>data!Z94</f>
        <v>4.3683002700407449</v>
      </c>
      <c r="F128" s="245">
        <f>data!AA94</f>
        <v>0</v>
      </c>
      <c r="G128" s="245">
        <f>data!AB94</f>
        <v>0</v>
      </c>
      <c r="H128" s="245">
        <f>data!AC94</f>
        <v>9.54207578316587E-4</v>
      </c>
      <c r="I128" s="245">
        <f>data!AD94</f>
        <v>0</v>
      </c>
    </row>
    <row r="129" spans="1:14" ht="20.100000000000001" customHeight="1" x14ac:dyDescent="0.2">
      <c r="A129" s="231" t="s">
        <v>997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1028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EvergreenHealth Kirkland / King Country Public Hos #2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999</v>
      </c>
      <c r="C134" s="244" t="s">
        <v>121</v>
      </c>
      <c r="D134" s="244" t="s">
        <v>122</v>
      </c>
      <c r="E134" s="244" t="s">
        <v>144</v>
      </c>
      <c r="F134" s="244"/>
      <c r="G134" s="244" t="s">
        <v>1029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1003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1030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13636</v>
      </c>
      <c r="D137" s="238">
        <f>data!AF59</f>
        <v>0</v>
      </c>
      <c r="E137" s="238">
        <f>data!AG59</f>
        <v>122728</v>
      </c>
      <c r="F137" s="238">
        <f>data!AH59</f>
        <v>0</v>
      </c>
      <c r="G137" s="238">
        <f>data!AI59</f>
        <v>0</v>
      </c>
      <c r="H137" s="238">
        <f>data!AJ59</f>
        <v>287736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70.28130993616351</v>
      </c>
      <c r="D138" s="245">
        <f>data!AF60</f>
        <v>0</v>
      </c>
      <c r="E138" s="245">
        <f>data!AG60</f>
        <v>114.02542486092425</v>
      </c>
      <c r="F138" s="245">
        <f>data!AH60</f>
        <v>0</v>
      </c>
      <c r="G138" s="245">
        <f>data!AI60</f>
        <v>0</v>
      </c>
      <c r="H138" s="245">
        <f>data!AJ60</f>
        <v>529.81270336549005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7403322.6599999992</v>
      </c>
      <c r="D139" s="238">
        <f>data!AF61</f>
        <v>0</v>
      </c>
      <c r="E139" s="238">
        <f>data!AG61</f>
        <v>14464304.549999999</v>
      </c>
      <c r="F139" s="238">
        <f>data!AH61</f>
        <v>0</v>
      </c>
      <c r="G139" s="238">
        <f>data!AI61</f>
        <v>0</v>
      </c>
      <c r="H139" s="238">
        <f>data!AJ61</f>
        <v>99732952.279999986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1774963</v>
      </c>
      <c r="D140" s="238">
        <f>data!AF62</f>
        <v>0</v>
      </c>
      <c r="E140" s="238">
        <f>data!AG62</f>
        <v>3029548</v>
      </c>
      <c r="F140" s="238">
        <f>data!AH62</f>
        <v>0</v>
      </c>
      <c r="G140" s="238">
        <f>data!AI62</f>
        <v>0</v>
      </c>
      <c r="H140" s="238">
        <f>data!AJ62</f>
        <v>17621748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312506.18</v>
      </c>
      <c r="F141" s="238">
        <f>data!AH63</f>
        <v>0</v>
      </c>
      <c r="G141" s="238">
        <f>data!AI63</f>
        <v>0</v>
      </c>
      <c r="H141" s="238">
        <f>data!AJ63</f>
        <v>1148435.8800000001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236434.02</v>
      </c>
      <c r="D142" s="238">
        <f>data!AF64</f>
        <v>0</v>
      </c>
      <c r="E142" s="238">
        <f>data!AG64</f>
        <v>1792989.4800000002</v>
      </c>
      <c r="F142" s="238">
        <f>data!AH64</f>
        <v>0</v>
      </c>
      <c r="G142" s="238">
        <f>data!AI64</f>
        <v>0</v>
      </c>
      <c r="H142" s="238">
        <f>data!AJ64</f>
        <v>7409966.3200000012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6074.45</v>
      </c>
      <c r="D143" s="238">
        <f>data!AF65</f>
        <v>0</v>
      </c>
      <c r="E143" s="238">
        <f>data!AG65</f>
        <v>1064.9100000000001</v>
      </c>
      <c r="F143" s="238">
        <f>data!AH65</f>
        <v>0</v>
      </c>
      <c r="G143" s="238">
        <f>data!AI65</f>
        <v>0</v>
      </c>
      <c r="H143" s="238">
        <f>data!AJ65</f>
        <v>163258.13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1818913.3299999998</v>
      </c>
      <c r="D144" s="238">
        <f>data!AF66</f>
        <v>0</v>
      </c>
      <c r="E144" s="238">
        <f>data!AG66</f>
        <v>361422.91</v>
      </c>
      <c r="F144" s="238">
        <f>data!AH66</f>
        <v>0</v>
      </c>
      <c r="G144" s="238">
        <f>data!AI66</f>
        <v>0</v>
      </c>
      <c r="H144" s="238">
        <f>data!AJ66</f>
        <v>1206476.9099999999</v>
      </c>
      <c r="I144" s="238">
        <f>data!AK66</f>
        <v>756.32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270375</v>
      </c>
      <c r="D145" s="238">
        <f>data!AF67</f>
        <v>0</v>
      </c>
      <c r="E145" s="238">
        <f>data!AG67</f>
        <v>1728167</v>
      </c>
      <c r="F145" s="238">
        <f>data!AH67</f>
        <v>0</v>
      </c>
      <c r="G145" s="238">
        <f>data!AI67</f>
        <v>0</v>
      </c>
      <c r="H145" s="238">
        <f>data!AJ67</f>
        <v>3045720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1004</v>
      </c>
      <c r="C146" s="238">
        <f>data!AE68</f>
        <v>35802.449999999997</v>
      </c>
      <c r="D146" s="238">
        <f>data!AF68</f>
        <v>0</v>
      </c>
      <c r="E146" s="238">
        <f>data!AG68</f>
        <v>63320.73</v>
      </c>
      <c r="F146" s="238">
        <f>data!AH68</f>
        <v>0</v>
      </c>
      <c r="G146" s="238">
        <f>data!AI68</f>
        <v>0</v>
      </c>
      <c r="H146" s="238">
        <f>data!AJ68</f>
        <v>244821.26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1005</v>
      </c>
      <c r="C147" s="238">
        <f>data!AE69</f>
        <v>27632.89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815710.08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-28277.019999999997</v>
      </c>
      <c r="D148" s="238">
        <f>-data!AF84</f>
        <v>0</v>
      </c>
      <c r="E148" s="238">
        <f>-data!AG84</f>
        <v>-6501.75</v>
      </c>
      <c r="F148" s="238">
        <f>-data!AH84</f>
        <v>0</v>
      </c>
      <c r="G148" s="238">
        <f>-data!AI84</f>
        <v>0</v>
      </c>
      <c r="H148" s="238">
        <f>-data!AJ84</f>
        <v>-800462.51000000013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1006</v>
      </c>
      <c r="C149" s="238">
        <f>data!AE85</f>
        <v>11545240.779999999</v>
      </c>
      <c r="D149" s="238">
        <f>data!AF85</f>
        <v>0</v>
      </c>
      <c r="E149" s="238">
        <f>data!AG85</f>
        <v>21746822.009999998</v>
      </c>
      <c r="F149" s="238">
        <f>data!AH85</f>
        <v>0</v>
      </c>
      <c r="G149" s="238">
        <f>data!AI85</f>
        <v>0</v>
      </c>
      <c r="H149" s="238">
        <f>data!AJ85</f>
        <v>130588626.34999998</v>
      </c>
      <c r="I149" s="238">
        <f>data!AK85</f>
        <v>756.32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1007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1008</v>
      </c>
      <c r="C152" s="238">
        <f>data!AE87</f>
        <v>17350697</v>
      </c>
      <c r="D152" s="238">
        <f>data!AF87</f>
        <v>0</v>
      </c>
      <c r="E152" s="238">
        <f>data!AG87</f>
        <v>58807517.729999997</v>
      </c>
      <c r="F152" s="238">
        <f>data!AH87</f>
        <v>0</v>
      </c>
      <c r="G152" s="238">
        <f>data!AI87</f>
        <v>0</v>
      </c>
      <c r="H152" s="238">
        <f>data!AJ87</f>
        <v>35415967.810000002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1009</v>
      </c>
      <c r="C153" s="238">
        <f>data!AE88</f>
        <v>27093567.84</v>
      </c>
      <c r="D153" s="238">
        <f>data!AF88</f>
        <v>0</v>
      </c>
      <c r="E153" s="238">
        <f>data!AG88</f>
        <v>156508488.74000001</v>
      </c>
      <c r="F153" s="238">
        <f>data!AH88</f>
        <v>0</v>
      </c>
      <c r="G153" s="238">
        <f>data!AI88</f>
        <v>0</v>
      </c>
      <c r="H153" s="238">
        <f>data!AJ88</f>
        <v>259642205.46000001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1010</v>
      </c>
      <c r="C154" s="238">
        <f>data!AE89</f>
        <v>44444264.840000004</v>
      </c>
      <c r="D154" s="238">
        <f>data!AF89</f>
        <v>0</v>
      </c>
      <c r="E154" s="238">
        <f>data!AG89</f>
        <v>215316006.47</v>
      </c>
      <c r="F154" s="238">
        <f>data!AH89</f>
        <v>0</v>
      </c>
      <c r="G154" s="238">
        <f>data!AI89</f>
        <v>0</v>
      </c>
      <c r="H154" s="238">
        <f>data!AJ89</f>
        <v>295058173.26999998</v>
      </c>
      <c r="I154" s="238">
        <f>data!AK89</f>
        <v>0</v>
      </c>
    </row>
    <row r="155" spans="1:9" ht="20.100000000000001" customHeight="1" x14ac:dyDescent="0.2">
      <c r="A155" s="230" t="s">
        <v>1011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1012</v>
      </c>
      <c r="C156" s="238">
        <f>data!AE90</f>
        <v>18417</v>
      </c>
      <c r="D156" s="238">
        <f>data!AF90</f>
        <v>0</v>
      </c>
      <c r="E156" s="238">
        <f>data!AG90</f>
        <v>55397</v>
      </c>
      <c r="F156" s="238">
        <f>data!AH90</f>
        <v>0</v>
      </c>
      <c r="G156" s="238">
        <f>data!AI90</f>
        <v>0</v>
      </c>
      <c r="H156" s="238">
        <f>data!AJ90</f>
        <v>157172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1013</v>
      </c>
      <c r="C157" s="238">
        <f>data!AE91</f>
        <v>0</v>
      </c>
      <c r="D157" s="238">
        <f>data!AF91</f>
        <v>0</v>
      </c>
      <c r="E157" s="238">
        <f>data!AG91</f>
        <v>3882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1014</v>
      </c>
      <c r="C158" s="238">
        <f>data!AE92</f>
        <v>2351</v>
      </c>
      <c r="D158" s="238">
        <f>data!AF92</f>
        <v>0</v>
      </c>
      <c r="E158" s="238">
        <f>data!AG92</f>
        <v>7070</v>
      </c>
      <c r="F158" s="238">
        <f>data!AH92</f>
        <v>0</v>
      </c>
      <c r="G158" s="238">
        <f>data!AI92</f>
        <v>0</v>
      </c>
      <c r="H158" s="238">
        <f>data!AJ92</f>
        <v>20060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1015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71.007189954102614</v>
      </c>
      <c r="F160" s="245">
        <f>data!AH94</f>
        <v>0</v>
      </c>
      <c r="G160" s="245">
        <f>data!AI94</f>
        <v>0</v>
      </c>
      <c r="H160" s="245">
        <f>data!AJ94</f>
        <v>60.584595272855658</v>
      </c>
      <c r="I160" s="245">
        <f>data!AK94</f>
        <v>0</v>
      </c>
    </row>
    <row r="161" spans="1:9" ht="20.100000000000001" customHeight="1" x14ac:dyDescent="0.2">
      <c r="A161" s="231" t="s">
        <v>997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1031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EvergreenHealth Kirkland / King Country Public Hos #2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999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1032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1033</v>
      </c>
      <c r="F167" s="244" t="s">
        <v>208</v>
      </c>
      <c r="G167" s="244" t="s">
        <v>147</v>
      </c>
      <c r="H167" s="243" t="s">
        <v>1034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1003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403281</v>
      </c>
      <c r="H169" s="238">
        <f>data!AQ59</f>
        <v>0</v>
      </c>
      <c r="I169" s="238">
        <f>data!AR59</f>
        <v>338462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405.40345804826381</v>
      </c>
      <c r="H170" s="245">
        <f>data!AQ60</f>
        <v>0</v>
      </c>
      <c r="I170" s="245">
        <f>data!AR60</f>
        <v>486.10526102348302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60811197.690000005</v>
      </c>
      <c r="H171" s="238">
        <f>data!AQ61</f>
        <v>0</v>
      </c>
      <c r="I171" s="238">
        <f>data!AR61</f>
        <v>61262478.299999997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12137748</v>
      </c>
      <c r="H172" s="238">
        <f>data!AQ62</f>
        <v>0</v>
      </c>
      <c r="I172" s="238">
        <f>data!AR62</f>
        <v>14496222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7776525.4400000004</v>
      </c>
      <c r="H173" s="238">
        <f>data!AQ63</f>
        <v>0</v>
      </c>
      <c r="I173" s="238">
        <f>data!AR63</f>
        <v>19520.29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0</v>
      </c>
      <c r="E174" s="238">
        <f>data!AN64</f>
        <v>0</v>
      </c>
      <c r="F174" s="238">
        <f>data!AO64</f>
        <v>0</v>
      </c>
      <c r="G174" s="238">
        <f>data!AP64</f>
        <v>10211428.409999998</v>
      </c>
      <c r="H174" s="238">
        <f>data!AQ64</f>
        <v>0</v>
      </c>
      <c r="I174" s="238">
        <f>data!AR64</f>
        <v>3655066.36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182000.33999999997</v>
      </c>
      <c r="H175" s="238">
        <f>data!AQ65</f>
        <v>0</v>
      </c>
      <c r="I175" s="238">
        <f>data!AR65</f>
        <v>254600.90999999997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1690428.54</v>
      </c>
      <c r="H176" s="238">
        <f>data!AQ66</f>
        <v>0</v>
      </c>
      <c r="I176" s="238">
        <f>data!AR66</f>
        <v>2773187.73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7717249</v>
      </c>
      <c r="H177" s="238">
        <f>data!AQ67</f>
        <v>0</v>
      </c>
      <c r="I177" s="238">
        <f>data!AR67</f>
        <v>544058</v>
      </c>
    </row>
    <row r="178" spans="1:9" ht="20.100000000000001" customHeight="1" x14ac:dyDescent="0.2">
      <c r="A178" s="230">
        <v>13</v>
      </c>
      <c r="B178" s="238" t="s">
        <v>1004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2363413.75</v>
      </c>
      <c r="H178" s="238">
        <f>data!AQ68</f>
        <v>0</v>
      </c>
      <c r="I178" s="238">
        <f>data!AR68</f>
        <v>1024093.7000000001</v>
      </c>
    </row>
    <row r="179" spans="1:9" ht="20.100000000000001" customHeight="1" x14ac:dyDescent="0.2">
      <c r="A179" s="230">
        <v>14</v>
      </c>
      <c r="B179" s="238" t="s">
        <v>1005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1079276.8999999999</v>
      </c>
      <c r="H179" s="238">
        <f>data!AQ69</f>
        <v>0</v>
      </c>
      <c r="I179" s="238">
        <f>data!AR69</f>
        <v>69086.509999999995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-582995.95999999973</v>
      </c>
      <c r="H180" s="238">
        <f>-data!AQ84</f>
        <v>0</v>
      </c>
      <c r="I180" s="238">
        <f>-data!AR84</f>
        <v>-1251518.8600000001</v>
      </c>
    </row>
    <row r="181" spans="1:9" ht="20.100000000000001" customHeight="1" x14ac:dyDescent="0.2">
      <c r="A181" s="230">
        <v>16</v>
      </c>
      <c r="B181" s="246" t="s">
        <v>1006</v>
      </c>
      <c r="C181" s="238">
        <f>data!AL85</f>
        <v>0</v>
      </c>
      <c r="D181" s="238">
        <f>data!AM85</f>
        <v>0</v>
      </c>
      <c r="E181" s="238">
        <f>data!AN85</f>
        <v>0</v>
      </c>
      <c r="F181" s="238">
        <f>data!AO85</f>
        <v>0</v>
      </c>
      <c r="G181" s="238">
        <f>data!AP85</f>
        <v>103386272.11000001</v>
      </c>
      <c r="H181" s="238">
        <f>data!AQ85</f>
        <v>0</v>
      </c>
      <c r="I181" s="238">
        <f>data!AR85</f>
        <v>82846794.940000013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1007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1008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5103914.07</v>
      </c>
      <c r="H184" s="238">
        <f>data!AQ87</f>
        <v>0</v>
      </c>
      <c r="I184" s="238">
        <f>data!AR87</f>
        <v>-6852.81</v>
      </c>
    </row>
    <row r="185" spans="1:9" ht="20.100000000000001" customHeight="1" x14ac:dyDescent="0.2">
      <c r="A185" s="230">
        <v>20</v>
      </c>
      <c r="B185" s="246" t="s">
        <v>1009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172935558.75</v>
      </c>
      <c r="H185" s="238">
        <f>data!AQ88</f>
        <v>0</v>
      </c>
      <c r="I185" s="238">
        <f>data!AR88</f>
        <v>171366242.97999999</v>
      </c>
    </row>
    <row r="186" spans="1:9" ht="20.100000000000001" customHeight="1" x14ac:dyDescent="0.2">
      <c r="A186" s="230">
        <v>21</v>
      </c>
      <c r="B186" s="246" t="s">
        <v>1010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178039472.81999999</v>
      </c>
      <c r="H186" s="238">
        <f>data!AQ89</f>
        <v>0</v>
      </c>
      <c r="I186" s="238">
        <f>data!AR89</f>
        <v>171359390.16999999</v>
      </c>
    </row>
    <row r="187" spans="1:9" ht="20.100000000000001" customHeight="1" x14ac:dyDescent="0.2">
      <c r="A187" s="230" t="s">
        <v>1011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1012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46010</v>
      </c>
      <c r="H188" s="238">
        <f>data!AQ90</f>
        <v>0</v>
      </c>
      <c r="I188" s="238">
        <f>data!AR90</f>
        <v>295</v>
      </c>
    </row>
    <row r="189" spans="1:9" ht="20.100000000000001" customHeight="1" x14ac:dyDescent="0.2">
      <c r="A189" s="230">
        <v>23</v>
      </c>
      <c r="B189" s="238" t="s">
        <v>1013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1014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5872</v>
      </c>
      <c r="H190" s="238">
        <f>data!AQ92</f>
        <v>0</v>
      </c>
      <c r="I190" s="238">
        <f>data!AR92</f>
        <v>38</v>
      </c>
    </row>
    <row r="191" spans="1:9" ht="20.100000000000001" customHeight="1" x14ac:dyDescent="0.2">
      <c r="A191" s="230">
        <v>25</v>
      </c>
      <c r="B191" s="238" t="s">
        <v>1015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18.416163322169105</v>
      </c>
      <c r="H192" s="245">
        <f>data!AQ94</f>
        <v>0</v>
      </c>
      <c r="I192" s="245">
        <f>data!AR94</f>
        <v>171.284578001699</v>
      </c>
    </row>
    <row r="193" spans="1:9" ht="20.100000000000001" customHeight="1" x14ac:dyDescent="0.2">
      <c r="A193" s="231" t="s">
        <v>997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1035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EvergreenHealth Kirkland / King Country Public Hos #2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999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1036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1037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1003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26.004184200230917</v>
      </c>
      <c r="G202" s="245">
        <f>data!AW60</f>
        <v>20.35869617076499</v>
      </c>
      <c r="H202" s="245">
        <f>data!AX60</f>
        <v>0</v>
      </c>
      <c r="I202" s="245">
        <f>data!AY60</f>
        <v>0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3771553.9299999992</v>
      </c>
      <c r="G203" s="238">
        <f>data!AW61</f>
        <v>2048391.59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808522</v>
      </c>
      <c r="G204" s="238">
        <f>data!AW62</f>
        <v>483064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368408.1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18220031.089999996</v>
      </c>
      <c r="G206" s="238">
        <f>data!AW64</f>
        <v>56771.98000000001</v>
      </c>
      <c r="H206" s="238">
        <f>data!AX64</f>
        <v>231310.66</v>
      </c>
      <c r="I206" s="238">
        <f>data!AY64</f>
        <v>0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2617.6799999999998</v>
      </c>
      <c r="G207" s="238">
        <f>data!AW65</f>
        <v>1593.91</v>
      </c>
      <c r="H207" s="238">
        <f>data!AX65</f>
        <v>5200.68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450575.11</v>
      </c>
      <c r="G208" s="238">
        <f>data!AW66</f>
        <v>124471.93000000001</v>
      </c>
      <c r="H208" s="238">
        <f>data!AX66</f>
        <v>991749.58</v>
      </c>
      <c r="I208" s="238">
        <f>data!AY66</f>
        <v>0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238668</v>
      </c>
      <c r="G209" s="238">
        <f>data!AW67</f>
        <v>22807</v>
      </c>
      <c r="H209" s="238">
        <f>data!AX67</f>
        <v>337100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1004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1222493.6299999999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1005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-598.32000000000005</v>
      </c>
      <c r="H211" s="238">
        <f>data!AX69</f>
        <v>0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-6830.78</v>
      </c>
      <c r="G212" s="238">
        <f>-data!AW84</f>
        <v>-35180.68</v>
      </c>
      <c r="H212" s="238">
        <f>-data!AX84</f>
        <v>-35642.69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1006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23485137.029999994</v>
      </c>
      <c r="G213" s="238">
        <f>data!AW85</f>
        <v>3069729.5100000002</v>
      </c>
      <c r="H213" s="238">
        <f>data!AX85</f>
        <v>2752211.86</v>
      </c>
      <c r="I213" s="238">
        <f>data!AY85</f>
        <v>0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1007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1008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5305650.7699999996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1009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21786144.91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1010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27091795.68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1011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1012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13159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1013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1014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1680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1015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52.858028988826199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997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1038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EvergreenHealth Kirkland / King Country Public Hos #2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999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1039</v>
      </c>
      <c r="F231" s="244" t="s">
        <v>1040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1003</v>
      </c>
      <c r="C232" s="240" t="s">
        <v>1041</v>
      </c>
      <c r="D232" s="240" t="s">
        <v>1042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820142.15999999992</v>
      </c>
      <c r="D233" s="238">
        <f>data!BA59</f>
        <v>0</v>
      </c>
      <c r="E233" s="250"/>
      <c r="F233" s="250"/>
      <c r="G233" s="250"/>
      <c r="H233" s="238">
        <f>data!BE59</f>
        <v>642562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65.367207702363572</v>
      </c>
      <c r="D234" s="245">
        <f>data!BA60</f>
        <v>4.4422608994360626</v>
      </c>
      <c r="E234" s="245">
        <f>data!BB60</f>
        <v>0.25518373266920485</v>
      </c>
      <c r="F234" s="245">
        <f>data!BC60</f>
        <v>8.1735035639653049</v>
      </c>
      <c r="G234" s="245">
        <f>data!BD60</f>
        <v>38.73396215612744</v>
      </c>
      <c r="H234" s="245">
        <f>data!BE60</f>
        <v>52.827479269840367</v>
      </c>
      <c r="I234" s="245">
        <f>data!BF60</f>
        <v>97.867646637849603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4205035.3</v>
      </c>
      <c r="D235" s="238">
        <f>data!BA61</f>
        <v>269100.36</v>
      </c>
      <c r="E235" s="238">
        <f>data!BB61</f>
        <v>42703.02</v>
      </c>
      <c r="F235" s="238">
        <f>data!BC61</f>
        <v>442483.00999999995</v>
      </c>
      <c r="G235" s="238">
        <f>data!BD61</f>
        <v>2980689.83</v>
      </c>
      <c r="H235" s="238">
        <f>data!BE61</f>
        <v>4521633.59</v>
      </c>
      <c r="I235" s="238">
        <f>data!BF61</f>
        <v>6000283.2599999998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1305274</v>
      </c>
      <c r="D236" s="238">
        <f>data!BA62</f>
        <v>94689</v>
      </c>
      <c r="E236" s="238">
        <f>data!BB62</f>
        <v>213</v>
      </c>
      <c r="F236" s="238">
        <f>data!BC62</f>
        <v>86270</v>
      </c>
      <c r="G236" s="238">
        <f>data!BD62</f>
        <v>883804</v>
      </c>
      <c r="H236" s="238">
        <f>data!BE62</f>
        <v>1267303</v>
      </c>
      <c r="I236" s="238">
        <f>data!BF62</f>
        <v>1991486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51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11421.49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2110796.1300000004</v>
      </c>
      <c r="D238" s="238">
        <f>data!BA64</f>
        <v>4442.63</v>
      </c>
      <c r="E238" s="238">
        <f>data!BB64</f>
        <v>0</v>
      </c>
      <c r="F238" s="238">
        <f>data!BC64</f>
        <v>5841.4400000000005</v>
      </c>
      <c r="G238" s="238">
        <f>data!BD64</f>
        <v>20862.739999999998</v>
      </c>
      <c r="H238" s="238">
        <f>data!BE64</f>
        <v>706522.13000000012</v>
      </c>
      <c r="I238" s="238">
        <f>data!BF64</f>
        <v>440445.50000000006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981.18</v>
      </c>
      <c r="H239" s="238">
        <f>data!BE65</f>
        <v>5209899.53</v>
      </c>
      <c r="I239" s="238">
        <f>data!BF65</f>
        <v>764114.11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464247.10000000003</v>
      </c>
      <c r="D240" s="238">
        <f>data!BA66</f>
        <v>0</v>
      </c>
      <c r="E240" s="238">
        <f>data!BB66</f>
        <v>615516.30000000005</v>
      </c>
      <c r="F240" s="238">
        <f>data!BC66</f>
        <v>28.76</v>
      </c>
      <c r="G240" s="238">
        <f>data!BD66</f>
        <v>-46910.96</v>
      </c>
      <c r="H240" s="238">
        <f>data!BE66</f>
        <v>3102906.54</v>
      </c>
      <c r="I240" s="238">
        <f>data!BF66</f>
        <v>-1178762.0699999998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717308</v>
      </c>
      <c r="D241" s="238">
        <f>data!BA67</f>
        <v>4152</v>
      </c>
      <c r="E241" s="238">
        <f>data!BB67</f>
        <v>0</v>
      </c>
      <c r="F241" s="238">
        <f>data!BC67</f>
        <v>6854</v>
      </c>
      <c r="G241" s="238">
        <f>data!BD67</f>
        <v>256353</v>
      </c>
      <c r="H241" s="238">
        <f>data!BE67</f>
        <v>8065460</v>
      </c>
      <c r="I241" s="238">
        <f>data!BF67</f>
        <v>53412</v>
      </c>
    </row>
    <row r="242" spans="1:9" ht="20.100000000000001" customHeight="1" x14ac:dyDescent="0.2">
      <c r="A242" s="230">
        <v>13</v>
      </c>
      <c r="B242" s="238" t="s">
        <v>1004</v>
      </c>
      <c r="C242" s="238">
        <f>data!AZ68</f>
        <v>12306.46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10994.62</v>
      </c>
      <c r="H242" s="238">
        <f>data!BE68</f>
        <v>1288505.18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1005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0</v>
      </c>
      <c r="G243" s="238">
        <f>data!BD69</f>
        <v>0</v>
      </c>
      <c r="H243" s="238">
        <f>data!BE69</f>
        <v>146683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28.15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-111060.92</v>
      </c>
      <c r="H244" s="238">
        <f>-data!BE84</f>
        <v>-33710.98000000004</v>
      </c>
      <c r="I244" s="238">
        <f>-data!BF84</f>
        <v>-165</v>
      </c>
    </row>
    <row r="245" spans="1:9" ht="20.100000000000001" customHeight="1" x14ac:dyDescent="0.2">
      <c r="A245" s="230">
        <v>16</v>
      </c>
      <c r="B245" s="246" t="s">
        <v>1006</v>
      </c>
      <c r="C245" s="238">
        <f>data!AZ85</f>
        <v>8815046.1400000006</v>
      </c>
      <c r="D245" s="238">
        <f>data!BA85</f>
        <v>372383.99</v>
      </c>
      <c r="E245" s="238">
        <f>data!BB85</f>
        <v>658432.32000000007</v>
      </c>
      <c r="F245" s="238">
        <f>data!BC85</f>
        <v>541477.21</v>
      </c>
      <c r="G245" s="238">
        <f>data!BD85</f>
        <v>3995713.4900000007</v>
      </c>
      <c r="H245" s="238">
        <f>data!BE85</f>
        <v>24286623.48</v>
      </c>
      <c r="I245" s="238">
        <f>data!BF85</f>
        <v>8070813.7999999989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1007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1008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1009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1010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1011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1012</v>
      </c>
      <c r="C252" s="254">
        <f>data!AZ90</f>
        <v>19828</v>
      </c>
      <c r="D252" s="254">
        <f>data!BA90</f>
        <v>1010</v>
      </c>
      <c r="E252" s="254">
        <f>data!BB90</f>
        <v>0</v>
      </c>
      <c r="F252" s="254">
        <f>data!BC90</f>
        <v>0</v>
      </c>
      <c r="G252" s="254">
        <f>data!BD90</f>
        <v>7426</v>
      </c>
      <c r="H252" s="254">
        <f>data!BE90</f>
        <v>642562</v>
      </c>
      <c r="I252" s="254">
        <f>data!BF90</f>
        <v>9869</v>
      </c>
    </row>
    <row r="253" spans="1:9" ht="20.100000000000001" customHeight="1" x14ac:dyDescent="0.2">
      <c r="A253" s="230">
        <v>23</v>
      </c>
      <c r="B253" s="238" t="s">
        <v>1013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1014</v>
      </c>
      <c r="C254" s="253" t="str">
        <f>IF(data!AZ92&gt;0,data!AZ92,"")</f>
        <v>x</v>
      </c>
      <c r="D254" s="254">
        <f>data!BA92</f>
        <v>129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1015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997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1043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EvergreenHealth Kirkland / King Country Public Hos #2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999</v>
      </c>
      <c r="C262" s="244" t="s">
        <v>1044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1045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1046</v>
      </c>
    </row>
    <row r="264" spans="1:9" ht="20.100000000000001" customHeight="1" x14ac:dyDescent="0.2">
      <c r="A264" s="230">
        <v>3</v>
      </c>
      <c r="B264" s="238" t="s">
        <v>1003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65.333800895046707</v>
      </c>
      <c r="D266" s="245">
        <f>data!BH60</f>
        <v>113.5323667210565</v>
      </c>
      <c r="E266" s="245">
        <f>data!BI60</f>
        <v>16.810022042195058</v>
      </c>
      <c r="F266" s="245">
        <f>data!BJ60</f>
        <v>21.015577438716019</v>
      </c>
      <c r="G266" s="245">
        <f>data!BK60</f>
        <v>71.910805446616848</v>
      </c>
      <c r="H266" s="245">
        <f>data!BL60</f>
        <v>104.31804215689083</v>
      </c>
      <c r="I266" s="245">
        <f>data!BM60</f>
        <v>48.631990763270643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6326633.6300000008</v>
      </c>
      <c r="D267" s="238">
        <f>data!BH61</f>
        <v>16466713.270000001</v>
      </c>
      <c r="E267" s="238">
        <f>data!BI61</f>
        <v>2182715.6999999997</v>
      </c>
      <c r="F267" s="238">
        <f>data!BJ61</f>
        <v>2108363.69</v>
      </c>
      <c r="G267" s="238">
        <f>data!BK61</f>
        <v>5123113.33</v>
      </c>
      <c r="H267" s="238">
        <f>data!BL61</f>
        <v>7223494.71</v>
      </c>
      <c r="I267" s="238">
        <f>data!BM61</f>
        <v>4659923.9400000004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1549445</v>
      </c>
      <c r="D268" s="238">
        <f>data!BH62</f>
        <v>3612985</v>
      </c>
      <c r="E268" s="238">
        <f>data!BI62</f>
        <v>504935</v>
      </c>
      <c r="F268" s="238">
        <f>data!BJ62</f>
        <v>545857</v>
      </c>
      <c r="G268" s="238">
        <f>data!BK62</f>
        <v>1555180</v>
      </c>
      <c r="H268" s="238">
        <f>data!BL62</f>
        <v>2180502</v>
      </c>
      <c r="I268" s="238">
        <f>data!BM62</f>
        <v>1277298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441856.9</v>
      </c>
      <c r="F269" s="238">
        <f>data!BJ63</f>
        <v>367031.11</v>
      </c>
      <c r="G269" s="238">
        <f>data!BK63</f>
        <v>134821.13</v>
      </c>
      <c r="H269" s="238">
        <f>data!BL63</f>
        <v>0</v>
      </c>
      <c r="I269" s="238">
        <f>data!BM63</f>
        <v>269142.02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1870697.11</v>
      </c>
      <c r="D270" s="238">
        <f>data!BH64</f>
        <v>179690.54000000004</v>
      </c>
      <c r="E270" s="238">
        <f>data!BI64</f>
        <v>16615.900000000001</v>
      </c>
      <c r="F270" s="238">
        <f>data!BJ64</f>
        <v>14687.650000000001</v>
      </c>
      <c r="G270" s="238">
        <f>data!BK64</f>
        <v>17359.89</v>
      </c>
      <c r="H270" s="238">
        <f>data!BL64</f>
        <v>68199.210000000006</v>
      </c>
      <c r="I270" s="238">
        <f>data!BM64</f>
        <v>13020.210000000001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1842632.3199999998</v>
      </c>
      <c r="D271" s="238">
        <f>data!BH65</f>
        <v>5663.43</v>
      </c>
      <c r="E271" s="238">
        <f>data!BI65</f>
        <v>1522.55</v>
      </c>
      <c r="F271" s="238">
        <f>data!BJ65</f>
        <v>76.13</v>
      </c>
      <c r="G271" s="238">
        <f>data!BK65</f>
        <v>0</v>
      </c>
      <c r="H271" s="238">
        <f>data!BL65</f>
        <v>478.4</v>
      </c>
      <c r="I271" s="238">
        <f>data!BM65</f>
        <v>50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3671299.7600000002</v>
      </c>
      <c r="D272" s="238">
        <f>data!BH66</f>
        <v>13125490.99</v>
      </c>
      <c r="E272" s="238">
        <f>data!BI66</f>
        <v>388430.58000000007</v>
      </c>
      <c r="F272" s="238">
        <f>data!BJ66</f>
        <v>60811.95</v>
      </c>
      <c r="G272" s="238">
        <f>data!BK66</f>
        <v>4985044.1199999992</v>
      </c>
      <c r="H272" s="238">
        <f>data!BL66</f>
        <v>214520.28999999998</v>
      </c>
      <c r="I272" s="238">
        <f>data!BM66</f>
        <v>1207304.83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2075184</v>
      </c>
      <c r="D273" s="238">
        <f>data!BH67</f>
        <v>13951701</v>
      </c>
      <c r="E273" s="238">
        <f>data!BI67</f>
        <v>882247</v>
      </c>
      <c r="F273" s="238">
        <f>data!BJ67</f>
        <v>32107</v>
      </c>
      <c r="G273" s="238">
        <f>data!BK67</f>
        <v>23487</v>
      </c>
      <c r="H273" s="238">
        <f>data!BL67</f>
        <v>23798</v>
      </c>
      <c r="I273" s="238">
        <f>data!BM67</f>
        <v>4947</v>
      </c>
    </row>
    <row r="274" spans="1:9" ht="20.100000000000001" customHeight="1" x14ac:dyDescent="0.2">
      <c r="A274" s="230">
        <v>13</v>
      </c>
      <c r="B274" s="238" t="s">
        <v>1004</v>
      </c>
      <c r="C274" s="238">
        <f>data!BG68</f>
        <v>14131.75</v>
      </c>
      <c r="D274" s="238">
        <f>data!BH68</f>
        <v>0</v>
      </c>
      <c r="E274" s="238">
        <f>data!BI68</f>
        <v>361594.81</v>
      </c>
      <c r="F274" s="238">
        <f>data!BJ68</f>
        <v>0</v>
      </c>
      <c r="G274" s="238">
        <f>data!BK68</f>
        <v>0</v>
      </c>
      <c r="H274" s="238">
        <f>data!BL68</f>
        <v>1656.32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1005</v>
      </c>
      <c r="C275" s="238">
        <f>data!BG69</f>
        <v>0</v>
      </c>
      <c r="D275" s="238">
        <f>data!BH69</f>
        <v>0</v>
      </c>
      <c r="E275" s="238">
        <f>data!BI69</f>
        <v>423.62</v>
      </c>
      <c r="F275" s="238">
        <f>data!BJ69</f>
        <v>0</v>
      </c>
      <c r="G275" s="238">
        <f>data!BK69</f>
        <v>0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-46705.4</v>
      </c>
      <c r="D276" s="238">
        <f>-data!BH84</f>
        <v>-102619.87</v>
      </c>
      <c r="E276" s="238">
        <f>-data!BI84</f>
        <v>-21825.030000000002</v>
      </c>
      <c r="F276" s="238">
        <f>-data!BJ84</f>
        <v>-2039.52</v>
      </c>
      <c r="G276" s="238">
        <f>-data!BK84</f>
        <v>-673.72</v>
      </c>
      <c r="H276" s="238">
        <f>-data!BL84</f>
        <v>-1467.34</v>
      </c>
      <c r="I276" s="238">
        <f>-data!BM84</f>
        <v>-52318.06</v>
      </c>
    </row>
    <row r="277" spans="1:9" ht="20.100000000000001" customHeight="1" x14ac:dyDescent="0.2">
      <c r="A277" s="230">
        <v>16</v>
      </c>
      <c r="B277" s="246" t="s">
        <v>1006</v>
      </c>
      <c r="C277" s="238">
        <f>data!BG85</f>
        <v>17303318.170000002</v>
      </c>
      <c r="D277" s="238">
        <f>data!BH85</f>
        <v>47239624.360000007</v>
      </c>
      <c r="E277" s="238">
        <f>data!BI85</f>
        <v>4758517.0299999984</v>
      </c>
      <c r="F277" s="238">
        <f>data!BJ85</f>
        <v>3126895.01</v>
      </c>
      <c r="G277" s="238">
        <f>data!BK85</f>
        <v>11838331.749999998</v>
      </c>
      <c r="H277" s="238">
        <f>data!BL85</f>
        <v>9711181.5900000017</v>
      </c>
      <c r="I277" s="238">
        <f>data!BM85</f>
        <v>7379367.9400000013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1007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1008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1009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1010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1011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1012</v>
      </c>
      <c r="C284" s="254">
        <f>data!BG90</f>
        <v>5123</v>
      </c>
      <c r="D284" s="254">
        <f>data!BH90</f>
        <v>22722</v>
      </c>
      <c r="E284" s="254">
        <f>data!BI90</f>
        <v>25566</v>
      </c>
      <c r="F284" s="254">
        <f>data!BJ90</f>
        <v>4555</v>
      </c>
      <c r="G284" s="254">
        <f>data!BK90</f>
        <v>14669</v>
      </c>
      <c r="H284" s="254">
        <f>data!BL90</f>
        <v>5222</v>
      </c>
      <c r="I284" s="254">
        <f>data!BM90</f>
        <v>5020</v>
      </c>
    </row>
    <row r="285" spans="1:9" ht="20.100000000000001" customHeight="1" x14ac:dyDescent="0.2">
      <c r="A285" s="230">
        <v>23</v>
      </c>
      <c r="B285" s="238" t="s">
        <v>1013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1014</v>
      </c>
      <c r="C286" s="253" t="str">
        <f>IF(data!BG92&gt;0,data!BG92,"")</f>
        <v>x</v>
      </c>
      <c r="D286" s="254">
        <f>data!BH92</f>
        <v>2900</v>
      </c>
      <c r="E286" s="254">
        <f>data!BI92</f>
        <v>3263</v>
      </c>
      <c r="F286" s="253" t="str">
        <f>IF(data!BJ92&gt;0,data!BJ92,"")</f>
        <v>x</v>
      </c>
      <c r="G286" s="254">
        <f>data!BK92</f>
        <v>1872</v>
      </c>
      <c r="H286" s="254">
        <f>data!BL92</f>
        <v>666</v>
      </c>
      <c r="I286" s="254">
        <f>data!BM92</f>
        <v>641</v>
      </c>
    </row>
    <row r="287" spans="1:9" ht="20.100000000000001" customHeight="1" x14ac:dyDescent="0.2">
      <c r="A287" s="230">
        <v>25</v>
      </c>
      <c r="B287" s="238" t="s">
        <v>1015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997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1047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EvergreenHealth Kirkland / King Country Public Hos #2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999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1048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1003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23.044523325604253</v>
      </c>
      <c r="D298" s="245">
        <f>data!BO60</f>
        <v>10.16821248294354</v>
      </c>
      <c r="E298" s="245">
        <f>data!BP60</f>
        <v>11.05491464613212</v>
      </c>
      <c r="F298" s="245">
        <f>data!BQ60</f>
        <v>4.2517819826525063</v>
      </c>
      <c r="G298" s="245">
        <f>data!BR60</f>
        <v>30.057782039904957</v>
      </c>
      <c r="H298" s="245">
        <f>data!BS60</f>
        <v>4.7427838051889815</v>
      </c>
      <c r="I298" s="245">
        <f>data!BT60</f>
        <v>2.3188627754081623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6342712.7400000002</v>
      </c>
      <c r="D299" s="238">
        <f>data!BO61</f>
        <v>1383922.95</v>
      </c>
      <c r="E299" s="238">
        <f>data!BP61</f>
        <v>1433654.78</v>
      </c>
      <c r="F299" s="238">
        <f>data!BQ61</f>
        <v>576753.74999999988</v>
      </c>
      <c r="G299" s="238">
        <f>data!BR61</f>
        <v>3528151.27</v>
      </c>
      <c r="H299" s="238">
        <f>data!BS61</f>
        <v>344470.76999999996</v>
      </c>
      <c r="I299" s="238">
        <f>data!BT61</f>
        <v>205157.96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1444725</v>
      </c>
      <c r="D300" s="238">
        <f>data!BO62</f>
        <v>316486</v>
      </c>
      <c r="E300" s="238">
        <f>data!BP62</f>
        <v>399357</v>
      </c>
      <c r="F300" s="238">
        <f>data!BQ62</f>
        <v>126657</v>
      </c>
      <c r="G300" s="238">
        <f>data!BR62</f>
        <v>15073218</v>
      </c>
      <c r="H300" s="238">
        <f>data!BS62</f>
        <v>91389</v>
      </c>
      <c r="I300" s="238">
        <f>data!BT62</f>
        <v>49892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1746058.8399999999</v>
      </c>
      <c r="D301" s="238">
        <f>data!BO63</f>
        <v>70</v>
      </c>
      <c r="E301" s="238">
        <f>data!BP63</f>
        <v>0</v>
      </c>
      <c r="F301" s="238">
        <f>data!BQ63</f>
        <v>0</v>
      </c>
      <c r="G301" s="238">
        <f>data!BR63</f>
        <v>2172242.62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14907.829999999998</v>
      </c>
      <c r="D302" s="238">
        <f>data!BO64</f>
        <v>170220.19</v>
      </c>
      <c r="E302" s="238">
        <f>data!BP64</f>
        <v>54054.98</v>
      </c>
      <c r="F302" s="238">
        <f>data!BQ64</f>
        <v>960.93000000000006</v>
      </c>
      <c r="G302" s="238">
        <f>data!BR64</f>
        <v>50756.500000000007</v>
      </c>
      <c r="H302" s="238">
        <f>data!BS64</f>
        <v>308087.7699999999</v>
      </c>
      <c r="I302" s="238">
        <f>data!BT64</f>
        <v>234.16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666.73</v>
      </c>
      <c r="F303" s="238">
        <f>data!BQ65</f>
        <v>0</v>
      </c>
      <c r="G303" s="238">
        <f>data!BR65</f>
        <v>0</v>
      </c>
      <c r="H303" s="238">
        <f>data!BS65</f>
        <v>633.19000000000005</v>
      </c>
      <c r="I303" s="238">
        <f>data!BT65</f>
        <v>3854.24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122488.09000000003</v>
      </c>
      <c r="D304" s="238">
        <f>data!BO66</f>
        <v>117977.58</v>
      </c>
      <c r="E304" s="238">
        <f>data!BP66</f>
        <v>3496828.77</v>
      </c>
      <c r="F304" s="238">
        <f>data!BQ66</f>
        <v>178.13</v>
      </c>
      <c r="G304" s="238">
        <f>data!BR66</f>
        <v>1058741.4099999999</v>
      </c>
      <c r="H304" s="238">
        <f>data!BS66</f>
        <v>7201.8899999999994</v>
      </c>
      <c r="I304" s="238">
        <f>data!BT66</f>
        <v>1836.9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295008</v>
      </c>
      <c r="D305" s="238">
        <f>data!BO67</f>
        <v>67025</v>
      </c>
      <c r="E305" s="238">
        <f>data!BP67</f>
        <v>356330</v>
      </c>
      <c r="F305" s="238">
        <f>data!BQ67</f>
        <v>2726</v>
      </c>
      <c r="G305" s="238">
        <f>data!BR67</f>
        <v>189492</v>
      </c>
      <c r="H305" s="238">
        <f>data!BS67</f>
        <v>14596</v>
      </c>
      <c r="I305" s="238">
        <f>data!BT67</f>
        <v>18775</v>
      </c>
    </row>
    <row r="306" spans="1:9" ht="20.100000000000001" customHeight="1" x14ac:dyDescent="0.2">
      <c r="A306" s="230">
        <v>13</v>
      </c>
      <c r="B306" s="238" t="s">
        <v>1004</v>
      </c>
      <c r="C306" s="238">
        <f>data!BN68</f>
        <v>0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350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1005</v>
      </c>
      <c r="C307" s="238">
        <f>data!BN69</f>
        <v>0</v>
      </c>
      <c r="D307" s="238">
        <f>data!BO69</f>
        <v>50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-847217.96</v>
      </c>
      <c r="D308" s="238">
        <f>-data!BO84</f>
        <v>-7651.5199999999995</v>
      </c>
      <c r="E308" s="238">
        <f>-data!BP84</f>
        <v>-14977.05</v>
      </c>
      <c r="F308" s="238">
        <f>-data!BQ84</f>
        <v>-3088.86</v>
      </c>
      <c r="G308" s="238">
        <f>-data!BR84</f>
        <v>-15612.240000000002</v>
      </c>
      <c r="H308" s="238">
        <f>-data!BS84</f>
        <v>-363.05</v>
      </c>
      <c r="I308" s="238">
        <f>-data!BT84</f>
        <v>-606.44000000000005</v>
      </c>
    </row>
    <row r="309" spans="1:9" ht="20.100000000000001" customHeight="1" x14ac:dyDescent="0.2">
      <c r="A309" s="230">
        <v>16</v>
      </c>
      <c r="B309" s="246" t="s">
        <v>1006</v>
      </c>
      <c r="C309" s="238">
        <f>data!BN85</f>
        <v>9118682.5399999991</v>
      </c>
      <c r="D309" s="238">
        <f>data!BO85</f>
        <v>2048100.2</v>
      </c>
      <c r="E309" s="238">
        <f>data!BP85</f>
        <v>5725915.21</v>
      </c>
      <c r="F309" s="238">
        <f>data!BQ85</f>
        <v>704186.95</v>
      </c>
      <c r="G309" s="238">
        <f>data!BR85</f>
        <v>22057339.560000002</v>
      </c>
      <c r="H309" s="238">
        <f>data!BS85</f>
        <v>766015.56999999972</v>
      </c>
      <c r="I309" s="238">
        <f>data!BT85</f>
        <v>279143.82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1007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1008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1009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1010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1011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1012</v>
      </c>
      <c r="C316" s="254">
        <f>data!BN90</f>
        <v>13641</v>
      </c>
      <c r="D316" s="254">
        <f>data!BO90</f>
        <v>2355</v>
      </c>
      <c r="E316" s="254">
        <f>data!BP90</f>
        <v>2797</v>
      </c>
      <c r="F316" s="254">
        <f>data!BQ90</f>
        <v>1677</v>
      </c>
      <c r="G316" s="254">
        <f>data!BR90</f>
        <v>4919</v>
      </c>
      <c r="H316" s="254">
        <f>data!BS90</f>
        <v>4709</v>
      </c>
      <c r="I316" s="254">
        <f>data!BT90</f>
        <v>947</v>
      </c>
    </row>
    <row r="317" spans="1:9" ht="20.100000000000001" customHeight="1" x14ac:dyDescent="0.2">
      <c r="A317" s="230">
        <v>23</v>
      </c>
      <c r="B317" s="238" t="s">
        <v>1013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1014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601</v>
      </c>
      <c r="I318" s="254">
        <f>data!BT92</f>
        <v>121</v>
      </c>
    </row>
    <row r="319" spans="1:9" ht="20.100000000000001" customHeight="1" x14ac:dyDescent="0.2">
      <c r="A319" s="230">
        <v>25</v>
      </c>
      <c r="B319" s="238" t="s">
        <v>1015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997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1049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EvergreenHealth Kirkland / King Country Public Hos #2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999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1048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1003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46.754921325585173</v>
      </c>
      <c r="E330" s="245">
        <f>data!BW60</f>
        <v>8.1769816505882691</v>
      </c>
      <c r="F330" s="245">
        <f>data!BX60</f>
        <v>57.570673384288021</v>
      </c>
      <c r="G330" s="245">
        <f>data!BY60</f>
        <v>13.073431044189352</v>
      </c>
      <c r="H330" s="245">
        <f>data!BZ60</f>
        <v>54.670459641790472</v>
      </c>
      <c r="I330" s="245">
        <f>data!CA60</f>
        <v>14.345513793070545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3535096.8200000003</v>
      </c>
      <c r="E331" s="257">
        <f>data!BW61</f>
        <v>4044246.07</v>
      </c>
      <c r="F331" s="257">
        <f>data!BX61</f>
        <v>7339039.3799999999</v>
      </c>
      <c r="G331" s="257">
        <f>data!BY61</f>
        <v>1799972.3299999998</v>
      </c>
      <c r="H331" s="257">
        <f>data!BZ61</f>
        <v>5189108.82</v>
      </c>
      <c r="I331" s="257">
        <f>data!CA61</f>
        <v>1804181.69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1170893</v>
      </c>
      <c r="E332" s="257">
        <f>data!BW62</f>
        <v>207364</v>
      </c>
      <c r="F332" s="257">
        <f>data!BX62</f>
        <v>1546489</v>
      </c>
      <c r="G332" s="257">
        <f>data!BY62</f>
        <v>453584</v>
      </c>
      <c r="H332" s="257">
        <f>data!BZ62</f>
        <v>1452651</v>
      </c>
      <c r="I332" s="257">
        <f>data!CA62</f>
        <v>397839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1757609.37</v>
      </c>
      <c r="F333" s="257">
        <f>data!BX63</f>
        <v>2049974.55</v>
      </c>
      <c r="G333" s="257">
        <f>data!BY63</f>
        <v>103754.11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9762.8100000000013</v>
      </c>
      <c r="E334" s="257">
        <f>data!BW64</f>
        <v>934.6</v>
      </c>
      <c r="F334" s="257">
        <f>data!BX64</f>
        <v>48000.07</v>
      </c>
      <c r="G334" s="257">
        <f>data!BY64</f>
        <v>20758.440000000002</v>
      </c>
      <c r="H334" s="257">
        <f>data!BZ64</f>
        <v>5083.3600000000006</v>
      </c>
      <c r="I334" s="257">
        <f>data!CA64</f>
        <v>317964.85000000003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610.39</v>
      </c>
      <c r="G335" s="257">
        <f>data!BY65</f>
        <v>113.17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1238956.1300000001</v>
      </c>
      <c r="E336" s="257">
        <f>data!BW66</f>
        <v>165846.74000000002</v>
      </c>
      <c r="F336" s="257">
        <f>data!BX66</f>
        <v>936340.71999999974</v>
      </c>
      <c r="G336" s="257">
        <f>data!BY66</f>
        <v>14862.149999999998</v>
      </c>
      <c r="H336" s="257">
        <f>data!BZ66</f>
        <v>895.2</v>
      </c>
      <c r="I336" s="257">
        <f>data!CA66</f>
        <v>474320.33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49603</v>
      </c>
      <c r="E337" s="257">
        <f>data!BW67</f>
        <v>16209</v>
      </c>
      <c r="F337" s="257">
        <f>data!BX67</f>
        <v>63708</v>
      </c>
      <c r="G337" s="257">
        <f>data!BY67</f>
        <v>419427</v>
      </c>
      <c r="H337" s="257">
        <f>data!BZ67</f>
        <v>5277</v>
      </c>
      <c r="I337" s="257">
        <f>data!CA67</f>
        <v>144467</v>
      </c>
    </row>
    <row r="338" spans="1:9" ht="20.100000000000001" customHeight="1" x14ac:dyDescent="0.2">
      <c r="A338" s="230">
        <v>13</v>
      </c>
      <c r="B338" s="238" t="s">
        <v>1004</v>
      </c>
      <c r="C338" s="257">
        <f>data!BU68</f>
        <v>0</v>
      </c>
      <c r="D338" s="257">
        <f>data!BV68</f>
        <v>16537.310000000001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1005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-285517.48</v>
      </c>
      <c r="D340" s="238">
        <f>-data!BV84</f>
        <v>-5938.54</v>
      </c>
      <c r="E340" s="238">
        <f>-data!BW84</f>
        <v>-18304.53</v>
      </c>
      <c r="F340" s="238">
        <f>-data!BX84</f>
        <v>-2185686.2799999998</v>
      </c>
      <c r="G340" s="238">
        <f>-data!BY84</f>
        <v>-43602.799999999996</v>
      </c>
      <c r="H340" s="238">
        <f>-data!BZ84</f>
        <v>-1157</v>
      </c>
      <c r="I340" s="238">
        <f>-data!CA84</f>
        <v>-235267.3</v>
      </c>
    </row>
    <row r="341" spans="1:9" ht="20.100000000000001" customHeight="1" x14ac:dyDescent="0.2">
      <c r="A341" s="230">
        <v>16</v>
      </c>
      <c r="B341" s="246" t="s">
        <v>1006</v>
      </c>
      <c r="C341" s="238">
        <f>data!BU85</f>
        <v>-285517.48</v>
      </c>
      <c r="D341" s="238">
        <f>data!BV85</f>
        <v>6014910.5299999993</v>
      </c>
      <c r="E341" s="238">
        <f>data!BW85</f>
        <v>6173905.25</v>
      </c>
      <c r="F341" s="238">
        <f>data!BX85</f>
        <v>9798475.8300000001</v>
      </c>
      <c r="G341" s="238">
        <f>data!BY85</f>
        <v>2768868.4</v>
      </c>
      <c r="H341" s="238">
        <f>data!BZ85</f>
        <v>6651858.3800000008</v>
      </c>
      <c r="I341" s="238">
        <f>data!CA85</f>
        <v>2903505.5700000003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1007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1008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1009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1010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1011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1012</v>
      </c>
      <c r="C348" s="254">
        <f>data!BU90</f>
        <v>0</v>
      </c>
      <c r="D348" s="254">
        <f>data!BV90</f>
        <v>15511</v>
      </c>
      <c r="E348" s="254">
        <f>data!BW90</f>
        <v>2218</v>
      </c>
      <c r="F348" s="254">
        <f>data!BX90</f>
        <v>3258</v>
      </c>
      <c r="G348" s="254">
        <f>data!BY90</f>
        <v>1835</v>
      </c>
      <c r="H348" s="254">
        <f>data!BZ90</f>
        <v>0</v>
      </c>
      <c r="I348" s="254">
        <f>data!CA90</f>
        <v>5571</v>
      </c>
    </row>
    <row r="349" spans="1:9" ht="20.100000000000001" customHeight="1" x14ac:dyDescent="0.2">
      <c r="A349" s="230">
        <v>23</v>
      </c>
      <c r="B349" s="238" t="s">
        <v>1013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1014</v>
      </c>
      <c r="C350" s="254">
        <f>data!BU92</f>
        <v>0</v>
      </c>
      <c r="D350" s="254">
        <f>data!BV92</f>
        <v>1980</v>
      </c>
      <c r="E350" s="254">
        <f>data!BW92</f>
        <v>283</v>
      </c>
      <c r="F350" s="254">
        <f>data!BX92</f>
        <v>416</v>
      </c>
      <c r="G350" s="254">
        <f>data!BY92</f>
        <v>234</v>
      </c>
      <c r="H350" s="254">
        <f>data!BZ92</f>
        <v>0</v>
      </c>
      <c r="I350" s="254">
        <f>data!CA92</f>
        <v>711</v>
      </c>
    </row>
    <row r="351" spans="1:9" ht="20.100000000000001" customHeight="1" x14ac:dyDescent="0.2">
      <c r="A351" s="230">
        <v>25</v>
      </c>
      <c r="B351" s="238" t="s">
        <v>1015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997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1050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EvergreenHealth Kirkland / King Country Public Hos #2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999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1051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1003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64.942227502170823</v>
      </c>
      <c r="D362" s="245">
        <f>data!CC60</f>
        <v>48.9354955677058</v>
      </c>
      <c r="E362" s="260"/>
      <c r="F362" s="248"/>
      <c r="G362" s="248"/>
      <c r="H362" s="248"/>
      <c r="I362" s="261">
        <f>data!CE60</f>
        <v>4262.3415967709607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4848540.7500000009</v>
      </c>
      <c r="D363" s="257">
        <f>data!CC61</f>
        <v>11774762.359999999</v>
      </c>
      <c r="E363" s="262"/>
      <c r="F363" s="262"/>
      <c r="G363" s="262"/>
      <c r="H363" s="262"/>
      <c r="I363" s="257">
        <f>data!CE61</f>
        <v>576513352.30999994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1434752</v>
      </c>
      <c r="D364" s="257">
        <f>data!CC62</f>
        <v>1277963</v>
      </c>
      <c r="E364" s="262"/>
      <c r="F364" s="262"/>
      <c r="G364" s="262"/>
      <c r="H364" s="262"/>
      <c r="I364" s="257">
        <f>data!CE62</f>
        <v>135042796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597251.98</v>
      </c>
      <c r="E365" s="262"/>
      <c r="F365" s="262"/>
      <c r="G365" s="262"/>
      <c r="H365" s="262"/>
      <c r="I365" s="257">
        <f>data!CE63</f>
        <v>23749959.450000003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36603.460000000006</v>
      </c>
      <c r="D366" s="257">
        <f>data!CC64</f>
        <v>-1475270.72</v>
      </c>
      <c r="E366" s="262"/>
      <c r="F366" s="262"/>
      <c r="G366" s="262"/>
      <c r="H366" s="262"/>
      <c r="I366" s="257">
        <f>data!CE64</f>
        <v>141511448.16000003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2172.0500000000002</v>
      </c>
      <c r="D367" s="257">
        <f>data!CC65</f>
        <v>440.94</v>
      </c>
      <c r="E367" s="262"/>
      <c r="F367" s="262"/>
      <c r="G367" s="262"/>
      <c r="H367" s="262"/>
      <c r="I367" s="257">
        <f>data!CE65</f>
        <v>8525619.2500000037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191104.2</v>
      </c>
      <c r="D368" s="257">
        <f>data!CC66</f>
        <v>5251279.9000000004</v>
      </c>
      <c r="E368" s="262"/>
      <c r="F368" s="262"/>
      <c r="G368" s="262"/>
      <c r="H368" s="262"/>
      <c r="I368" s="257">
        <f>data!CE66</f>
        <v>75464186.810000002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132249</v>
      </c>
      <c r="D369" s="257">
        <f>data!CC67</f>
        <v>128754</v>
      </c>
      <c r="E369" s="262"/>
      <c r="F369" s="262"/>
      <c r="G369" s="262"/>
      <c r="H369" s="262"/>
      <c r="I369" s="257">
        <f>data!CE67</f>
        <v>61695123</v>
      </c>
    </row>
    <row r="370" spans="1:9" ht="20.100000000000001" customHeight="1" x14ac:dyDescent="0.2">
      <c r="A370" s="230">
        <v>13</v>
      </c>
      <c r="B370" s="238" t="s">
        <v>1004</v>
      </c>
      <c r="C370" s="257">
        <f>data!CB68</f>
        <v>62835.54</v>
      </c>
      <c r="D370" s="257">
        <f>data!CC68</f>
        <v>0</v>
      </c>
      <c r="E370" s="262"/>
      <c r="F370" s="262"/>
      <c r="G370" s="262"/>
      <c r="H370" s="262"/>
      <c r="I370" s="257">
        <f>data!CE68</f>
        <v>7272576.419999999</v>
      </c>
    </row>
    <row r="371" spans="1:9" ht="20.100000000000001" customHeight="1" x14ac:dyDescent="0.2">
      <c r="A371" s="230">
        <v>14</v>
      </c>
      <c r="B371" s="238" t="s">
        <v>1005</v>
      </c>
      <c r="C371" s="257">
        <f>data!CB69</f>
        <v>0</v>
      </c>
      <c r="D371" s="257">
        <f>data!CC69</f>
        <v>5916780.4399999995</v>
      </c>
      <c r="E371" s="257">
        <f>data!CD69</f>
        <v>5812630.1400000006</v>
      </c>
      <c r="F371" s="262"/>
      <c r="G371" s="262"/>
      <c r="H371" s="262"/>
      <c r="I371" s="257">
        <f>data!CE69</f>
        <v>13948134.359999999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-3049.7999999999997</v>
      </c>
      <c r="D372" s="238">
        <f>-data!CC84</f>
        <v>616440.46999999974</v>
      </c>
      <c r="E372" s="238">
        <f>-data!CD84</f>
        <v>0</v>
      </c>
      <c r="F372" s="248"/>
      <c r="G372" s="248"/>
      <c r="H372" s="248"/>
      <c r="I372" s="238">
        <f>-data!CE84</f>
        <v>-6861214.3499999996</v>
      </c>
    </row>
    <row r="373" spans="1:9" ht="20.100000000000001" customHeight="1" x14ac:dyDescent="0.2">
      <c r="A373" s="230">
        <v>16</v>
      </c>
      <c r="B373" s="246" t="s">
        <v>1006</v>
      </c>
      <c r="C373" s="257">
        <f>data!CB85</f>
        <v>6705207.2000000011</v>
      </c>
      <c r="D373" s="257">
        <f>data!CC85</f>
        <v>24088402.369999997</v>
      </c>
      <c r="E373" s="257">
        <f>data!CD85</f>
        <v>5812630.1400000006</v>
      </c>
      <c r="F373" s="262"/>
      <c r="G373" s="262"/>
      <c r="H373" s="262"/>
      <c r="I373" s="238">
        <f>data!CE85</f>
        <v>1036861981.4100003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1007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1008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1093161745.1999998</v>
      </c>
    </row>
    <row r="377" spans="1:9" ht="20.100000000000001" customHeight="1" x14ac:dyDescent="0.2">
      <c r="A377" s="230">
        <v>20</v>
      </c>
      <c r="B377" s="246" t="s">
        <v>1009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1659035242.2800002</v>
      </c>
    </row>
    <row r="378" spans="1:9" ht="20.100000000000001" customHeight="1" x14ac:dyDescent="0.2">
      <c r="A378" s="230">
        <v>21</v>
      </c>
      <c r="B378" s="246" t="s">
        <v>1010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2752196987.48</v>
      </c>
    </row>
    <row r="379" spans="1:9" ht="20.100000000000001" customHeight="1" x14ac:dyDescent="0.2">
      <c r="A379" s="230" t="s">
        <v>1011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1012</v>
      </c>
      <c r="C380" s="254">
        <f>data!CB90</f>
        <v>4127</v>
      </c>
      <c r="D380" s="254">
        <f>data!CC90</f>
        <v>6789</v>
      </c>
      <c r="E380" s="248"/>
      <c r="F380" s="248"/>
      <c r="G380" s="248"/>
      <c r="H380" s="248"/>
      <c r="I380" s="238">
        <f>data!CE90</f>
        <v>1607227</v>
      </c>
    </row>
    <row r="381" spans="1:9" ht="20.100000000000001" customHeight="1" x14ac:dyDescent="0.2">
      <c r="A381" s="230">
        <v>23</v>
      </c>
      <c r="B381" s="238" t="s">
        <v>1013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242317</v>
      </c>
    </row>
    <row r="382" spans="1:9" ht="20.100000000000001" customHeight="1" x14ac:dyDescent="0.2">
      <c r="A382" s="230">
        <v>24</v>
      </c>
      <c r="B382" s="238" t="s">
        <v>1014</v>
      </c>
      <c r="C382" s="254">
        <f>data!CB92</f>
        <v>527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113041</v>
      </c>
    </row>
    <row r="383" spans="1:9" ht="20.100000000000001" customHeight="1" x14ac:dyDescent="0.2">
      <c r="A383" s="230">
        <v>25</v>
      </c>
      <c r="B383" s="238" t="s">
        <v>1015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1065.3211954312546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 r:id="rId1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BE73" transitionEvaluation="1" transitionEntry="1" codeName="Sheet1">
    <tabColor rgb="FF92D050"/>
    <pageSetUpPr autoPageBreaks="0" fitToPage="1"/>
  </sheetPr>
  <dimension ref="A1:CF716"/>
  <sheetViews>
    <sheetView topLeftCell="A40" zoomScaleNormal="100" workbookViewId="0">
      <pane xSplit="2" ySplit="7" topLeftCell="BE73" activePane="bottomRight" state="frozen"/>
      <selection activeCell="A40" sqref="A40"/>
      <selection pane="topRight" activeCell="C40" sqref="C40"/>
      <selection pane="bottomLeft" activeCell="A47" sqref="A47"/>
      <selection pane="bottomRight" activeCell="BE85" sqref="BE85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10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311" t="s">
        <v>1052</v>
      </c>
    </row>
    <row r="6" spans="1:5" x14ac:dyDescent="0.25">
      <c r="A6" s="11" t="s">
        <v>1053</v>
      </c>
    </row>
    <row r="7" spans="1:5" x14ac:dyDescent="0.25">
      <c r="A7" s="11" t="s">
        <v>297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2" t="s">
        <v>23</v>
      </c>
      <c r="F30" s="313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4" t="s">
        <v>27</v>
      </c>
      <c r="B36" s="315"/>
      <c r="C36" s="316"/>
      <c r="D36" s="315"/>
      <c r="E36" s="315"/>
      <c r="F36" s="315"/>
      <c r="G36" s="317"/>
    </row>
    <row r="37" spans="1:84" x14ac:dyDescent="0.25">
      <c r="A37" s="318" t="s">
        <v>1054</v>
      </c>
      <c r="B37" s="319"/>
      <c r="C37" s="320"/>
      <c r="D37" s="321"/>
      <c r="E37" s="321"/>
      <c r="F37" s="321"/>
      <c r="G37" s="322"/>
    </row>
    <row r="38" spans="1:84" x14ac:dyDescent="0.25">
      <c r="A38" s="323" t="s">
        <v>29</v>
      </c>
      <c r="B38" s="319"/>
      <c r="C38" s="320"/>
      <c r="D38" s="321"/>
      <c r="E38" s="321"/>
      <c r="F38" s="321"/>
      <c r="G38" s="322"/>
    </row>
    <row r="39" spans="1:84" x14ac:dyDescent="0.25">
      <c r="A39" s="324" t="s">
        <v>1055</v>
      </c>
      <c r="B39" s="321"/>
      <c r="C39" s="320"/>
      <c r="D39" s="321"/>
      <c r="E39" s="321"/>
      <c r="F39" s="321"/>
      <c r="G39" s="322"/>
    </row>
    <row r="40" spans="1:84" x14ac:dyDescent="0.25">
      <c r="A40" s="325" t="s">
        <v>31</v>
      </c>
      <c r="B40" s="326"/>
      <c r="C40" s="327"/>
      <c r="D40" s="326"/>
      <c r="E40" s="326"/>
      <c r="F40" s="326"/>
      <c r="G40" s="328"/>
    </row>
    <row r="41" spans="1:84" x14ac:dyDescent="0.25">
      <c r="C41" s="13"/>
    </row>
    <row r="42" spans="1:84" x14ac:dyDescent="0.25">
      <c r="A42" s="11" t="s">
        <v>32</v>
      </c>
      <c r="C42" s="13"/>
      <c r="F42" s="313" t="s">
        <v>33</v>
      </c>
    </row>
    <row r="43" spans="1:84" x14ac:dyDescent="0.25">
      <c r="A43" s="313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3924046.36</v>
      </c>
      <c r="D47" s="273">
        <v>1913711.3599999999</v>
      </c>
      <c r="E47" s="273">
        <v>6812307.6299999999</v>
      </c>
      <c r="F47" s="273">
        <v>0</v>
      </c>
      <c r="G47" s="273">
        <v>526942.07999999996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1427426.67</v>
      </c>
      <c r="N47" s="273">
        <v>3771841.0600000005</v>
      </c>
      <c r="O47" s="273">
        <v>4725923.8100000005</v>
      </c>
      <c r="P47" s="273">
        <v>2492078.6399999997</v>
      </c>
      <c r="Q47" s="273">
        <v>1534205.27</v>
      </c>
      <c r="R47" s="273">
        <v>119650.91999999998</v>
      </c>
      <c r="S47" s="273">
        <v>582608.15</v>
      </c>
      <c r="T47" s="273">
        <v>0</v>
      </c>
      <c r="U47" s="273">
        <v>1837129.4100000001</v>
      </c>
      <c r="V47" s="273">
        <v>48173.87</v>
      </c>
      <c r="W47" s="273">
        <v>107206.55</v>
      </c>
      <c r="X47" s="273">
        <v>289308.39</v>
      </c>
      <c r="Y47" s="273">
        <v>4042024.96</v>
      </c>
      <c r="Z47" s="273">
        <v>889030.65999999992</v>
      </c>
      <c r="AA47" s="273">
        <v>92957.22</v>
      </c>
      <c r="AB47" s="273">
        <v>1861255.33</v>
      </c>
      <c r="AC47" s="273">
        <v>678408.7</v>
      </c>
      <c r="AD47" s="273">
        <v>0</v>
      </c>
      <c r="AE47" s="273">
        <v>1631678.2200000002</v>
      </c>
      <c r="AF47" s="273">
        <v>0</v>
      </c>
      <c r="AG47" s="273">
        <v>2895064.62</v>
      </c>
      <c r="AH47" s="273">
        <v>0</v>
      </c>
      <c r="AI47" s="273">
        <v>0</v>
      </c>
      <c r="AJ47" s="273">
        <v>16330453.810000002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11862868.830000002</v>
      </c>
      <c r="AQ47" s="273">
        <v>0</v>
      </c>
      <c r="AR47" s="273">
        <v>13892983.710000001</v>
      </c>
      <c r="AS47" s="273">
        <v>0</v>
      </c>
      <c r="AT47" s="273">
        <v>0</v>
      </c>
      <c r="AU47" s="273">
        <v>0</v>
      </c>
      <c r="AV47" s="273">
        <v>712504.17999999993</v>
      </c>
      <c r="AW47" s="273">
        <v>374376.68000000005</v>
      </c>
      <c r="AX47" s="273">
        <v>0</v>
      </c>
      <c r="AY47" s="273">
        <v>0</v>
      </c>
      <c r="AZ47" s="273">
        <v>1103930.3199999998</v>
      </c>
      <c r="BA47" s="273">
        <v>111998.32</v>
      </c>
      <c r="BB47" s="273">
        <v>0</v>
      </c>
      <c r="BC47" s="273">
        <v>104163.68000000001</v>
      </c>
      <c r="BD47" s="273">
        <v>863011.64999999991</v>
      </c>
      <c r="BE47" s="273">
        <v>1134842.8500000001</v>
      </c>
      <c r="BF47" s="273">
        <v>1850425.45</v>
      </c>
      <c r="BG47" s="273">
        <v>1082380.1800000002</v>
      </c>
      <c r="BH47" s="273">
        <v>3490024.29</v>
      </c>
      <c r="BI47" s="273">
        <v>538609.51</v>
      </c>
      <c r="BJ47" s="273">
        <v>485397.53</v>
      </c>
      <c r="BK47" s="273">
        <v>1571959.27</v>
      </c>
      <c r="BL47" s="273">
        <v>1875538.51</v>
      </c>
      <c r="BM47" s="273">
        <v>1274500.8699999999</v>
      </c>
      <c r="BN47" s="273">
        <v>1379213.47</v>
      </c>
      <c r="BO47" s="273">
        <v>312393.43999999994</v>
      </c>
      <c r="BP47" s="273">
        <v>436612.04</v>
      </c>
      <c r="BQ47" s="273">
        <v>123823.56999999999</v>
      </c>
      <c r="BR47" s="273">
        <v>19233922.860000003</v>
      </c>
      <c r="BS47" s="273">
        <v>106301.29000000001</v>
      </c>
      <c r="BT47" s="273">
        <v>32678.44</v>
      </c>
      <c r="BU47" s="273">
        <v>0</v>
      </c>
      <c r="BV47" s="273">
        <v>1243156.1600000001</v>
      </c>
      <c r="BW47" s="273">
        <v>175728.52</v>
      </c>
      <c r="BX47" s="273">
        <v>1382432.07</v>
      </c>
      <c r="BY47" s="273">
        <v>407281.74</v>
      </c>
      <c r="BZ47" s="273">
        <v>1291700.3</v>
      </c>
      <c r="CA47" s="273">
        <v>404746.47000000003</v>
      </c>
      <c r="CB47" s="273">
        <v>1812877.59</v>
      </c>
      <c r="CC47" s="273">
        <v>1042369.4500000001</v>
      </c>
      <c r="CD47" s="16"/>
      <c r="CE47" s="25">
        <v>130248186.93000001</v>
      </c>
      <c r="CF47" s="329">
        <v>0</v>
      </c>
    </row>
    <row r="48" spans="1:84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  <c r="CF48" s="329">
        <v>0</v>
      </c>
    </row>
    <row r="49" spans="1:84" x14ac:dyDescent="0.25">
      <c r="A49" s="16" t="s">
        <v>232</v>
      </c>
      <c r="B49" s="25"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9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9">
        <v>0</v>
      </c>
    </row>
    <row r="51" spans="1:84" x14ac:dyDescent="0.25">
      <c r="A51" s="21" t="s">
        <v>233</v>
      </c>
      <c r="B51" s="273">
        <v>0</v>
      </c>
      <c r="C51" s="273">
        <v>2593079.5499999998</v>
      </c>
      <c r="D51" s="273">
        <v>1401432.13</v>
      </c>
      <c r="E51" s="273">
        <v>2103371.73</v>
      </c>
      <c r="F51" s="273">
        <v>0</v>
      </c>
      <c r="G51" s="273">
        <v>74334.460000000006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242733.53</v>
      </c>
      <c r="N51" s="273">
        <v>3639.2</v>
      </c>
      <c r="O51" s="273">
        <v>3134520.1</v>
      </c>
      <c r="P51" s="273">
        <v>3864091.87</v>
      </c>
      <c r="Q51" s="273">
        <v>158493.99</v>
      </c>
      <c r="R51" s="273">
        <v>149001.35999999999</v>
      </c>
      <c r="S51" s="273">
        <v>317744.99</v>
      </c>
      <c r="T51" s="273">
        <v>0</v>
      </c>
      <c r="U51" s="273">
        <v>450076.98</v>
      </c>
      <c r="V51" s="273">
        <v>6201.06</v>
      </c>
      <c r="W51" s="273">
        <v>54728.619999999995</v>
      </c>
      <c r="X51" s="273">
        <v>146391.78999999998</v>
      </c>
      <c r="Y51" s="273">
        <v>3215706.67</v>
      </c>
      <c r="Z51" s="273">
        <v>618242.82999999996</v>
      </c>
      <c r="AA51" s="273">
        <v>48697.880000000005</v>
      </c>
      <c r="AB51" s="273">
        <v>611592.12</v>
      </c>
      <c r="AC51" s="273">
        <v>31409.48</v>
      </c>
      <c r="AD51" s="273">
        <v>0</v>
      </c>
      <c r="AE51" s="273">
        <v>285063.71999999997</v>
      </c>
      <c r="AF51" s="273">
        <v>0</v>
      </c>
      <c r="AG51" s="273">
        <v>1628313.17</v>
      </c>
      <c r="AH51" s="273">
        <v>0</v>
      </c>
      <c r="AI51" s="273">
        <v>0</v>
      </c>
      <c r="AJ51" s="273">
        <v>2789677.01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7564908.0800000001</v>
      </c>
      <c r="AQ51" s="273">
        <v>0</v>
      </c>
      <c r="AR51" s="273">
        <v>582304.15</v>
      </c>
      <c r="AS51" s="273">
        <v>0</v>
      </c>
      <c r="AT51" s="273">
        <v>0</v>
      </c>
      <c r="AU51" s="273">
        <v>0</v>
      </c>
      <c r="AV51" s="273">
        <v>169550.38</v>
      </c>
      <c r="AW51" s="273">
        <v>28862.719999999998</v>
      </c>
      <c r="AX51" s="273">
        <v>337099.8</v>
      </c>
      <c r="AY51" s="273">
        <v>0</v>
      </c>
      <c r="AZ51" s="273">
        <v>757429.47</v>
      </c>
      <c r="BA51" s="273">
        <v>4776</v>
      </c>
      <c r="BB51" s="273">
        <v>0</v>
      </c>
      <c r="BC51" s="273">
        <v>6935.6</v>
      </c>
      <c r="BD51" s="273">
        <v>237317.88</v>
      </c>
      <c r="BE51" s="273">
        <v>8474776.6699999999</v>
      </c>
      <c r="BF51" s="273">
        <v>61661.81</v>
      </c>
      <c r="BG51" s="273">
        <v>1542594.44</v>
      </c>
      <c r="BH51" s="273">
        <v>15880300.57</v>
      </c>
      <c r="BI51" s="273">
        <v>930728.71</v>
      </c>
      <c r="BJ51" s="273">
        <v>36671.020000000004</v>
      </c>
      <c r="BK51" s="273">
        <v>37611.93</v>
      </c>
      <c r="BL51" s="273">
        <v>24178.78</v>
      </c>
      <c r="BM51" s="273">
        <v>9132.85</v>
      </c>
      <c r="BN51" s="273">
        <v>492864.33999999997</v>
      </c>
      <c r="BO51" s="273">
        <v>65997.87</v>
      </c>
      <c r="BP51" s="273">
        <v>357073.33</v>
      </c>
      <c r="BQ51" s="273">
        <v>2893.79</v>
      </c>
      <c r="BR51" s="273">
        <v>185132.54</v>
      </c>
      <c r="BS51" s="273">
        <v>15624</v>
      </c>
      <c r="BT51" s="273">
        <v>19506.16</v>
      </c>
      <c r="BU51" s="273">
        <v>0</v>
      </c>
      <c r="BV51" s="273">
        <v>93177.299999999988</v>
      </c>
      <c r="BW51" s="273">
        <v>20119.79</v>
      </c>
      <c r="BX51" s="273">
        <v>64854.720000000001</v>
      </c>
      <c r="BY51" s="273">
        <v>417060.52</v>
      </c>
      <c r="BZ51" s="273">
        <v>6913.1</v>
      </c>
      <c r="CA51" s="273">
        <v>104654.51</v>
      </c>
      <c r="CB51" s="273">
        <v>140414.23000000001</v>
      </c>
      <c r="CC51" s="273">
        <v>51663.47</v>
      </c>
      <c r="CD51" s="16"/>
      <c r="CE51" s="25">
        <v>62653334.769999988</v>
      </c>
      <c r="CF51" s="329">
        <v>0</v>
      </c>
    </row>
    <row r="52" spans="1:84" x14ac:dyDescent="0.25">
      <c r="A52" s="31" t="s">
        <v>234</v>
      </c>
      <c r="B52" s="330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  <c r="CF52" s="329">
        <v>0</v>
      </c>
    </row>
    <row r="53" spans="1:84" x14ac:dyDescent="0.25">
      <c r="A53" s="16" t="s">
        <v>232</v>
      </c>
      <c r="B53" s="25"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9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9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9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9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9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9">
        <v>0</v>
      </c>
    </row>
    <row r="59" spans="1:84" x14ac:dyDescent="0.25">
      <c r="A59" s="31" t="s">
        <v>260</v>
      </c>
      <c r="B59" s="25"/>
      <c r="C59" s="273">
        <v>5822</v>
      </c>
      <c r="D59" s="273">
        <v>11785</v>
      </c>
      <c r="E59" s="273">
        <v>50188</v>
      </c>
      <c r="F59" s="273">
        <v>0</v>
      </c>
      <c r="G59" s="273">
        <v>3877</v>
      </c>
      <c r="H59" s="273">
        <v>0</v>
      </c>
      <c r="I59" s="273">
        <v>0</v>
      </c>
      <c r="J59" s="273">
        <v>0</v>
      </c>
      <c r="K59" s="273">
        <v>0</v>
      </c>
      <c r="L59" s="273">
        <v>0</v>
      </c>
      <c r="M59" s="273">
        <v>3782</v>
      </c>
      <c r="N59" s="273">
        <v>0</v>
      </c>
      <c r="O59" s="273">
        <v>4448</v>
      </c>
      <c r="P59" s="331">
        <v>845342</v>
      </c>
      <c r="Q59" s="331">
        <v>1746635</v>
      </c>
      <c r="R59" s="331">
        <v>1508745</v>
      </c>
      <c r="S59" s="332">
        <v>0</v>
      </c>
      <c r="T59" s="332">
        <v>0</v>
      </c>
      <c r="U59" s="333">
        <v>1129590</v>
      </c>
      <c r="V59" s="331">
        <v>0</v>
      </c>
      <c r="W59" s="331">
        <v>36087.21</v>
      </c>
      <c r="X59" s="331">
        <v>227448.07</v>
      </c>
      <c r="Y59" s="331">
        <v>413280.5</v>
      </c>
      <c r="Z59" s="331">
        <v>64912.79</v>
      </c>
      <c r="AA59" s="331">
        <v>17533.79</v>
      </c>
      <c r="AB59" s="332">
        <v>0</v>
      </c>
      <c r="AC59" s="331">
        <v>0</v>
      </c>
      <c r="AD59" s="331">
        <v>0</v>
      </c>
      <c r="AE59" s="331">
        <v>20092</v>
      </c>
      <c r="AF59" s="331">
        <v>0</v>
      </c>
      <c r="AG59" s="331">
        <v>120672</v>
      </c>
      <c r="AH59" s="331">
        <v>0</v>
      </c>
      <c r="AI59" s="331">
        <v>0</v>
      </c>
      <c r="AJ59" s="331">
        <v>328965</v>
      </c>
      <c r="AK59" s="331">
        <v>0</v>
      </c>
      <c r="AL59" s="331">
        <v>0</v>
      </c>
      <c r="AM59" s="331">
        <v>0</v>
      </c>
      <c r="AN59" s="331">
        <v>0</v>
      </c>
      <c r="AO59" s="331">
        <v>0</v>
      </c>
      <c r="AP59" s="331">
        <v>423794</v>
      </c>
      <c r="AQ59" s="331">
        <v>0</v>
      </c>
      <c r="AR59" s="331">
        <v>336041</v>
      </c>
      <c r="AS59" s="331">
        <v>0</v>
      </c>
      <c r="AT59" s="331">
        <v>0</v>
      </c>
      <c r="AU59" s="331">
        <v>0</v>
      </c>
      <c r="AV59" s="332">
        <v>0</v>
      </c>
      <c r="AW59" s="332">
        <v>0</v>
      </c>
      <c r="AX59" s="332">
        <v>0</v>
      </c>
      <c r="AY59" s="331">
        <v>0</v>
      </c>
      <c r="AZ59" s="331">
        <v>800216.09000000008</v>
      </c>
      <c r="BA59" s="332">
        <v>0</v>
      </c>
      <c r="BB59" s="332">
        <v>0</v>
      </c>
      <c r="BC59" s="332">
        <v>0</v>
      </c>
      <c r="BD59" s="332">
        <v>0</v>
      </c>
      <c r="BE59" s="331">
        <v>678599</v>
      </c>
      <c r="BF59" s="332">
        <v>0</v>
      </c>
      <c r="BG59" s="332">
        <v>0</v>
      </c>
      <c r="BH59" s="332">
        <v>0</v>
      </c>
      <c r="BI59" s="332">
        <v>0</v>
      </c>
      <c r="BJ59" s="332">
        <v>0</v>
      </c>
      <c r="BK59" s="332">
        <v>0</v>
      </c>
      <c r="BL59" s="332">
        <v>0</v>
      </c>
      <c r="BM59" s="332">
        <v>0</v>
      </c>
      <c r="BN59" s="332">
        <v>0</v>
      </c>
      <c r="BO59" s="332">
        <v>0</v>
      </c>
      <c r="BP59" s="332">
        <v>0</v>
      </c>
      <c r="BQ59" s="332">
        <v>0</v>
      </c>
      <c r="BR59" s="332">
        <v>0</v>
      </c>
      <c r="BS59" s="332">
        <v>0</v>
      </c>
      <c r="BT59" s="332">
        <v>0</v>
      </c>
      <c r="BU59" s="332">
        <v>0</v>
      </c>
      <c r="BV59" s="332">
        <v>0</v>
      </c>
      <c r="BW59" s="332">
        <v>0</v>
      </c>
      <c r="BX59" s="332">
        <v>0</v>
      </c>
      <c r="BY59" s="332">
        <v>0</v>
      </c>
      <c r="BZ59" s="332">
        <v>0</v>
      </c>
      <c r="CA59" s="332">
        <v>0</v>
      </c>
      <c r="CB59" s="332">
        <v>0</v>
      </c>
      <c r="CC59" s="332">
        <v>0</v>
      </c>
      <c r="CD59" s="224">
        <v>0</v>
      </c>
      <c r="CE59" s="25">
        <v>0</v>
      </c>
      <c r="CF59" s="329">
        <v>0</v>
      </c>
    </row>
    <row r="60" spans="1:84" s="201" customFormat="1" ht="15.75" customHeight="1" x14ac:dyDescent="0.25">
      <c r="A60" s="207" t="s">
        <v>261</v>
      </c>
      <c r="B60" s="208"/>
      <c r="C60" s="277">
        <v>130.21096634615384</v>
      </c>
      <c r="D60" s="277">
        <v>76.76465384615382</v>
      </c>
      <c r="E60" s="277">
        <v>366.00290384615386</v>
      </c>
      <c r="F60" s="277">
        <v>0</v>
      </c>
      <c r="G60" s="277">
        <v>19.359201923076924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49.7745240384615</v>
      </c>
      <c r="N60" s="277">
        <v>58.667528846153843</v>
      </c>
      <c r="O60" s="277">
        <v>185.0294375</v>
      </c>
      <c r="P60" s="334">
        <v>109.33629807692307</v>
      </c>
      <c r="Q60" s="334">
        <v>63.088052884615394</v>
      </c>
      <c r="R60" s="334">
        <v>8.8294182692307679</v>
      </c>
      <c r="S60" s="278">
        <v>26.055139423076923</v>
      </c>
      <c r="T60" s="278">
        <v>0</v>
      </c>
      <c r="U60" s="335">
        <v>88.083355769230778</v>
      </c>
      <c r="V60" s="334">
        <v>2.5969567307692309</v>
      </c>
      <c r="W60" s="334">
        <v>5.7954759615384619</v>
      </c>
      <c r="X60" s="334">
        <v>12.962620192307693</v>
      </c>
      <c r="Y60" s="334">
        <v>155.87890865384614</v>
      </c>
      <c r="Z60" s="334">
        <v>22.118822115384617</v>
      </c>
      <c r="AA60" s="334">
        <v>3.3569182692307695</v>
      </c>
      <c r="AB60" s="278">
        <v>67.487394230769226</v>
      </c>
      <c r="AC60" s="334">
        <v>25.808456730769233</v>
      </c>
      <c r="AD60" s="334">
        <v>0</v>
      </c>
      <c r="AE60" s="334">
        <v>69.968942307692302</v>
      </c>
      <c r="AF60" s="334">
        <v>0</v>
      </c>
      <c r="AG60" s="334">
        <v>115.60045673076921</v>
      </c>
      <c r="AH60" s="334">
        <v>0</v>
      </c>
      <c r="AI60" s="334">
        <v>0</v>
      </c>
      <c r="AJ60" s="334">
        <v>507.20357692307698</v>
      </c>
      <c r="AK60" s="334">
        <v>0</v>
      </c>
      <c r="AL60" s="334">
        <v>0</v>
      </c>
      <c r="AM60" s="334">
        <v>0</v>
      </c>
      <c r="AN60" s="334">
        <v>0</v>
      </c>
      <c r="AO60" s="334">
        <v>0</v>
      </c>
      <c r="AP60" s="334">
        <v>417.27210576923073</v>
      </c>
      <c r="AQ60" s="334">
        <v>0</v>
      </c>
      <c r="AR60" s="334">
        <v>494.024524038462</v>
      </c>
      <c r="AS60" s="334">
        <v>0</v>
      </c>
      <c r="AT60" s="334">
        <v>0</v>
      </c>
      <c r="AU60" s="334">
        <v>0</v>
      </c>
      <c r="AV60" s="278">
        <v>23.385538461538459</v>
      </c>
      <c r="AW60" s="278">
        <v>19.779365384615385</v>
      </c>
      <c r="AX60" s="278">
        <v>0</v>
      </c>
      <c r="AY60" s="334">
        <v>0</v>
      </c>
      <c r="AZ60" s="334">
        <v>57.42095192307692</v>
      </c>
      <c r="BA60" s="278">
        <v>5.0054423076923076</v>
      </c>
      <c r="BB60" s="278">
        <v>0.22111057692307692</v>
      </c>
      <c r="BC60" s="278">
        <v>8.0492644230769237</v>
      </c>
      <c r="BD60" s="278">
        <v>40.455740384615389</v>
      </c>
      <c r="BE60" s="334">
        <v>49.360043269230772</v>
      </c>
      <c r="BF60" s="278">
        <v>97.330725961538462</v>
      </c>
      <c r="BG60" s="278">
        <v>68.204754807692311</v>
      </c>
      <c r="BH60" s="278">
        <v>104.97837019230769</v>
      </c>
      <c r="BI60" s="278">
        <v>19.471499999999999</v>
      </c>
      <c r="BJ60" s="278">
        <v>20.205918269230768</v>
      </c>
      <c r="BK60" s="278">
        <v>76.745721153846162</v>
      </c>
      <c r="BL60" s="278">
        <v>97.754225961538452</v>
      </c>
      <c r="BM60" s="278">
        <v>49.502903846153849</v>
      </c>
      <c r="BN60" s="278">
        <v>24.849586538461534</v>
      </c>
      <c r="BO60" s="278">
        <v>9.9681201923076941</v>
      </c>
      <c r="BP60" s="278">
        <v>11.453067307692308</v>
      </c>
      <c r="BQ60" s="278">
        <v>4.3945000000000007</v>
      </c>
      <c r="BR60" s="278">
        <v>31.572168269230769</v>
      </c>
      <c r="BS60" s="278">
        <v>5.1668894230769231</v>
      </c>
      <c r="BT60" s="278">
        <v>1.5863076923076922</v>
      </c>
      <c r="BU60" s="278">
        <v>0</v>
      </c>
      <c r="BV60" s="278">
        <v>52.77644711538462</v>
      </c>
      <c r="BW60" s="278">
        <v>8.0577451923076922</v>
      </c>
      <c r="BX60" s="278">
        <v>58.692086538461538</v>
      </c>
      <c r="BY60" s="278">
        <v>13.517158653846154</v>
      </c>
      <c r="BZ60" s="278">
        <v>44.260951923076938</v>
      </c>
      <c r="CA60" s="278">
        <v>15.24045673076923</v>
      </c>
      <c r="CB60" s="278">
        <v>87.455307692307699</v>
      </c>
      <c r="CC60" s="278">
        <v>47.36295192307692</v>
      </c>
      <c r="CD60" s="209" t="s">
        <v>247</v>
      </c>
      <c r="CE60" s="227">
        <v>4235.5019615384608</v>
      </c>
      <c r="CF60" s="336">
        <v>0</v>
      </c>
    </row>
    <row r="61" spans="1:84" x14ac:dyDescent="0.25">
      <c r="A61" s="31" t="s">
        <v>262</v>
      </c>
      <c r="B61" s="16"/>
      <c r="C61" s="273">
        <v>18180793.460000005</v>
      </c>
      <c r="D61" s="273">
        <v>9832407.8499999996</v>
      </c>
      <c r="E61" s="273">
        <v>42727299.250000015</v>
      </c>
      <c r="F61" s="273">
        <v>0</v>
      </c>
      <c r="G61" s="273">
        <v>2612590.6700000004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6273943.21</v>
      </c>
      <c r="N61" s="273">
        <v>20292332.330000002</v>
      </c>
      <c r="O61" s="273">
        <v>29274215.550000004</v>
      </c>
      <c r="P61" s="331">
        <v>14171507.800000003</v>
      </c>
      <c r="Q61" s="331">
        <v>10072892.879999999</v>
      </c>
      <c r="R61" s="331">
        <v>801740.76</v>
      </c>
      <c r="S61" s="280">
        <v>1813571.85</v>
      </c>
      <c r="T61" s="280">
        <v>0</v>
      </c>
      <c r="U61" s="333">
        <v>8080245.0500000007</v>
      </c>
      <c r="V61" s="331">
        <v>205966.98</v>
      </c>
      <c r="W61" s="331">
        <v>1030768.48</v>
      </c>
      <c r="X61" s="331">
        <v>1877512.98</v>
      </c>
      <c r="Y61" s="331">
        <v>19843573.300000001</v>
      </c>
      <c r="Z61" s="331">
        <v>4886400.959999999</v>
      </c>
      <c r="AA61" s="331">
        <v>501064.44999999995</v>
      </c>
      <c r="AB61" s="281">
        <v>8866883.1100000013</v>
      </c>
      <c r="AC61" s="331">
        <v>3395020.6000000006</v>
      </c>
      <c r="AD61" s="331">
        <v>0</v>
      </c>
      <c r="AE61" s="331">
        <v>7018217.9700000007</v>
      </c>
      <c r="AF61" s="331">
        <v>0</v>
      </c>
      <c r="AG61" s="331">
        <v>14333049.27</v>
      </c>
      <c r="AH61" s="331">
        <v>0</v>
      </c>
      <c r="AI61" s="331">
        <v>0</v>
      </c>
      <c r="AJ61" s="331">
        <v>94725525.969999984</v>
      </c>
      <c r="AK61" s="331">
        <v>0</v>
      </c>
      <c r="AL61" s="331">
        <v>0</v>
      </c>
      <c r="AM61" s="331">
        <v>0</v>
      </c>
      <c r="AN61" s="331">
        <v>0</v>
      </c>
      <c r="AO61" s="331">
        <v>0</v>
      </c>
      <c r="AP61" s="331">
        <v>58318263.510000005</v>
      </c>
      <c r="AQ61" s="331">
        <v>0</v>
      </c>
      <c r="AR61" s="331">
        <v>59545939.369999997</v>
      </c>
      <c r="AS61" s="331">
        <v>0</v>
      </c>
      <c r="AT61" s="331">
        <v>0</v>
      </c>
      <c r="AU61" s="331">
        <v>0</v>
      </c>
      <c r="AV61" s="280">
        <v>3244339.52</v>
      </c>
      <c r="AW61" s="280">
        <v>1914287.03</v>
      </c>
      <c r="AX61" s="280">
        <v>0</v>
      </c>
      <c r="AY61" s="331">
        <v>0</v>
      </c>
      <c r="AZ61" s="331">
        <v>3570945.2899999996</v>
      </c>
      <c r="BA61" s="280">
        <v>280019.12</v>
      </c>
      <c r="BB61" s="280">
        <v>34346.800000000003</v>
      </c>
      <c r="BC61" s="280">
        <v>404363.24000000011</v>
      </c>
      <c r="BD61" s="280">
        <v>2895804.99</v>
      </c>
      <c r="BE61" s="331">
        <v>4073763.2600000007</v>
      </c>
      <c r="BF61" s="280">
        <v>5652729.0200000005</v>
      </c>
      <c r="BG61" s="280">
        <v>6304440.1799999997</v>
      </c>
      <c r="BH61" s="280">
        <v>15212465.649999999</v>
      </c>
      <c r="BI61" s="280">
        <v>2355538.8400000003</v>
      </c>
      <c r="BJ61" s="280">
        <v>2010183.49</v>
      </c>
      <c r="BK61" s="280">
        <v>5242858.46</v>
      </c>
      <c r="BL61" s="280">
        <v>6155172.7200000007</v>
      </c>
      <c r="BM61" s="280">
        <v>4681683.9499999983</v>
      </c>
      <c r="BN61" s="280">
        <v>6311409.3100000024</v>
      </c>
      <c r="BO61" s="280">
        <v>1344304.6099999999</v>
      </c>
      <c r="BP61" s="280">
        <v>1335373.6600000001</v>
      </c>
      <c r="BQ61" s="280">
        <v>560665.15</v>
      </c>
      <c r="BR61" s="280">
        <v>3467548.49</v>
      </c>
      <c r="BS61" s="280">
        <v>356157.06</v>
      </c>
      <c r="BT61" s="280">
        <v>128260.02999999998</v>
      </c>
      <c r="BU61" s="280">
        <v>0</v>
      </c>
      <c r="BV61" s="280">
        <v>3895906.17</v>
      </c>
      <c r="BW61" s="280">
        <v>3763949.19</v>
      </c>
      <c r="BX61" s="280">
        <v>7762835.4799999977</v>
      </c>
      <c r="BY61" s="280">
        <v>1698873.65</v>
      </c>
      <c r="BZ61" s="280">
        <v>4712470.1100000013</v>
      </c>
      <c r="CA61" s="280">
        <v>1860058.9599999997</v>
      </c>
      <c r="CB61" s="280">
        <v>7552136.1899999995</v>
      </c>
      <c r="CC61" s="280">
        <v>3689627.26</v>
      </c>
      <c r="CD61" s="24" t="s">
        <v>247</v>
      </c>
      <c r="CE61" s="25">
        <v>551154244.49000001</v>
      </c>
      <c r="CF61" s="329">
        <v>0</v>
      </c>
    </row>
    <row r="62" spans="1:84" x14ac:dyDescent="0.25">
      <c r="A62" s="31" t="s">
        <v>10</v>
      </c>
      <c r="B62" s="16"/>
      <c r="C62" s="25">
        <v>3924046</v>
      </c>
      <c r="D62" s="25">
        <v>1913711</v>
      </c>
      <c r="E62" s="25">
        <v>6812308</v>
      </c>
      <c r="F62" s="25">
        <v>0</v>
      </c>
      <c r="G62" s="25">
        <v>526942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1427427</v>
      </c>
      <c r="N62" s="25">
        <v>3771841</v>
      </c>
      <c r="O62" s="25">
        <v>4725924</v>
      </c>
      <c r="P62" s="25">
        <v>2492079</v>
      </c>
      <c r="Q62" s="25">
        <v>1534205</v>
      </c>
      <c r="R62" s="25">
        <v>119651</v>
      </c>
      <c r="S62" s="25">
        <v>582608</v>
      </c>
      <c r="T62" s="25">
        <v>0</v>
      </c>
      <c r="U62" s="25">
        <v>1837129</v>
      </c>
      <c r="V62" s="25">
        <v>48174</v>
      </c>
      <c r="W62" s="25">
        <v>107207</v>
      </c>
      <c r="X62" s="25">
        <v>289308</v>
      </c>
      <c r="Y62" s="25">
        <v>4042025</v>
      </c>
      <c r="Z62" s="25">
        <v>889031</v>
      </c>
      <c r="AA62" s="25">
        <v>92957</v>
      </c>
      <c r="AB62" s="25">
        <v>1861255</v>
      </c>
      <c r="AC62" s="25">
        <v>678409</v>
      </c>
      <c r="AD62" s="25">
        <v>0</v>
      </c>
      <c r="AE62" s="25">
        <v>1631678</v>
      </c>
      <c r="AF62" s="25">
        <v>0</v>
      </c>
      <c r="AG62" s="25">
        <v>2895065</v>
      </c>
      <c r="AH62" s="25">
        <v>0</v>
      </c>
      <c r="AI62" s="25">
        <v>0</v>
      </c>
      <c r="AJ62" s="25">
        <v>16330454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11862869</v>
      </c>
      <c r="AQ62" s="25">
        <v>0</v>
      </c>
      <c r="AR62" s="25">
        <v>13892984</v>
      </c>
      <c r="AS62" s="25">
        <v>0</v>
      </c>
      <c r="AT62" s="25">
        <v>0</v>
      </c>
      <c r="AU62" s="25">
        <v>0</v>
      </c>
      <c r="AV62" s="25">
        <v>712504</v>
      </c>
      <c r="AW62" s="25">
        <v>374377</v>
      </c>
      <c r="AX62" s="25">
        <v>0</v>
      </c>
      <c r="AY62" s="25">
        <v>0</v>
      </c>
      <c r="AZ62" s="25">
        <v>1103930</v>
      </c>
      <c r="BA62" s="25">
        <v>111998</v>
      </c>
      <c r="BB62" s="25">
        <v>0</v>
      </c>
      <c r="BC62" s="25">
        <v>104164</v>
      </c>
      <c r="BD62" s="25">
        <v>863012</v>
      </c>
      <c r="BE62" s="25">
        <v>1134843</v>
      </c>
      <c r="BF62" s="25">
        <v>1850425</v>
      </c>
      <c r="BG62" s="25">
        <v>1082380</v>
      </c>
      <c r="BH62" s="25">
        <v>3490024</v>
      </c>
      <c r="BI62" s="25">
        <v>538610</v>
      </c>
      <c r="BJ62" s="25">
        <v>485398</v>
      </c>
      <c r="BK62" s="25">
        <v>1571959</v>
      </c>
      <c r="BL62" s="25">
        <v>1875539</v>
      </c>
      <c r="BM62" s="25">
        <v>1274501</v>
      </c>
      <c r="BN62" s="25">
        <v>1379213</v>
      </c>
      <c r="BO62" s="25">
        <v>312393</v>
      </c>
      <c r="BP62" s="25">
        <v>436612</v>
      </c>
      <c r="BQ62" s="25">
        <v>123824</v>
      </c>
      <c r="BR62" s="25">
        <v>19233923</v>
      </c>
      <c r="BS62" s="25">
        <v>106301</v>
      </c>
      <c r="BT62" s="25">
        <v>32678</v>
      </c>
      <c r="BU62" s="25">
        <v>0</v>
      </c>
      <c r="BV62" s="25">
        <v>1243156</v>
      </c>
      <c r="BW62" s="25">
        <v>175729</v>
      </c>
      <c r="BX62" s="25">
        <v>1382432</v>
      </c>
      <c r="BY62" s="25">
        <v>407282</v>
      </c>
      <c r="BZ62" s="25">
        <v>1291700</v>
      </c>
      <c r="CA62" s="25">
        <v>404746</v>
      </c>
      <c r="CB62" s="25">
        <v>1812878</v>
      </c>
      <c r="CC62" s="25">
        <v>1042369</v>
      </c>
      <c r="CD62" s="24" t="s">
        <v>247</v>
      </c>
      <c r="CE62" s="25">
        <v>130248187</v>
      </c>
      <c r="CF62" s="329">
        <v>0</v>
      </c>
    </row>
    <row r="63" spans="1:84" x14ac:dyDescent="0.25">
      <c r="A63" s="31" t="s">
        <v>263</v>
      </c>
      <c r="B63" s="16"/>
      <c r="C63" s="273">
        <v>745231.68</v>
      </c>
      <c r="D63" s="273">
        <v>0</v>
      </c>
      <c r="E63" s="273">
        <v>0</v>
      </c>
      <c r="F63" s="273">
        <v>0</v>
      </c>
      <c r="G63" s="273">
        <v>-500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781598.39</v>
      </c>
      <c r="O63" s="273">
        <v>1794156.52</v>
      </c>
      <c r="P63" s="331">
        <v>2285.9899999999998</v>
      </c>
      <c r="Q63" s="331">
        <v>0</v>
      </c>
      <c r="R63" s="331">
        <v>0</v>
      </c>
      <c r="S63" s="280">
        <v>0</v>
      </c>
      <c r="T63" s="280">
        <v>0</v>
      </c>
      <c r="U63" s="333">
        <v>103457.52</v>
      </c>
      <c r="V63" s="331">
        <v>2450</v>
      </c>
      <c r="W63" s="331">
        <v>0</v>
      </c>
      <c r="X63" s="331">
        <v>0</v>
      </c>
      <c r="Y63" s="331">
        <v>69375</v>
      </c>
      <c r="Z63" s="331">
        <v>0</v>
      </c>
      <c r="AA63" s="331">
        <v>0</v>
      </c>
      <c r="AB63" s="281">
        <v>0</v>
      </c>
      <c r="AC63" s="331">
        <v>0</v>
      </c>
      <c r="AD63" s="331">
        <v>0</v>
      </c>
      <c r="AE63" s="331">
        <v>0</v>
      </c>
      <c r="AF63" s="331">
        <v>0</v>
      </c>
      <c r="AG63" s="331">
        <v>514828</v>
      </c>
      <c r="AH63" s="331">
        <v>0</v>
      </c>
      <c r="AI63" s="331">
        <v>0</v>
      </c>
      <c r="AJ63" s="331">
        <v>1283905.6499999999</v>
      </c>
      <c r="AK63" s="331">
        <v>0</v>
      </c>
      <c r="AL63" s="331">
        <v>0</v>
      </c>
      <c r="AM63" s="331">
        <v>0</v>
      </c>
      <c r="AN63" s="331">
        <v>0</v>
      </c>
      <c r="AO63" s="331">
        <v>0</v>
      </c>
      <c r="AP63" s="331">
        <v>7260169.1500000004</v>
      </c>
      <c r="AQ63" s="331">
        <v>0</v>
      </c>
      <c r="AR63" s="331">
        <v>400.89</v>
      </c>
      <c r="AS63" s="331">
        <v>0</v>
      </c>
      <c r="AT63" s="331">
        <v>0</v>
      </c>
      <c r="AU63" s="331">
        <v>0</v>
      </c>
      <c r="AV63" s="280">
        <v>0</v>
      </c>
      <c r="AW63" s="280">
        <v>277534.65000000002</v>
      </c>
      <c r="AX63" s="280">
        <v>2643</v>
      </c>
      <c r="AY63" s="331">
        <v>0</v>
      </c>
      <c r="AZ63" s="331">
        <v>1844.03</v>
      </c>
      <c r="BA63" s="280">
        <v>0</v>
      </c>
      <c r="BB63" s="280">
        <v>0</v>
      </c>
      <c r="BC63" s="280">
        <v>0</v>
      </c>
      <c r="BD63" s="280">
        <v>0</v>
      </c>
      <c r="BE63" s="331">
        <v>113.51999999999998</v>
      </c>
      <c r="BF63" s="280">
        <v>0</v>
      </c>
      <c r="BG63" s="280">
        <v>0</v>
      </c>
      <c r="BH63" s="280">
        <v>0</v>
      </c>
      <c r="BI63" s="280">
        <v>474176.17000000004</v>
      </c>
      <c r="BJ63" s="280">
        <v>297425.26</v>
      </c>
      <c r="BK63" s="280">
        <v>138766.57</v>
      </c>
      <c r="BL63" s="280">
        <v>43558.93</v>
      </c>
      <c r="BM63" s="280">
        <v>3210</v>
      </c>
      <c r="BN63" s="280">
        <v>2668513.6800000002</v>
      </c>
      <c r="BO63" s="280">
        <v>10</v>
      </c>
      <c r="BP63" s="280">
        <v>0</v>
      </c>
      <c r="BQ63" s="280">
        <v>0</v>
      </c>
      <c r="BR63" s="280">
        <v>858095.7</v>
      </c>
      <c r="BS63" s="280">
        <v>0</v>
      </c>
      <c r="BT63" s="280">
        <v>0</v>
      </c>
      <c r="BU63" s="280">
        <v>0</v>
      </c>
      <c r="BV63" s="280">
        <v>0</v>
      </c>
      <c r="BW63" s="280">
        <v>1827618.9</v>
      </c>
      <c r="BX63" s="280">
        <v>890273.43</v>
      </c>
      <c r="BY63" s="280">
        <v>90131.25</v>
      </c>
      <c r="BZ63" s="280">
        <v>0</v>
      </c>
      <c r="CA63" s="280">
        <v>0</v>
      </c>
      <c r="CB63" s="280">
        <v>0</v>
      </c>
      <c r="CC63" s="280">
        <v>384617.05</v>
      </c>
      <c r="CD63" s="24" t="s">
        <v>247</v>
      </c>
      <c r="CE63" s="25">
        <v>20515890.93</v>
      </c>
      <c r="CF63" s="329">
        <v>0</v>
      </c>
    </row>
    <row r="64" spans="1:84" x14ac:dyDescent="0.25">
      <c r="A64" s="31" t="s">
        <v>264</v>
      </c>
      <c r="B64" s="16"/>
      <c r="C64" s="273">
        <v>1396459.87</v>
      </c>
      <c r="D64" s="273">
        <v>733875.05000000016</v>
      </c>
      <c r="E64" s="273">
        <v>3213767.69</v>
      </c>
      <c r="F64" s="273">
        <v>0</v>
      </c>
      <c r="G64" s="273">
        <v>91874.89</v>
      </c>
      <c r="H64" s="273">
        <v>0</v>
      </c>
      <c r="I64" s="273">
        <v>3656.19</v>
      </c>
      <c r="J64" s="273">
        <v>0</v>
      </c>
      <c r="K64" s="273">
        <v>0</v>
      </c>
      <c r="L64" s="273">
        <v>0</v>
      </c>
      <c r="M64" s="273">
        <v>184846.32</v>
      </c>
      <c r="N64" s="273">
        <v>21013.989999999998</v>
      </c>
      <c r="O64" s="273">
        <v>2576303.2800000003</v>
      </c>
      <c r="P64" s="331">
        <v>41706325.000000022</v>
      </c>
      <c r="Q64" s="331">
        <v>504503.53</v>
      </c>
      <c r="R64" s="331">
        <v>668034.66</v>
      </c>
      <c r="S64" s="280">
        <v>822681.97000000009</v>
      </c>
      <c r="T64" s="280">
        <v>0</v>
      </c>
      <c r="U64" s="333">
        <v>7507933.7200000007</v>
      </c>
      <c r="V64" s="331">
        <v>76223.109999999986</v>
      </c>
      <c r="W64" s="331">
        <v>178299.54000000004</v>
      </c>
      <c r="X64" s="331">
        <v>511580.12</v>
      </c>
      <c r="Y64" s="331">
        <v>7717761.5200000014</v>
      </c>
      <c r="Z64" s="331">
        <v>521775.42999999993</v>
      </c>
      <c r="AA64" s="331">
        <v>512550.96999999991</v>
      </c>
      <c r="AB64" s="281">
        <v>20246192.640000008</v>
      </c>
      <c r="AC64" s="331">
        <v>321128.48</v>
      </c>
      <c r="AD64" s="331">
        <v>0</v>
      </c>
      <c r="AE64" s="331">
        <v>124842.22999999998</v>
      </c>
      <c r="AF64" s="331">
        <v>0</v>
      </c>
      <c r="AG64" s="331">
        <v>1851321.3299999994</v>
      </c>
      <c r="AH64" s="331">
        <v>0</v>
      </c>
      <c r="AI64" s="331">
        <v>0</v>
      </c>
      <c r="AJ64" s="331">
        <v>7000666.2300000014</v>
      </c>
      <c r="AK64" s="331">
        <v>0</v>
      </c>
      <c r="AL64" s="331">
        <v>0</v>
      </c>
      <c r="AM64" s="331">
        <v>0</v>
      </c>
      <c r="AN64" s="331">
        <v>0</v>
      </c>
      <c r="AO64" s="331">
        <v>0</v>
      </c>
      <c r="AP64" s="331">
        <v>10023409.380000001</v>
      </c>
      <c r="AQ64" s="331">
        <v>0</v>
      </c>
      <c r="AR64" s="331">
        <v>3655990.93</v>
      </c>
      <c r="AS64" s="331">
        <v>0</v>
      </c>
      <c r="AT64" s="331">
        <v>0</v>
      </c>
      <c r="AU64" s="331">
        <v>0</v>
      </c>
      <c r="AV64" s="280">
        <v>12838575.600000001</v>
      </c>
      <c r="AW64" s="280">
        <v>53630.93</v>
      </c>
      <c r="AX64" s="280">
        <v>317552.88999999996</v>
      </c>
      <c r="AY64" s="331">
        <v>0</v>
      </c>
      <c r="AZ64" s="331">
        <v>1857072.2100000004</v>
      </c>
      <c r="BA64" s="280">
        <v>22064.36</v>
      </c>
      <c r="BB64" s="280">
        <v>0</v>
      </c>
      <c r="BC64" s="280">
        <v>30531.170000000002</v>
      </c>
      <c r="BD64" s="280">
        <v>31802.129999999997</v>
      </c>
      <c r="BE64" s="331">
        <v>730660.92999999993</v>
      </c>
      <c r="BF64" s="280">
        <v>469876.83000000007</v>
      </c>
      <c r="BG64" s="280">
        <v>393671.38</v>
      </c>
      <c r="BH64" s="280">
        <v>187229.38000000003</v>
      </c>
      <c r="BI64" s="280">
        <v>13915.09</v>
      </c>
      <c r="BJ64" s="280">
        <v>10600.28</v>
      </c>
      <c r="BK64" s="280">
        <v>45275.9</v>
      </c>
      <c r="BL64" s="280">
        <v>47409.080000000009</v>
      </c>
      <c r="BM64" s="280">
        <v>39702.199999999997</v>
      </c>
      <c r="BN64" s="280">
        <v>36206.019999999997</v>
      </c>
      <c r="BO64" s="280">
        <v>200699.62</v>
      </c>
      <c r="BP64" s="280">
        <v>38432.79</v>
      </c>
      <c r="BQ64" s="280">
        <v>6189.08</v>
      </c>
      <c r="BR64" s="280">
        <v>39813.15</v>
      </c>
      <c r="BS64" s="280">
        <v>306960.5</v>
      </c>
      <c r="BT64" s="280">
        <v>144.75</v>
      </c>
      <c r="BU64" s="280">
        <v>0</v>
      </c>
      <c r="BV64" s="280">
        <v>10300.23</v>
      </c>
      <c r="BW64" s="280">
        <v>4598.91</v>
      </c>
      <c r="BX64" s="280">
        <v>47395.549999999996</v>
      </c>
      <c r="BY64" s="280">
        <v>4706.92</v>
      </c>
      <c r="BZ64" s="280">
        <v>4896.37</v>
      </c>
      <c r="CA64" s="280">
        <v>375092.28</v>
      </c>
      <c r="CB64" s="280">
        <v>36700.83</v>
      </c>
      <c r="CC64" s="280">
        <v>-851693.61</v>
      </c>
      <c r="CD64" s="24" t="s">
        <v>247</v>
      </c>
      <c r="CE64" s="25">
        <v>129523031.82000007</v>
      </c>
      <c r="CF64" s="329">
        <v>0</v>
      </c>
    </row>
    <row r="65" spans="1:84" x14ac:dyDescent="0.25">
      <c r="A65" s="31" t="s">
        <v>265</v>
      </c>
      <c r="B65" s="16"/>
      <c r="C65" s="273">
        <v>5356.79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13636.490000000002</v>
      </c>
      <c r="N65" s="273">
        <v>31765.02</v>
      </c>
      <c r="O65" s="273">
        <v>0</v>
      </c>
      <c r="P65" s="331">
        <v>0</v>
      </c>
      <c r="Q65" s="331">
        <v>656.91</v>
      </c>
      <c r="R65" s="331">
        <v>0</v>
      </c>
      <c r="S65" s="280">
        <v>0</v>
      </c>
      <c r="T65" s="280">
        <v>0</v>
      </c>
      <c r="U65" s="333">
        <v>1803.76</v>
      </c>
      <c r="V65" s="331">
        <v>0</v>
      </c>
      <c r="W65" s="331">
        <v>157.99</v>
      </c>
      <c r="X65" s="331">
        <v>0</v>
      </c>
      <c r="Y65" s="331">
        <v>14874.44</v>
      </c>
      <c r="Z65" s="331">
        <v>2460.64</v>
      </c>
      <c r="AA65" s="331">
        <v>3.37</v>
      </c>
      <c r="AB65" s="281">
        <v>0</v>
      </c>
      <c r="AC65" s="331">
        <v>0</v>
      </c>
      <c r="AD65" s="331">
        <v>0</v>
      </c>
      <c r="AE65" s="331">
        <v>7181.75</v>
      </c>
      <c r="AF65" s="331">
        <v>0</v>
      </c>
      <c r="AG65" s="331">
        <v>1342.81</v>
      </c>
      <c r="AH65" s="331">
        <v>0</v>
      </c>
      <c r="AI65" s="331">
        <v>0</v>
      </c>
      <c r="AJ65" s="331">
        <v>159816.24</v>
      </c>
      <c r="AK65" s="331">
        <v>0</v>
      </c>
      <c r="AL65" s="331">
        <v>0</v>
      </c>
      <c r="AM65" s="331">
        <v>0</v>
      </c>
      <c r="AN65" s="331">
        <v>0</v>
      </c>
      <c r="AO65" s="331">
        <v>0</v>
      </c>
      <c r="AP65" s="331">
        <v>212236.68000000002</v>
      </c>
      <c r="AQ65" s="331">
        <v>0</v>
      </c>
      <c r="AR65" s="331">
        <v>332329.7</v>
      </c>
      <c r="AS65" s="331">
        <v>0</v>
      </c>
      <c r="AT65" s="331">
        <v>0</v>
      </c>
      <c r="AU65" s="331">
        <v>0</v>
      </c>
      <c r="AV65" s="280">
        <v>2662.38</v>
      </c>
      <c r="AW65" s="280">
        <v>0</v>
      </c>
      <c r="AX65" s="280">
        <v>4812.74</v>
      </c>
      <c r="AY65" s="331">
        <v>0</v>
      </c>
      <c r="AZ65" s="331">
        <v>0</v>
      </c>
      <c r="BA65" s="280">
        <v>0</v>
      </c>
      <c r="BB65" s="280">
        <v>0</v>
      </c>
      <c r="BC65" s="280">
        <v>0</v>
      </c>
      <c r="BD65" s="280">
        <v>114.92</v>
      </c>
      <c r="BE65" s="331">
        <v>5118808.6999999993</v>
      </c>
      <c r="BF65" s="280">
        <v>625162.76</v>
      </c>
      <c r="BG65" s="280">
        <v>1458000.16</v>
      </c>
      <c r="BH65" s="280">
        <v>482.35</v>
      </c>
      <c r="BI65" s="280">
        <v>1555.36</v>
      </c>
      <c r="BJ65" s="280">
        <v>0</v>
      </c>
      <c r="BK65" s="280">
        <v>39388.26</v>
      </c>
      <c r="BL65" s="280">
        <v>0</v>
      </c>
      <c r="BM65" s="280">
        <v>0</v>
      </c>
      <c r="BN65" s="280">
        <v>0</v>
      </c>
      <c r="BO65" s="280">
        <v>0</v>
      </c>
      <c r="BP65" s="280">
        <v>644.14</v>
      </c>
      <c r="BQ65" s="280">
        <v>0</v>
      </c>
      <c r="BR65" s="280">
        <v>1922.8</v>
      </c>
      <c r="BS65" s="280">
        <v>443.02</v>
      </c>
      <c r="BT65" s="280">
        <v>3463.08</v>
      </c>
      <c r="BU65" s="280">
        <v>0</v>
      </c>
      <c r="BV65" s="280">
        <v>0</v>
      </c>
      <c r="BW65" s="280">
        <v>0</v>
      </c>
      <c r="BX65" s="280">
        <v>2323.63</v>
      </c>
      <c r="BY65" s="280">
        <v>824.2</v>
      </c>
      <c r="BZ65" s="280">
        <v>507.59</v>
      </c>
      <c r="CA65" s="280">
        <v>0</v>
      </c>
      <c r="CB65" s="280">
        <v>1905.2800000000002</v>
      </c>
      <c r="CC65" s="280">
        <v>0</v>
      </c>
      <c r="CD65" s="24" t="s">
        <v>247</v>
      </c>
      <c r="CE65" s="25">
        <v>8046643.9599999981</v>
      </c>
      <c r="CF65" s="329">
        <v>0</v>
      </c>
    </row>
    <row r="66" spans="1:84" x14ac:dyDescent="0.25">
      <c r="A66" s="31" t="s">
        <v>266</v>
      </c>
      <c r="B66" s="16"/>
      <c r="C66" s="273">
        <v>610101.19000000006</v>
      </c>
      <c r="D66" s="273">
        <v>415244.72000000003</v>
      </c>
      <c r="E66" s="273">
        <v>1152514.98</v>
      </c>
      <c r="F66" s="273">
        <v>0</v>
      </c>
      <c r="G66" s="273">
        <v>36148.949999999997</v>
      </c>
      <c r="H66" s="273">
        <v>0</v>
      </c>
      <c r="I66" s="273">
        <v>0.33</v>
      </c>
      <c r="J66" s="273">
        <v>0</v>
      </c>
      <c r="K66" s="273">
        <v>0</v>
      </c>
      <c r="L66" s="273">
        <v>0</v>
      </c>
      <c r="M66" s="273">
        <v>176101.22</v>
      </c>
      <c r="N66" s="273">
        <v>3720.2599999999998</v>
      </c>
      <c r="O66" s="273">
        <v>367432.43999999994</v>
      </c>
      <c r="P66" s="331">
        <v>3811709.2399999998</v>
      </c>
      <c r="Q66" s="331">
        <v>67991.520000000004</v>
      </c>
      <c r="R66" s="331">
        <v>44742.29</v>
      </c>
      <c r="S66" s="280">
        <v>146498.04</v>
      </c>
      <c r="T66" s="280">
        <v>0</v>
      </c>
      <c r="U66" s="333">
        <v>7744938.0499999998</v>
      </c>
      <c r="V66" s="331">
        <v>0</v>
      </c>
      <c r="W66" s="331">
        <v>123920.68999999999</v>
      </c>
      <c r="X66" s="331">
        <v>542540.68999999994</v>
      </c>
      <c r="Y66" s="331">
        <v>5835896.5300000012</v>
      </c>
      <c r="Z66" s="331">
        <v>1197262.1500000001</v>
      </c>
      <c r="AA66" s="331">
        <v>43801.74</v>
      </c>
      <c r="AB66" s="281">
        <v>338181.04999999993</v>
      </c>
      <c r="AC66" s="331">
        <v>92932.82</v>
      </c>
      <c r="AD66" s="331">
        <v>0</v>
      </c>
      <c r="AE66" s="331">
        <v>2266758.6300000004</v>
      </c>
      <c r="AF66" s="331">
        <v>0</v>
      </c>
      <c r="AG66" s="331">
        <v>125388.34999999995</v>
      </c>
      <c r="AH66" s="331">
        <v>0</v>
      </c>
      <c r="AI66" s="331">
        <v>0</v>
      </c>
      <c r="AJ66" s="331">
        <v>1304275.9700000002</v>
      </c>
      <c r="AK66" s="331">
        <v>1648.58</v>
      </c>
      <c r="AL66" s="331">
        <v>0</v>
      </c>
      <c r="AM66" s="331">
        <v>0</v>
      </c>
      <c r="AN66" s="331">
        <v>0</v>
      </c>
      <c r="AO66" s="331">
        <v>0</v>
      </c>
      <c r="AP66" s="331">
        <v>2178733.81</v>
      </c>
      <c r="AQ66" s="331">
        <v>0</v>
      </c>
      <c r="AR66" s="331">
        <v>2626383.4</v>
      </c>
      <c r="AS66" s="331">
        <v>0</v>
      </c>
      <c r="AT66" s="331">
        <v>0</v>
      </c>
      <c r="AU66" s="331">
        <v>0</v>
      </c>
      <c r="AV66" s="280">
        <v>414669.45999999996</v>
      </c>
      <c r="AW66" s="280">
        <v>59826.859999999993</v>
      </c>
      <c r="AX66" s="280">
        <v>899864.56</v>
      </c>
      <c r="AY66" s="331">
        <v>0</v>
      </c>
      <c r="AZ66" s="331">
        <v>512050.92000000016</v>
      </c>
      <c r="BA66" s="280">
        <v>454.08</v>
      </c>
      <c r="BB66" s="280">
        <v>616500</v>
      </c>
      <c r="BC66" s="280">
        <v>0</v>
      </c>
      <c r="BD66" s="280">
        <v>19268.88</v>
      </c>
      <c r="BE66" s="331">
        <v>3259929.83</v>
      </c>
      <c r="BF66" s="280">
        <v>-1135651.42</v>
      </c>
      <c r="BG66" s="280">
        <v>3953707.87</v>
      </c>
      <c r="BH66" s="280">
        <v>11375774.779999999</v>
      </c>
      <c r="BI66" s="280">
        <v>455307.33999999997</v>
      </c>
      <c r="BJ66" s="280">
        <v>37052.94</v>
      </c>
      <c r="BK66" s="280">
        <v>3265790.66</v>
      </c>
      <c r="BL66" s="280">
        <v>283290.79000000004</v>
      </c>
      <c r="BM66" s="280">
        <v>785381.87</v>
      </c>
      <c r="BN66" s="280">
        <v>472395.61000000004</v>
      </c>
      <c r="BO66" s="280">
        <v>113051.45999999999</v>
      </c>
      <c r="BP66" s="280">
        <v>4671555.9800000004</v>
      </c>
      <c r="BQ66" s="280">
        <v>157.79</v>
      </c>
      <c r="BR66" s="280">
        <v>690683.83</v>
      </c>
      <c r="BS66" s="280">
        <v>7641.96</v>
      </c>
      <c r="BT66" s="280">
        <v>1300.6300000000001</v>
      </c>
      <c r="BU66" s="280">
        <v>0</v>
      </c>
      <c r="BV66" s="280">
        <v>1074540.74</v>
      </c>
      <c r="BW66" s="280">
        <v>176051.01</v>
      </c>
      <c r="BX66" s="280">
        <v>1043937.4599999998</v>
      </c>
      <c r="BY66" s="280">
        <v>66810.25</v>
      </c>
      <c r="BZ66" s="280">
        <v>42.98</v>
      </c>
      <c r="CA66" s="280">
        <v>498837.07000000007</v>
      </c>
      <c r="CB66" s="280">
        <v>-427047.51999999996</v>
      </c>
      <c r="CC66" s="280">
        <v>1861643.3</v>
      </c>
      <c r="CD66" s="24" t="s">
        <v>247</v>
      </c>
      <c r="CE66" s="25">
        <v>66309689.609999977</v>
      </c>
      <c r="CF66" s="329">
        <v>0</v>
      </c>
    </row>
    <row r="67" spans="1:84" x14ac:dyDescent="0.25">
      <c r="A67" s="31" t="s">
        <v>15</v>
      </c>
      <c r="B67" s="16"/>
      <c r="C67" s="25">
        <v>2593080</v>
      </c>
      <c r="D67" s="25">
        <v>1401432</v>
      </c>
      <c r="E67" s="25">
        <v>2103372</v>
      </c>
      <c r="F67" s="25">
        <v>0</v>
      </c>
      <c r="G67" s="25">
        <v>74334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242734</v>
      </c>
      <c r="N67" s="25">
        <v>3639</v>
      </c>
      <c r="O67" s="25">
        <v>3134520</v>
      </c>
      <c r="P67" s="25">
        <v>3864092</v>
      </c>
      <c r="Q67" s="25">
        <v>158494</v>
      </c>
      <c r="R67" s="25">
        <v>149001</v>
      </c>
      <c r="S67" s="25">
        <v>317745</v>
      </c>
      <c r="T67" s="25">
        <v>0</v>
      </c>
      <c r="U67" s="25">
        <v>450077</v>
      </c>
      <c r="V67" s="25">
        <v>6201</v>
      </c>
      <c r="W67" s="25">
        <v>54729</v>
      </c>
      <c r="X67" s="25">
        <v>146392</v>
      </c>
      <c r="Y67" s="25">
        <v>3215707</v>
      </c>
      <c r="Z67" s="25">
        <v>618243</v>
      </c>
      <c r="AA67" s="25">
        <v>48698</v>
      </c>
      <c r="AB67" s="25">
        <v>611592</v>
      </c>
      <c r="AC67" s="25">
        <v>31409</v>
      </c>
      <c r="AD67" s="25">
        <v>0</v>
      </c>
      <c r="AE67" s="25">
        <v>285064</v>
      </c>
      <c r="AF67" s="25">
        <v>0</v>
      </c>
      <c r="AG67" s="25">
        <v>1628313</v>
      </c>
      <c r="AH67" s="25">
        <v>0</v>
      </c>
      <c r="AI67" s="25">
        <v>0</v>
      </c>
      <c r="AJ67" s="25">
        <v>2789677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7564908</v>
      </c>
      <c r="AQ67" s="25">
        <v>0</v>
      </c>
      <c r="AR67" s="25">
        <v>582304</v>
      </c>
      <c r="AS67" s="25">
        <v>0</v>
      </c>
      <c r="AT67" s="25">
        <v>0</v>
      </c>
      <c r="AU67" s="25">
        <v>0</v>
      </c>
      <c r="AV67" s="25">
        <v>169550</v>
      </c>
      <c r="AW67" s="25">
        <v>28863</v>
      </c>
      <c r="AX67" s="25">
        <v>337100</v>
      </c>
      <c r="AY67" s="25">
        <v>0</v>
      </c>
      <c r="AZ67" s="25">
        <v>757429</v>
      </c>
      <c r="BA67" s="25">
        <v>4776</v>
      </c>
      <c r="BB67" s="25">
        <v>0</v>
      </c>
      <c r="BC67" s="25">
        <v>6936</v>
      </c>
      <c r="BD67" s="25">
        <v>237318</v>
      </c>
      <c r="BE67" s="25">
        <v>8474777</v>
      </c>
      <c r="BF67" s="25">
        <v>61662</v>
      </c>
      <c r="BG67" s="25">
        <v>1542594</v>
      </c>
      <c r="BH67" s="25">
        <v>15880301</v>
      </c>
      <c r="BI67" s="25">
        <v>930729</v>
      </c>
      <c r="BJ67" s="25">
        <v>36671</v>
      </c>
      <c r="BK67" s="25">
        <v>37612</v>
      </c>
      <c r="BL67" s="25">
        <v>24179</v>
      </c>
      <c r="BM67" s="25">
        <v>9133</v>
      </c>
      <c r="BN67" s="25">
        <v>492864</v>
      </c>
      <c r="BO67" s="25">
        <v>65998</v>
      </c>
      <c r="BP67" s="25">
        <v>357073</v>
      </c>
      <c r="BQ67" s="25">
        <v>2894</v>
      </c>
      <c r="BR67" s="25">
        <v>185133</v>
      </c>
      <c r="BS67" s="25">
        <v>15624</v>
      </c>
      <c r="BT67" s="25">
        <v>19506</v>
      </c>
      <c r="BU67" s="25">
        <v>0</v>
      </c>
      <c r="BV67" s="25">
        <v>93177</v>
      </c>
      <c r="BW67" s="25">
        <v>20120</v>
      </c>
      <c r="BX67" s="25">
        <v>64855</v>
      </c>
      <c r="BY67" s="25">
        <v>417061</v>
      </c>
      <c r="BZ67" s="25">
        <v>6913</v>
      </c>
      <c r="CA67" s="25">
        <v>104655</v>
      </c>
      <c r="CB67" s="25">
        <v>140414</v>
      </c>
      <c r="CC67" s="25">
        <v>51663</v>
      </c>
      <c r="CD67" s="24" t="s">
        <v>247</v>
      </c>
      <c r="CE67" s="25">
        <v>62653337</v>
      </c>
      <c r="CF67" s="329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28409.88</v>
      </c>
      <c r="N68" s="273">
        <v>0</v>
      </c>
      <c r="O68" s="273">
        <v>0</v>
      </c>
      <c r="P68" s="331">
        <v>55481</v>
      </c>
      <c r="Q68" s="331">
        <v>34.33</v>
      </c>
      <c r="R68" s="331">
        <v>0</v>
      </c>
      <c r="S68" s="280">
        <v>0</v>
      </c>
      <c r="T68" s="280">
        <v>0</v>
      </c>
      <c r="U68" s="333">
        <v>14857.76</v>
      </c>
      <c r="V68" s="331">
        <v>0</v>
      </c>
      <c r="W68" s="331">
        <v>0</v>
      </c>
      <c r="X68" s="331">
        <v>2070.9</v>
      </c>
      <c r="Y68" s="331">
        <v>90048.18</v>
      </c>
      <c r="Z68" s="331">
        <v>0</v>
      </c>
      <c r="AA68" s="331">
        <v>0</v>
      </c>
      <c r="AB68" s="281">
        <v>200914</v>
      </c>
      <c r="AC68" s="331">
        <v>11505.32</v>
      </c>
      <c r="AD68" s="331">
        <v>0</v>
      </c>
      <c r="AE68" s="331">
        <v>32511.4</v>
      </c>
      <c r="AF68" s="331">
        <v>0</v>
      </c>
      <c r="AG68" s="331">
        <v>55501.45</v>
      </c>
      <c r="AH68" s="331">
        <v>0</v>
      </c>
      <c r="AI68" s="331">
        <v>0</v>
      </c>
      <c r="AJ68" s="331">
        <v>161512.66</v>
      </c>
      <c r="AK68" s="331">
        <v>0</v>
      </c>
      <c r="AL68" s="331">
        <v>0</v>
      </c>
      <c r="AM68" s="331">
        <v>0</v>
      </c>
      <c r="AN68" s="331">
        <v>0</v>
      </c>
      <c r="AO68" s="331">
        <v>0</v>
      </c>
      <c r="AP68" s="331">
        <v>2269523.31</v>
      </c>
      <c r="AQ68" s="331">
        <v>0</v>
      </c>
      <c r="AR68" s="331">
        <v>1020057.9299999999</v>
      </c>
      <c r="AS68" s="331">
        <v>0</v>
      </c>
      <c r="AT68" s="331">
        <v>0</v>
      </c>
      <c r="AU68" s="331">
        <v>0</v>
      </c>
      <c r="AV68" s="280">
        <v>0</v>
      </c>
      <c r="AW68" s="280">
        <v>1451.66</v>
      </c>
      <c r="AX68" s="280">
        <v>1325780.51</v>
      </c>
      <c r="AY68" s="331">
        <v>0</v>
      </c>
      <c r="AZ68" s="331">
        <v>10292.959999999999</v>
      </c>
      <c r="BA68" s="280">
        <v>0</v>
      </c>
      <c r="BB68" s="280">
        <v>0</v>
      </c>
      <c r="BC68" s="280">
        <v>0</v>
      </c>
      <c r="BD68" s="280">
        <v>3491.4</v>
      </c>
      <c r="BE68" s="331">
        <v>1270068.4200000002</v>
      </c>
      <c r="BF68" s="280">
        <v>0</v>
      </c>
      <c r="BG68" s="280">
        <v>9593.6</v>
      </c>
      <c r="BH68" s="280">
        <v>0</v>
      </c>
      <c r="BI68" s="280">
        <v>378444.45</v>
      </c>
      <c r="BJ68" s="280">
        <v>2030.05</v>
      </c>
      <c r="BK68" s="280">
        <v>297.55</v>
      </c>
      <c r="BL68" s="280">
        <v>0</v>
      </c>
      <c r="BM68" s="280">
        <v>0</v>
      </c>
      <c r="BN68" s="280">
        <v>0</v>
      </c>
      <c r="BO68" s="280">
        <v>0</v>
      </c>
      <c r="BP68" s="280">
        <v>0</v>
      </c>
      <c r="BQ68" s="280">
        <v>0</v>
      </c>
      <c r="BR68" s="280">
        <v>388.19</v>
      </c>
      <c r="BS68" s="280">
        <v>0</v>
      </c>
      <c r="BT68" s="280">
        <v>0</v>
      </c>
      <c r="BU68" s="280">
        <v>0</v>
      </c>
      <c r="BV68" s="280">
        <v>42652.990000000005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74521.240000000005</v>
      </c>
      <c r="CC68" s="280">
        <v>0</v>
      </c>
      <c r="CD68" s="24" t="s">
        <v>247</v>
      </c>
      <c r="CE68" s="25">
        <v>7061441.1400000006</v>
      </c>
      <c r="CF68" s="329">
        <v>0</v>
      </c>
    </row>
    <row r="69" spans="1:84" x14ac:dyDescent="0.25">
      <c r="A69" s="31" t="s">
        <v>268</v>
      </c>
      <c r="B69" s="16"/>
      <c r="C69" s="25">
        <v>20750.859999999997</v>
      </c>
      <c r="D69" s="25">
        <v>4235.45</v>
      </c>
      <c r="E69" s="25">
        <v>8591.9500000000007</v>
      </c>
      <c r="F69" s="25">
        <v>0</v>
      </c>
      <c r="G69" s="25">
        <v>9122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48115.9</v>
      </c>
      <c r="N69" s="25">
        <v>166787.04999999999</v>
      </c>
      <c r="O69" s="25">
        <v>93896.9</v>
      </c>
      <c r="P69" s="25">
        <v>19872.21</v>
      </c>
      <c r="Q69" s="25">
        <v>3195.99</v>
      </c>
      <c r="R69" s="25">
        <v>460</v>
      </c>
      <c r="S69" s="25">
        <v>703.18000000000006</v>
      </c>
      <c r="T69" s="25">
        <v>0</v>
      </c>
      <c r="U69" s="25">
        <v>66546.67</v>
      </c>
      <c r="V69" s="25">
        <v>0</v>
      </c>
      <c r="W69" s="25">
        <v>1271</v>
      </c>
      <c r="X69" s="25">
        <v>18253.95</v>
      </c>
      <c r="Y69" s="25">
        <v>66866.189999999988</v>
      </c>
      <c r="Z69" s="25">
        <v>26146.68</v>
      </c>
      <c r="AA69" s="25">
        <v>10250.56</v>
      </c>
      <c r="AB69" s="25">
        <v>26781.359999999997</v>
      </c>
      <c r="AC69" s="25">
        <v>1855.44</v>
      </c>
      <c r="AD69" s="25">
        <v>0</v>
      </c>
      <c r="AE69" s="25">
        <v>43555.31</v>
      </c>
      <c r="AF69" s="25">
        <v>0</v>
      </c>
      <c r="AG69" s="25">
        <v>9170.64</v>
      </c>
      <c r="AH69" s="25">
        <v>0</v>
      </c>
      <c r="AI69" s="25">
        <v>0</v>
      </c>
      <c r="AJ69" s="25">
        <v>1582449.64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1435936.25</v>
      </c>
      <c r="AQ69" s="25">
        <v>0</v>
      </c>
      <c r="AR69" s="25">
        <v>1266114.1100000001</v>
      </c>
      <c r="AS69" s="25">
        <v>0</v>
      </c>
      <c r="AT69" s="25">
        <v>0</v>
      </c>
      <c r="AU69" s="25">
        <v>0</v>
      </c>
      <c r="AV69" s="25">
        <v>3016</v>
      </c>
      <c r="AW69" s="25">
        <v>40621.659999999996</v>
      </c>
      <c r="AX69" s="25">
        <v>95757.61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44261.75</v>
      </c>
      <c r="BE69" s="25">
        <v>203742.62</v>
      </c>
      <c r="BF69" s="25">
        <v>230.5</v>
      </c>
      <c r="BG69" s="25">
        <v>4466.8599999999997</v>
      </c>
      <c r="BH69" s="25">
        <v>83181.469999999987</v>
      </c>
      <c r="BI69" s="25">
        <v>17646.400000000001</v>
      </c>
      <c r="BJ69" s="25">
        <v>12586.16</v>
      </c>
      <c r="BK69" s="25">
        <v>309.38</v>
      </c>
      <c r="BL69" s="25">
        <v>814.15</v>
      </c>
      <c r="BM69" s="25">
        <v>38830.020000000004</v>
      </c>
      <c r="BN69" s="25">
        <v>772246.65</v>
      </c>
      <c r="BO69" s="25">
        <v>1836.34</v>
      </c>
      <c r="BP69" s="25">
        <v>7248.11</v>
      </c>
      <c r="BQ69" s="25">
        <v>3633.44</v>
      </c>
      <c r="BR69" s="25">
        <v>1132676.1399999999</v>
      </c>
      <c r="BS69" s="25">
        <v>-1010.73</v>
      </c>
      <c r="BT69" s="25">
        <v>48.43</v>
      </c>
      <c r="BU69" s="25">
        <v>294694.46000000002</v>
      </c>
      <c r="BV69" s="25">
        <v>5205.22</v>
      </c>
      <c r="BW69" s="25">
        <v>12201.560000000001</v>
      </c>
      <c r="BX69" s="25">
        <v>-544269.94999999995</v>
      </c>
      <c r="BY69" s="25">
        <v>6119.65</v>
      </c>
      <c r="BZ69" s="25">
        <v>0</v>
      </c>
      <c r="CA69" s="25">
        <v>173850.22</v>
      </c>
      <c r="CB69" s="25">
        <v>2256.7399999999998</v>
      </c>
      <c r="CC69" s="25">
        <v>5063915.6899999995</v>
      </c>
      <c r="CD69" s="25">
        <v>31674089.530000001</v>
      </c>
      <c r="CE69" s="25">
        <v>44081135.370000005</v>
      </c>
      <c r="CF69" s="329">
        <v>0</v>
      </c>
    </row>
    <row r="70" spans="1:84" x14ac:dyDescent="0.25">
      <c r="A70" s="26" t="s">
        <v>269</v>
      </c>
      <c r="B70" s="337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9">
        <v>0</v>
      </c>
    </row>
    <row r="71" spans="1:84" x14ac:dyDescent="0.25">
      <c r="A71" s="26" t="s">
        <v>270</v>
      </c>
      <c r="B71" s="337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9">
        <v>0</v>
      </c>
    </row>
    <row r="72" spans="1:84" x14ac:dyDescent="0.25">
      <c r="A72" s="26" t="s">
        <v>271</v>
      </c>
      <c r="B72" s="337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9">
        <v>0</v>
      </c>
    </row>
    <row r="73" spans="1:84" x14ac:dyDescent="0.25">
      <c r="A73" s="26" t="s">
        <v>272</v>
      </c>
      <c r="B73" s="33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132790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6443440</v>
      </c>
      <c r="CE73" s="25">
        <v>6576230</v>
      </c>
      <c r="CF73" s="329">
        <v>0</v>
      </c>
    </row>
    <row r="74" spans="1:84" x14ac:dyDescent="0.25">
      <c r="A74" s="26" t="s">
        <v>273</v>
      </c>
      <c r="B74" s="33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9">
        <v>0</v>
      </c>
    </row>
    <row r="75" spans="1:84" x14ac:dyDescent="0.25">
      <c r="A75" s="26" t="s">
        <v>274</v>
      </c>
      <c r="B75" s="337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9">
        <v>0</v>
      </c>
    </row>
    <row r="76" spans="1:84" x14ac:dyDescent="0.25">
      <c r="A76" s="26" t="s">
        <v>275</v>
      </c>
      <c r="B76" s="338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9">
        <v>0</v>
      </c>
    </row>
    <row r="77" spans="1:84" x14ac:dyDescent="0.25">
      <c r="A77" s="26" t="s">
        <v>276</v>
      </c>
      <c r="B77" s="337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9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9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9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9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13316.67</v>
      </c>
      <c r="N81" s="282">
        <v>41293.97</v>
      </c>
      <c r="O81" s="282">
        <v>450.23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20658.419999999998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21076.01</v>
      </c>
      <c r="AF81" s="282">
        <v>0</v>
      </c>
      <c r="AG81" s="282">
        <v>0</v>
      </c>
      <c r="AH81" s="282">
        <v>0</v>
      </c>
      <c r="AI81" s="282">
        <v>0</v>
      </c>
      <c r="AJ81" s="282">
        <v>717563.4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904990.57</v>
      </c>
      <c r="AQ81" s="282">
        <v>0</v>
      </c>
      <c r="AR81" s="282">
        <v>78712.72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170979</v>
      </c>
      <c r="BF81" s="282">
        <v>0</v>
      </c>
      <c r="BG81" s="282">
        <v>0</v>
      </c>
      <c r="BH81" s="282">
        <v>0</v>
      </c>
      <c r="BI81" s="282">
        <v>1109.3800000000001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4854354.7300000004</v>
      </c>
      <c r="CE81" s="25">
        <v>6824505.1000000006</v>
      </c>
      <c r="CF81" s="329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9">
        <v>0</v>
      </c>
    </row>
    <row r="83" spans="1:84" x14ac:dyDescent="0.25">
      <c r="A83" s="26" t="s">
        <v>282</v>
      </c>
      <c r="B83" s="16"/>
      <c r="C83" s="273">
        <v>20750.859999999997</v>
      </c>
      <c r="D83" s="273">
        <v>4235.45</v>
      </c>
      <c r="E83" s="331">
        <v>8591.9500000000007</v>
      </c>
      <c r="F83" s="331">
        <v>0</v>
      </c>
      <c r="G83" s="273">
        <v>9122</v>
      </c>
      <c r="H83" s="273">
        <v>0</v>
      </c>
      <c r="I83" s="331">
        <v>0</v>
      </c>
      <c r="J83" s="331">
        <v>0</v>
      </c>
      <c r="K83" s="331">
        <v>0</v>
      </c>
      <c r="L83" s="331">
        <v>0</v>
      </c>
      <c r="M83" s="273">
        <v>34799.230000000003</v>
      </c>
      <c r="N83" s="273">
        <v>125493.07999999999</v>
      </c>
      <c r="O83" s="273">
        <v>93446.67</v>
      </c>
      <c r="P83" s="331">
        <v>19872.21</v>
      </c>
      <c r="Q83" s="331">
        <v>3195.99</v>
      </c>
      <c r="R83" s="333">
        <v>460</v>
      </c>
      <c r="S83" s="331">
        <v>703.18000000000006</v>
      </c>
      <c r="T83" s="273">
        <v>0</v>
      </c>
      <c r="U83" s="331">
        <v>66546.67</v>
      </c>
      <c r="V83" s="331">
        <v>0</v>
      </c>
      <c r="W83" s="273">
        <v>1271</v>
      </c>
      <c r="X83" s="331">
        <v>18253.95</v>
      </c>
      <c r="Y83" s="331">
        <v>46207.76999999999</v>
      </c>
      <c r="Z83" s="331">
        <v>26146.68</v>
      </c>
      <c r="AA83" s="331">
        <v>10250.56</v>
      </c>
      <c r="AB83" s="331">
        <v>26781.359999999997</v>
      </c>
      <c r="AC83" s="331">
        <v>1855.44</v>
      </c>
      <c r="AD83" s="331">
        <v>0</v>
      </c>
      <c r="AE83" s="331">
        <v>22479.3</v>
      </c>
      <c r="AF83" s="331">
        <v>0</v>
      </c>
      <c r="AG83" s="331">
        <v>9170.64</v>
      </c>
      <c r="AH83" s="331">
        <v>0</v>
      </c>
      <c r="AI83" s="331">
        <v>0</v>
      </c>
      <c r="AJ83" s="331">
        <v>732096.23999999987</v>
      </c>
      <c r="AK83" s="331">
        <v>0</v>
      </c>
      <c r="AL83" s="331">
        <v>0</v>
      </c>
      <c r="AM83" s="331">
        <v>0</v>
      </c>
      <c r="AN83" s="331">
        <v>0</v>
      </c>
      <c r="AO83" s="273">
        <v>0</v>
      </c>
      <c r="AP83" s="331">
        <v>530945.68000000005</v>
      </c>
      <c r="AQ83" s="273">
        <v>0</v>
      </c>
      <c r="AR83" s="273">
        <v>1187401.3900000001</v>
      </c>
      <c r="AS83" s="273">
        <v>0</v>
      </c>
      <c r="AT83" s="273">
        <v>0</v>
      </c>
      <c r="AU83" s="331">
        <v>0</v>
      </c>
      <c r="AV83" s="331">
        <v>3016</v>
      </c>
      <c r="AW83" s="331">
        <v>40621.659999999996</v>
      </c>
      <c r="AX83" s="331">
        <v>95757.61</v>
      </c>
      <c r="AY83" s="331">
        <v>0</v>
      </c>
      <c r="AZ83" s="331">
        <v>0</v>
      </c>
      <c r="BA83" s="331">
        <v>0</v>
      </c>
      <c r="BB83" s="331">
        <v>0</v>
      </c>
      <c r="BC83" s="331">
        <v>0</v>
      </c>
      <c r="BD83" s="331">
        <v>44261.75</v>
      </c>
      <c r="BE83" s="331">
        <v>32763.619999999995</v>
      </c>
      <c r="BF83" s="331">
        <v>230.5</v>
      </c>
      <c r="BG83" s="331">
        <v>4466.8599999999997</v>
      </c>
      <c r="BH83" s="333">
        <v>83181.469999999987</v>
      </c>
      <c r="BI83" s="331">
        <v>16537.02</v>
      </c>
      <c r="BJ83" s="331">
        <v>12586.16</v>
      </c>
      <c r="BK83" s="331">
        <v>309.38</v>
      </c>
      <c r="BL83" s="331">
        <v>814.15</v>
      </c>
      <c r="BM83" s="331">
        <v>38830.020000000004</v>
      </c>
      <c r="BN83" s="331">
        <v>772246.65</v>
      </c>
      <c r="BO83" s="331">
        <v>1836.34</v>
      </c>
      <c r="BP83" s="331">
        <v>7248.11</v>
      </c>
      <c r="BQ83" s="331">
        <v>3633.44</v>
      </c>
      <c r="BR83" s="331">
        <v>1132676.1399999999</v>
      </c>
      <c r="BS83" s="331">
        <v>-1010.73</v>
      </c>
      <c r="BT83" s="331">
        <v>48.43</v>
      </c>
      <c r="BU83" s="331">
        <v>294694.46000000002</v>
      </c>
      <c r="BV83" s="331">
        <v>5205.22</v>
      </c>
      <c r="BW83" s="331">
        <v>12201.560000000001</v>
      </c>
      <c r="BX83" s="331">
        <v>-544269.94999999995</v>
      </c>
      <c r="BY83" s="331">
        <v>6119.65</v>
      </c>
      <c r="BZ83" s="331">
        <v>0</v>
      </c>
      <c r="CA83" s="331">
        <v>173850.22</v>
      </c>
      <c r="CB83" s="331">
        <v>2256.7399999999998</v>
      </c>
      <c r="CC83" s="331">
        <v>5063915.6899999995</v>
      </c>
      <c r="CD83" s="282">
        <v>20376294.800000001</v>
      </c>
      <c r="CE83" s="25">
        <v>30680400.27</v>
      </c>
      <c r="CF83" s="329">
        <v>0</v>
      </c>
    </row>
    <row r="84" spans="1:84" x14ac:dyDescent="0.25">
      <c r="A84" s="31" t="s">
        <v>283</v>
      </c>
      <c r="B84" s="16"/>
      <c r="C84" s="273">
        <v>29929.65</v>
      </c>
      <c r="D84" s="273">
        <v>0</v>
      </c>
      <c r="E84" s="273">
        <v>49.92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590843.41</v>
      </c>
      <c r="N84" s="273">
        <v>45226.49</v>
      </c>
      <c r="O84" s="273">
        <v>16456.77</v>
      </c>
      <c r="P84" s="273">
        <v>14000</v>
      </c>
      <c r="Q84" s="273">
        <v>0</v>
      </c>
      <c r="R84" s="273">
        <v>0</v>
      </c>
      <c r="S84" s="273">
        <v>0</v>
      </c>
      <c r="T84" s="273">
        <v>0</v>
      </c>
      <c r="U84" s="273">
        <v>348500.2</v>
      </c>
      <c r="V84" s="273">
        <v>11845.38</v>
      </c>
      <c r="W84" s="273">
        <v>0</v>
      </c>
      <c r="X84" s="273">
        <v>0</v>
      </c>
      <c r="Y84" s="273">
        <v>24157.31</v>
      </c>
      <c r="Z84" s="273">
        <v>13155.27</v>
      </c>
      <c r="AA84" s="273">
        <v>0</v>
      </c>
      <c r="AB84" s="273">
        <v>499.98</v>
      </c>
      <c r="AC84" s="273">
        <v>0</v>
      </c>
      <c r="AD84" s="273">
        <v>0</v>
      </c>
      <c r="AE84" s="273">
        <v>17828.84</v>
      </c>
      <c r="AF84" s="273">
        <v>0</v>
      </c>
      <c r="AG84" s="273">
        <v>2996.63</v>
      </c>
      <c r="AH84" s="273">
        <v>0</v>
      </c>
      <c r="AI84" s="273">
        <v>0</v>
      </c>
      <c r="AJ84" s="273">
        <v>5788674.3200000003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664919.73</v>
      </c>
      <c r="AQ84" s="273">
        <v>0</v>
      </c>
      <c r="AR84" s="273">
        <v>28604.89</v>
      </c>
      <c r="AS84" s="273">
        <v>0</v>
      </c>
      <c r="AT84" s="273">
        <v>0</v>
      </c>
      <c r="AU84" s="273">
        <v>0</v>
      </c>
      <c r="AV84" s="273">
        <v>12521195.369999999</v>
      </c>
      <c r="AW84" s="273">
        <v>2679234.44</v>
      </c>
      <c r="AX84" s="273">
        <v>0</v>
      </c>
      <c r="AY84" s="273">
        <v>0</v>
      </c>
      <c r="AZ84" s="273">
        <v>2074384.32</v>
      </c>
      <c r="BA84" s="273">
        <v>0</v>
      </c>
      <c r="BB84" s="273">
        <v>0</v>
      </c>
      <c r="BC84" s="273">
        <v>0</v>
      </c>
      <c r="BD84" s="273">
        <v>0</v>
      </c>
      <c r="BE84" s="273">
        <v>6933807.3399999999</v>
      </c>
      <c r="BF84" s="273">
        <v>14822.38</v>
      </c>
      <c r="BG84" s="273">
        <v>303593.24</v>
      </c>
      <c r="BH84" s="273">
        <v>653112.26</v>
      </c>
      <c r="BI84" s="273">
        <v>1247469.8400000001</v>
      </c>
      <c r="BJ84" s="273">
        <v>173386.38</v>
      </c>
      <c r="BK84" s="273">
        <v>0</v>
      </c>
      <c r="BL84" s="273">
        <v>523770.42</v>
      </c>
      <c r="BM84" s="273">
        <v>0</v>
      </c>
      <c r="BN84" s="273">
        <v>0</v>
      </c>
      <c r="BO84" s="273">
        <v>380</v>
      </c>
      <c r="BP84" s="273">
        <v>0</v>
      </c>
      <c r="BQ84" s="273">
        <v>0</v>
      </c>
      <c r="BR84" s="273">
        <v>0</v>
      </c>
      <c r="BS84" s="273">
        <v>561991.69999999995</v>
      </c>
      <c r="BT84" s="273">
        <v>49.92</v>
      </c>
      <c r="BU84" s="273">
        <v>15000</v>
      </c>
      <c r="BV84" s="273">
        <v>6211.86</v>
      </c>
      <c r="BW84" s="273">
        <v>937917.77</v>
      </c>
      <c r="BX84" s="273">
        <v>-6008.82</v>
      </c>
      <c r="BY84" s="273">
        <v>4000</v>
      </c>
      <c r="BZ84" s="273">
        <v>2290</v>
      </c>
      <c r="CA84" s="273">
        <v>13402.99</v>
      </c>
      <c r="CB84" s="273">
        <v>1088940.6000000001</v>
      </c>
      <c r="CC84" s="273">
        <v>13904498.08</v>
      </c>
      <c r="CD84" s="282">
        <v>1179217.79</v>
      </c>
      <c r="CE84" s="25">
        <v>52430356.670000017</v>
      </c>
      <c r="CF84" s="329">
        <v>0</v>
      </c>
    </row>
    <row r="85" spans="1:84" x14ac:dyDescent="0.25">
      <c r="A85" s="31" t="s">
        <v>284</v>
      </c>
      <c r="B85" s="25"/>
      <c r="C85" s="25">
        <v>27445890.200000007</v>
      </c>
      <c r="D85" s="25">
        <v>14300906.07</v>
      </c>
      <c r="E85" s="25">
        <v>56017803.95000001</v>
      </c>
      <c r="F85" s="25">
        <v>0</v>
      </c>
      <c r="G85" s="25">
        <v>3350512.5100000007</v>
      </c>
      <c r="H85" s="25">
        <v>0</v>
      </c>
      <c r="I85" s="25">
        <v>3656.52</v>
      </c>
      <c r="J85" s="25">
        <v>0</v>
      </c>
      <c r="K85" s="25">
        <v>0</v>
      </c>
      <c r="L85" s="25">
        <v>0</v>
      </c>
      <c r="M85" s="25">
        <v>7804370.6099999994</v>
      </c>
      <c r="N85" s="25">
        <v>25027470.550000004</v>
      </c>
      <c r="O85" s="25">
        <v>41949991.920000002</v>
      </c>
      <c r="P85" s="25">
        <v>66109352.240000024</v>
      </c>
      <c r="Q85" s="25">
        <v>12341974.159999998</v>
      </c>
      <c r="R85" s="25">
        <v>1783629.71</v>
      </c>
      <c r="S85" s="25">
        <v>3683808.0400000005</v>
      </c>
      <c r="T85" s="25">
        <v>0</v>
      </c>
      <c r="U85" s="25">
        <v>25458488.330000006</v>
      </c>
      <c r="V85" s="25">
        <v>327169.70999999996</v>
      </c>
      <c r="W85" s="25">
        <v>1496353.7</v>
      </c>
      <c r="X85" s="25">
        <v>3387658.64</v>
      </c>
      <c r="Y85" s="25">
        <v>40871969.850000001</v>
      </c>
      <c r="Z85" s="25">
        <v>8128164.5899999989</v>
      </c>
      <c r="AA85" s="25">
        <v>1209326.0900000001</v>
      </c>
      <c r="AB85" s="25">
        <v>32151299.180000007</v>
      </c>
      <c r="AC85" s="25">
        <v>4532260.6600000011</v>
      </c>
      <c r="AD85" s="25">
        <v>0</v>
      </c>
      <c r="AE85" s="25">
        <v>11391980.450000003</v>
      </c>
      <c r="AF85" s="25">
        <v>0</v>
      </c>
      <c r="AG85" s="25">
        <v>21410983.219999999</v>
      </c>
      <c r="AH85" s="25">
        <v>0</v>
      </c>
      <c r="AI85" s="25">
        <v>0</v>
      </c>
      <c r="AJ85" s="25">
        <v>119549609.03999999</v>
      </c>
      <c r="AK85" s="25">
        <v>1648.58</v>
      </c>
      <c r="AL85" s="25">
        <v>0</v>
      </c>
      <c r="AM85" s="25">
        <v>0</v>
      </c>
      <c r="AN85" s="25">
        <v>0</v>
      </c>
      <c r="AO85" s="25">
        <v>0</v>
      </c>
      <c r="AP85" s="25">
        <v>100461129.36000001</v>
      </c>
      <c r="AQ85" s="25">
        <v>0</v>
      </c>
      <c r="AR85" s="25">
        <v>82893899.440000027</v>
      </c>
      <c r="AS85" s="25">
        <v>0</v>
      </c>
      <c r="AT85" s="25">
        <v>0</v>
      </c>
      <c r="AU85" s="25">
        <v>0</v>
      </c>
      <c r="AV85" s="25">
        <v>4864121.5900000017</v>
      </c>
      <c r="AW85" s="25">
        <v>71358.350000000559</v>
      </c>
      <c r="AX85" s="25">
        <v>2983511.31</v>
      </c>
      <c r="AY85" s="25">
        <v>0</v>
      </c>
      <c r="AZ85" s="25">
        <v>5739180.0899999989</v>
      </c>
      <c r="BA85" s="25">
        <v>419311.56</v>
      </c>
      <c r="BB85" s="25">
        <v>650846.80000000005</v>
      </c>
      <c r="BC85" s="25">
        <v>545994.41000000015</v>
      </c>
      <c r="BD85" s="25">
        <v>4095074.07</v>
      </c>
      <c r="BE85" s="25">
        <v>17332899.940000005</v>
      </c>
      <c r="BF85" s="25">
        <v>7509612.3100000015</v>
      </c>
      <c r="BG85" s="25">
        <v>14445260.809999999</v>
      </c>
      <c r="BH85" s="25">
        <v>45576346.369999997</v>
      </c>
      <c r="BI85" s="25">
        <v>3918452.8100000005</v>
      </c>
      <c r="BJ85" s="25">
        <v>2718560.8</v>
      </c>
      <c r="BK85" s="25">
        <v>10342257.780000003</v>
      </c>
      <c r="BL85" s="25">
        <v>7906193.25</v>
      </c>
      <c r="BM85" s="25">
        <v>6832442.0399999982</v>
      </c>
      <c r="BN85" s="25">
        <v>12132848.270000001</v>
      </c>
      <c r="BO85" s="25">
        <v>2037913.03</v>
      </c>
      <c r="BP85" s="25">
        <v>6846939.6800000006</v>
      </c>
      <c r="BQ85" s="25">
        <v>697363.46</v>
      </c>
      <c r="BR85" s="25">
        <v>25610184.300000001</v>
      </c>
      <c r="BS85" s="25">
        <v>230125.1100000001</v>
      </c>
      <c r="BT85" s="25">
        <v>185350.99999999994</v>
      </c>
      <c r="BU85" s="25">
        <v>279694.46000000002</v>
      </c>
      <c r="BV85" s="25">
        <v>6358726.4900000002</v>
      </c>
      <c r="BW85" s="25">
        <v>5042350.7999999989</v>
      </c>
      <c r="BX85" s="25">
        <v>10655791.419999998</v>
      </c>
      <c r="BY85" s="25">
        <v>2687808.92</v>
      </c>
      <c r="BZ85" s="25">
        <v>6014240.0500000017</v>
      </c>
      <c r="CA85" s="25">
        <v>3403836.5400000005</v>
      </c>
      <c r="CB85" s="25">
        <v>8104824.1600000001</v>
      </c>
      <c r="CC85" s="25">
        <v>-2662356.3900000025</v>
      </c>
      <c r="CD85" s="25">
        <v>30494871.740000002</v>
      </c>
      <c r="CE85" s="25">
        <v>967163244.64999938</v>
      </c>
      <c r="CF85" s="329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9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29028943.609999999</v>
      </c>
      <c r="CF86" s="329">
        <v>0</v>
      </c>
    </row>
    <row r="87" spans="1:84" x14ac:dyDescent="0.25">
      <c r="A87" s="21" t="s">
        <v>286</v>
      </c>
      <c r="B87" s="16"/>
      <c r="C87" s="273">
        <v>81921254.340000004</v>
      </c>
      <c r="D87" s="273">
        <v>59923641.719999999</v>
      </c>
      <c r="E87" s="273">
        <v>185750942.59</v>
      </c>
      <c r="F87" s="273">
        <v>0</v>
      </c>
      <c r="G87" s="273">
        <v>17148930.199999999</v>
      </c>
      <c r="H87" s="273">
        <v>0</v>
      </c>
      <c r="I87" s="273">
        <v>0</v>
      </c>
      <c r="J87" s="273">
        <v>0</v>
      </c>
      <c r="K87" s="273">
        <v>0</v>
      </c>
      <c r="L87" s="273">
        <v>0</v>
      </c>
      <c r="M87" s="273">
        <v>8005656.0899999999</v>
      </c>
      <c r="N87" s="273">
        <v>21487647.25</v>
      </c>
      <c r="O87" s="273">
        <v>103885734.22999999</v>
      </c>
      <c r="P87" s="273">
        <v>88292624.290000007</v>
      </c>
      <c r="Q87" s="273">
        <v>6179825</v>
      </c>
      <c r="R87" s="273">
        <v>13380860</v>
      </c>
      <c r="S87" s="273">
        <v>0</v>
      </c>
      <c r="T87" s="273">
        <v>0</v>
      </c>
      <c r="U87" s="273">
        <v>95876580.920000002</v>
      </c>
      <c r="V87" s="273">
        <v>2112313</v>
      </c>
      <c r="W87" s="273">
        <v>8174148</v>
      </c>
      <c r="X87" s="273">
        <v>37009677.159999996</v>
      </c>
      <c r="Y87" s="273">
        <v>60494088.890000001</v>
      </c>
      <c r="Z87" s="273">
        <v>1440462.79</v>
      </c>
      <c r="AA87" s="273">
        <v>1593343</v>
      </c>
      <c r="AB87" s="273">
        <v>89037867.739999995</v>
      </c>
      <c r="AC87" s="273">
        <v>15738861</v>
      </c>
      <c r="AD87" s="273">
        <v>0</v>
      </c>
      <c r="AE87" s="273">
        <v>16797856</v>
      </c>
      <c r="AF87" s="273">
        <v>0</v>
      </c>
      <c r="AG87" s="273">
        <v>48572398.5</v>
      </c>
      <c r="AH87" s="273">
        <v>0</v>
      </c>
      <c r="AI87" s="273">
        <v>0</v>
      </c>
      <c r="AJ87" s="273">
        <v>30370498.890000001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4393062.33</v>
      </c>
      <c r="AQ87" s="273">
        <v>0</v>
      </c>
      <c r="AR87" s="273">
        <v>4439</v>
      </c>
      <c r="AS87" s="273">
        <v>0</v>
      </c>
      <c r="AT87" s="273">
        <v>0</v>
      </c>
      <c r="AU87" s="273">
        <v>0</v>
      </c>
      <c r="AV87" s="273">
        <v>1846314.48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999439027.40999985</v>
      </c>
      <c r="CF87" s="329">
        <v>0</v>
      </c>
    </row>
    <row r="88" spans="1:84" x14ac:dyDescent="0.25">
      <c r="A88" s="21" t="s">
        <v>287</v>
      </c>
      <c r="B88" s="16"/>
      <c r="C88" s="273">
        <v>274088.2</v>
      </c>
      <c r="D88" s="273">
        <v>641366</v>
      </c>
      <c r="E88" s="273">
        <v>4608803.0199999996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352357</v>
      </c>
      <c r="N88" s="273">
        <v>1473652.25</v>
      </c>
      <c r="O88" s="273">
        <v>5187187.9800000004</v>
      </c>
      <c r="P88" s="273">
        <v>234179326.38999999</v>
      </c>
      <c r="Q88" s="273">
        <v>24616300</v>
      </c>
      <c r="R88" s="273">
        <v>38487826.5</v>
      </c>
      <c r="S88" s="273">
        <v>0</v>
      </c>
      <c r="T88" s="273">
        <v>0</v>
      </c>
      <c r="U88" s="273">
        <v>77846791.700000003</v>
      </c>
      <c r="V88" s="273">
        <v>640636</v>
      </c>
      <c r="W88" s="273">
        <v>10967433</v>
      </c>
      <c r="X88" s="273">
        <v>61740597.579999998</v>
      </c>
      <c r="Y88" s="273">
        <v>152509014.69999999</v>
      </c>
      <c r="Z88" s="273">
        <v>45394226.899999999</v>
      </c>
      <c r="AA88" s="273">
        <v>5785996.75</v>
      </c>
      <c r="AB88" s="273">
        <v>93844455.109999999</v>
      </c>
      <c r="AC88" s="273">
        <v>561567</v>
      </c>
      <c r="AD88" s="273">
        <v>0</v>
      </c>
      <c r="AE88" s="273">
        <v>28072823.640000001</v>
      </c>
      <c r="AF88" s="273">
        <v>0</v>
      </c>
      <c r="AG88" s="273">
        <v>145232225.69999999</v>
      </c>
      <c r="AH88" s="273">
        <v>0</v>
      </c>
      <c r="AI88" s="273">
        <v>0</v>
      </c>
      <c r="AJ88" s="273">
        <v>200885853.18000001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154759720.71000001</v>
      </c>
      <c r="AQ88" s="273">
        <v>0</v>
      </c>
      <c r="AR88" s="273">
        <v>156353189.66999999</v>
      </c>
      <c r="AS88" s="273">
        <v>0</v>
      </c>
      <c r="AT88" s="273">
        <v>0</v>
      </c>
      <c r="AU88" s="273">
        <v>0</v>
      </c>
      <c r="AV88" s="273">
        <v>12438301.140000001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1456853740.1200001</v>
      </c>
      <c r="CF88" s="329">
        <v>0</v>
      </c>
    </row>
    <row r="89" spans="1:84" x14ac:dyDescent="0.25">
      <c r="A89" s="21" t="s">
        <v>288</v>
      </c>
      <c r="B89" s="16"/>
      <c r="C89" s="25">
        <v>82195342.540000007</v>
      </c>
      <c r="D89" s="25">
        <v>60565007.719999999</v>
      </c>
      <c r="E89" s="25">
        <v>190359745.61000001</v>
      </c>
      <c r="F89" s="25">
        <v>0</v>
      </c>
      <c r="G89" s="25">
        <v>17148930.199999999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8358013.0899999999</v>
      </c>
      <c r="N89" s="25">
        <v>22961299.5</v>
      </c>
      <c r="O89" s="25">
        <v>109072922.20999999</v>
      </c>
      <c r="P89" s="25">
        <v>322471950.68000001</v>
      </c>
      <c r="Q89" s="25">
        <v>30796125</v>
      </c>
      <c r="R89" s="25">
        <v>51868686.5</v>
      </c>
      <c r="S89" s="25">
        <v>0</v>
      </c>
      <c r="T89" s="25">
        <v>0</v>
      </c>
      <c r="U89" s="25">
        <v>173723372.62</v>
      </c>
      <c r="V89" s="25">
        <v>2752949</v>
      </c>
      <c r="W89" s="25">
        <v>19141581</v>
      </c>
      <c r="X89" s="25">
        <v>98750274.739999995</v>
      </c>
      <c r="Y89" s="25">
        <v>213003103.58999997</v>
      </c>
      <c r="Z89" s="25">
        <v>46834689.689999998</v>
      </c>
      <c r="AA89" s="25">
        <v>7379339.75</v>
      </c>
      <c r="AB89" s="25">
        <v>182882322.84999999</v>
      </c>
      <c r="AC89" s="25">
        <v>16300428</v>
      </c>
      <c r="AD89" s="25">
        <v>0</v>
      </c>
      <c r="AE89" s="25">
        <v>44870679.640000001</v>
      </c>
      <c r="AF89" s="25">
        <v>0</v>
      </c>
      <c r="AG89" s="25">
        <v>193804624.19999999</v>
      </c>
      <c r="AH89" s="25">
        <v>0</v>
      </c>
      <c r="AI89" s="25">
        <v>0</v>
      </c>
      <c r="AJ89" s="25">
        <v>231256352.06999999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159152783.04000002</v>
      </c>
      <c r="AQ89" s="25">
        <v>0</v>
      </c>
      <c r="AR89" s="25">
        <v>156357628.66999999</v>
      </c>
      <c r="AS89" s="25">
        <v>0</v>
      </c>
      <c r="AT89" s="25">
        <v>0</v>
      </c>
      <c r="AU89" s="25">
        <v>0</v>
      </c>
      <c r="AV89" s="25">
        <v>14284615.620000001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2456292767.5300002</v>
      </c>
      <c r="CF89" s="329">
        <v>0</v>
      </c>
    </row>
    <row r="90" spans="1:84" x14ac:dyDescent="0.25">
      <c r="A90" s="31" t="s">
        <v>289</v>
      </c>
      <c r="B90" s="25"/>
      <c r="C90" s="273">
        <v>31983</v>
      </c>
      <c r="D90" s="273">
        <v>24368</v>
      </c>
      <c r="E90" s="273">
        <v>112482</v>
      </c>
      <c r="F90" s="273">
        <v>0</v>
      </c>
      <c r="G90" s="273">
        <v>9095</v>
      </c>
      <c r="H90" s="273">
        <v>0</v>
      </c>
      <c r="I90" s="273">
        <v>0</v>
      </c>
      <c r="J90" s="273">
        <v>0</v>
      </c>
      <c r="K90" s="273">
        <v>0</v>
      </c>
      <c r="L90" s="273">
        <v>0</v>
      </c>
      <c r="M90" s="273">
        <v>20520</v>
      </c>
      <c r="N90" s="273">
        <v>5055</v>
      </c>
      <c r="O90" s="273">
        <v>54397</v>
      </c>
      <c r="P90" s="273">
        <v>72336</v>
      </c>
      <c r="Q90" s="273">
        <v>5119</v>
      </c>
      <c r="R90" s="273">
        <v>651</v>
      </c>
      <c r="S90" s="273">
        <v>10270</v>
      </c>
      <c r="T90" s="273">
        <v>0</v>
      </c>
      <c r="U90" s="273">
        <v>15770</v>
      </c>
      <c r="V90" s="273">
        <v>298</v>
      </c>
      <c r="W90" s="273">
        <v>3104</v>
      </c>
      <c r="X90" s="273">
        <v>3166</v>
      </c>
      <c r="Y90" s="273">
        <v>50628</v>
      </c>
      <c r="Z90" s="273">
        <v>16493</v>
      </c>
      <c r="AA90" s="273">
        <v>1139</v>
      </c>
      <c r="AB90" s="273">
        <v>7695</v>
      </c>
      <c r="AC90" s="273">
        <v>2635</v>
      </c>
      <c r="AD90" s="273">
        <v>0</v>
      </c>
      <c r="AE90" s="273">
        <v>18417</v>
      </c>
      <c r="AF90" s="273">
        <v>0</v>
      </c>
      <c r="AG90" s="273">
        <v>55060</v>
      </c>
      <c r="AH90" s="273">
        <v>0</v>
      </c>
      <c r="AI90" s="273">
        <v>0</v>
      </c>
      <c r="AJ90" s="273">
        <v>152268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45966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13135</v>
      </c>
      <c r="AW90" s="273">
        <v>0</v>
      </c>
      <c r="AX90" s="273">
        <v>0</v>
      </c>
      <c r="AY90" s="273">
        <v>0</v>
      </c>
      <c r="AZ90" s="273">
        <v>23579</v>
      </c>
      <c r="BA90" s="273">
        <v>3589</v>
      </c>
      <c r="BB90" s="273">
        <v>0</v>
      </c>
      <c r="BC90" s="273">
        <v>0</v>
      </c>
      <c r="BD90" s="273">
        <v>9893</v>
      </c>
      <c r="BE90" s="273">
        <v>678599</v>
      </c>
      <c r="BF90" s="273">
        <v>9627</v>
      </c>
      <c r="BG90" s="273">
        <v>5077</v>
      </c>
      <c r="BH90" s="273">
        <v>21647</v>
      </c>
      <c r="BI90" s="273">
        <v>25849</v>
      </c>
      <c r="BJ90" s="273">
        <v>4555</v>
      </c>
      <c r="BK90" s="273">
        <v>14669</v>
      </c>
      <c r="BL90" s="273">
        <v>5010</v>
      </c>
      <c r="BM90" s="273">
        <v>4678</v>
      </c>
      <c r="BN90" s="273">
        <v>14258</v>
      </c>
      <c r="BO90" s="273">
        <v>2082</v>
      </c>
      <c r="BP90" s="273">
        <v>2619</v>
      </c>
      <c r="BQ90" s="273">
        <v>1677</v>
      </c>
      <c r="BR90" s="273">
        <v>4919</v>
      </c>
      <c r="BS90" s="273">
        <v>5109</v>
      </c>
      <c r="BT90" s="273">
        <v>947</v>
      </c>
      <c r="BU90" s="273">
        <v>0</v>
      </c>
      <c r="BV90" s="273">
        <v>15930</v>
      </c>
      <c r="BW90" s="273">
        <v>3446</v>
      </c>
      <c r="BX90" s="273">
        <v>3549</v>
      </c>
      <c r="BY90" s="273">
        <v>1319</v>
      </c>
      <c r="BZ90" s="273">
        <v>0</v>
      </c>
      <c r="CA90" s="273">
        <v>5571</v>
      </c>
      <c r="CB90" s="273">
        <v>4031</v>
      </c>
      <c r="CC90" s="273">
        <v>4956</v>
      </c>
      <c r="CD90" s="224" t="s">
        <v>247</v>
      </c>
      <c r="CE90" s="25">
        <v>1609235</v>
      </c>
      <c r="CF90" s="25">
        <v>-930636</v>
      </c>
    </row>
    <row r="91" spans="1:84" x14ac:dyDescent="0.25">
      <c r="A91" s="21" t="s">
        <v>290</v>
      </c>
      <c r="B91" s="16"/>
      <c r="C91" s="273">
        <v>11848</v>
      </c>
      <c r="D91" s="273">
        <v>31015</v>
      </c>
      <c r="E91" s="273">
        <v>147067</v>
      </c>
      <c r="F91" s="273">
        <v>0</v>
      </c>
      <c r="G91" s="273">
        <v>11587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5444</v>
      </c>
      <c r="N91" s="273">
        <v>0</v>
      </c>
      <c r="O91" s="273">
        <v>31744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4820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243525</v>
      </c>
      <c r="CF91" s="25">
        <v>-243525</v>
      </c>
    </row>
    <row r="92" spans="1:84" x14ac:dyDescent="0.25">
      <c r="A92" s="21" t="s">
        <v>291</v>
      </c>
      <c r="B92" s="16"/>
      <c r="C92" s="273">
        <v>4024</v>
      </c>
      <c r="D92" s="273">
        <v>3066</v>
      </c>
      <c r="E92" s="273">
        <v>14151</v>
      </c>
      <c r="F92" s="273">
        <v>0</v>
      </c>
      <c r="G92" s="273">
        <v>1144</v>
      </c>
      <c r="H92" s="273">
        <v>0</v>
      </c>
      <c r="I92" s="273">
        <v>0</v>
      </c>
      <c r="J92" s="273">
        <v>0</v>
      </c>
      <c r="K92" s="273">
        <v>0</v>
      </c>
      <c r="L92" s="273">
        <v>0</v>
      </c>
      <c r="M92" s="273">
        <v>2581</v>
      </c>
      <c r="N92" s="273">
        <v>636</v>
      </c>
      <c r="O92" s="273">
        <v>6843</v>
      </c>
      <c r="P92" s="273">
        <v>9100</v>
      </c>
      <c r="Q92" s="273">
        <v>644</v>
      </c>
      <c r="R92" s="273">
        <v>82</v>
      </c>
      <c r="S92" s="273">
        <v>1292</v>
      </c>
      <c r="T92" s="273">
        <v>0</v>
      </c>
      <c r="U92" s="273">
        <v>1984</v>
      </c>
      <c r="V92" s="273">
        <v>38</v>
      </c>
      <c r="W92" s="273">
        <v>391</v>
      </c>
      <c r="X92" s="273">
        <v>398</v>
      </c>
      <c r="Y92" s="273">
        <v>6369</v>
      </c>
      <c r="Z92" s="273">
        <v>2075</v>
      </c>
      <c r="AA92" s="273">
        <v>143</v>
      </c>
      <c r="AB92" s="273">
        <v>968</v>
      </c>
      <c r="AC92" s="273">
        <v>332</v>
      </c>
      <c r="AD92" s="273">
        <v>0</v>
      </c>
      <c r="AE92" s="273">
        <v>2317</v>
      </c>
      <c r="AF92" s="273">
        <v>0</v>
      </c>
      <c r="AG92" s="273">
        <v>6927</v>
      </c>
      <c r="AH92" s="273">
        <v>0</v>
      </c>
      <c r="AI92" s="273">
        <v>0</v>
      </c>
      <c r="AJ92" s="273">
        <v>19156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5783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1652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452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2723</v>
      </c>
      <c r="BI92" s="273">
        <v>3252</v>
      </c>
      <c r="BJ92" s="24" t="s">
        <v>247</v>
      </c>
      <c r="BK92" s="273">
        <v>1845</v>
      </c>
      <c r="BL92" s="273">
        <v>630</v>
      </c>
      <c r="BM92" s="273">
        <v>588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643</v>
      </c>
      <c r="BT92" s="273">
        <v>119</v>
      </c>
      <c r="BU92" s="273">
        <v>0</v>
      </c>
      <c r="BV92" s="273">
        <v>2004</v>
      </c>
      <c r="BW92" s="273">
        <v>434</v>
      </c>
      <c r="BX92" s="273">
        <v>446</v>
      </c>
      <c r="BY92" s="273">
        <v>166</v>
      </c>
      <c r="BZ92" s="273">
        <v>0</v>
      </c>
      <c r="CA92" s="273">
        <v>701</v>
      </c>
      <c r="CB92" s="273">
        <v>507</v>
      </c>
      <c r="CC92" s="24" t="s">
        <v>247</v>
      </c>
      <c r="CD92" s="24" t="s">
        <v>247</v>
      </c>
      <c r="CE92" s="25">
        <v>106606</v>
      </c>
      <c r="CF92" s="16"/>
    </row>
    <row r="93" spans="1:84" x14ac:dyDescent="0.25">
      <c r="A93" s="21" t="s">
        <v>292</v>
      </c>
      <c r="B93" s="16"/>
      <c r="C93" s="273">
        <v>162677.97</v>
      </c>
      <c r="D93" s="273">
        <v>187578.17</v>
      </c>
      <c r="E93" s="273">
        <v>632304.93000000005</v>
      </c>
      <c r="F93" s="273">
        <v>0</v>
      </c>
      <c r="G93" s="273">
        <v>36684.71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37002.639999999999</v>
      </c>
      <c r="N93" s="273">
        <v>0</v>
      </c>
      <c r="O93" s="273">
        <v>398862.13</v>
      </c>
      <c r="P93" s="273">
        <v>178218.47</v>
      </c>
      <c r="Q93" s="273">
        <v>0</v>
      </c>
      <c r="R93" s="273">
        <v>0</v>
      </c>
      <c r="S93" s="273">
        <v>15247.96</v>
      </c>
      <c r="T93" s="273">
        <v>0</v>
      </c>
      <c r="U93" s="273">
        <v>1685.58</v>
      </c>
      <c r="V93" s="273">
        <v>0</v>
      </c>
      <c r="W93" s="273">
        <v>20183.759999999998</v>
      </c>
      <c r="X93" s="273">
        <v>0</v>
      </c>
      <c r="Y93" s="273">
        <v>296410.18</v>
      </c>
      <c r="Z93" s="273">
        <v>46023.8</v>
      </c>
      <c r="AA93" s="273">
        <v>0</v>
      </c>
      <c r="AB93" s="273">
        <v>1965</v>
      </c>
      <c r="AC93" s="273">
        <v>0</v>
      </c>
      <c r="AD93" s="273">
        <v>0</v>
      </c>
      <c r="AE93" s="273">
        <v>0</v>
      </c>
      <c r="AF93" s="273">
        <v>0</v>
      </c>
      <c r="AG93" s="273">
        <v>376524.01</v>
      </c>
      <c r="AH93" s="273">
        <v>0</v>
      </c>
      <c r="AI93" s="273">
        <v>0</v>
      </c>
      <c r="AJ93" s="273">
        <v>67701.62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37847.300000000003</v>
      </c>
      <c r="AW93" s="273">
        <v>162.36000000000001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5993.7800000000007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2503074.3699999992</v>
      </c>
      <c r="CF93" s="25">
        <v>0</v>
      </c>
    </row>
    <row r="94" spans="1:84" x14ac:dyDescent="0.25">
      <c r="A94" s="21" t="s">
        <v>293</v>
      </c>
      <c r="B94" s="16"/>
      <c r="C94" s="277">
        <v>97.417322115384621</v>
      </c>
      <c r="D94" s="277">
        <v>50.906461538461542</v>
      </c>
      <c r="E94" s="277">
        <v>237.25817307692307</v>
      </c>
      <c r="F94" s="277">
        <v>0</v>
      </c>
      <c r="G94" s="277">
        <v>12.473177884615383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18.925913461538499</v>
      </c>
      <c r="N94" s="277">
        <v>2.0169038461538462</v>
      </c>
      <c r="O94" s="277">
        <v>129.50167788461539</v>
      </c>
      <c r="P94" s="334">
        <v>50.717629807692305</v>
      </c>
      <c r="Q94" s="334">
        <v>50.709403846153847</v>
      </c>
      <c r="R94" s="334">
        <v>9.6153846153846159E-4</v>
      </c>
      <c r="S94" s="278">
        <v>0</v>
      </c>
      <c r="T94" s="278">
        <v>0</v>
      </c>
      <c r="U94" s="335">
        <v>3.1490384615384615E-2</v>
      </c>
      <c r="V94" s="334">
        <v>0</v>
      </c>
      <c r="W94" s="334">
        <v>0</v>
      </c>
      <c r="X94" s="334">
        <v>5.7692307692307696E-3</v>
      </c>
      <c r="Y94" s="334">
        <v>33.895528846153844</v>
      </c>
      <c r="Z94" s="334">
        <v>4.4851682692307691</v>
      </c>
      <c r="AA94" s="334">
        <v>0</v>
      </c>
      <c r="AB94" s="278">
        <v>0</v>
      </c>
      <c r="AC94" s="334">
        <v>0</v>
      </c>
      <c r="AD94" s="334">
        <v>0</v>
      </c>
      <c r="AE94" s="334">
        <v>0</v>
      </c>
      <c r="AF94" s="334">
        <v>0</v>
      </c>
      <c r="AG94" s="334">
        <v>71.368249999999989</v>
      </c>
      <c r="AH94" s="334">
        <v>0</v>
      </c>
      <c r="AI94" s="334">
        <v>0</v>
      </c>
      <c r="AJ94" s="334">
        <v>56.858668269230769</v>
      </c>
      <c r="AK94" s="334">
        <v>0</v>
      </c>
      <c r="AL94" s="334">
        <v>0</v>
      </c>
      <c r="AM94" s="334">
        <v>0</v>
      </c>
      <c r="AN94" s="334">
        <v>0</v>
      </c>
      <c r="AO94" s="334">
        <v>0</v>
      </c>
      <c r="AP94" s="334">
        <v>17.888028846153844</v>
      </c>
      <c r="AQ94" s="334">
        <v>0</v>
      </c>
      <c r="AR94" s="334">
        <v>171.85723557692299</v>
      </c>
      <c r="AS94" s="334">
        <v>0</v>
      </c>
      <c r="AT94" s="334">
        <v>0</v>
      </c>
      <c r="AU94" s="334">
        <v>0</v>
      </c>
      <c r="AV94" s="278">
        <v>63.952884615384619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1070.2706490384614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/>
      <c r="E98" s="285"/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/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98034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9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1057</v>
      </c>
      <c r="D104" s="284"/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1058</v>
      </c>
      <c r="D105" s="284"/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1059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 t="s">
        <v>318</v>
      </c>
      <c r="D108" s="284" t="s">
        <v>297</v>
      </c>
      <c r="E108" s="285" t="s">
        <v>297</v>
      </c>
      <c r="F108" s="12"/>
    </row>
    <row r="109" spans="1:6" x14ac:dyDescent="0.25">
      <c r="A109" s="33" t="s">
        <v>319</v>
      </c>
      <c r="B109" s="32" t="s">
        <v>299</v>
      </c>
      <c r="C109" s="287" t="s">
        <v>1060</v>
      </c>
      <c r="D109" s="284" t="s">
        <v>297</v>
      </c>
      <c r="E109" s="285" t="s">
        <v>297</v>
      </c>
      <c r="F109" s="12"/>
    </row>
    <row r="110" spans="1:6" x14ac:dyDescent="0.25">
      <c r="A110" s="33" t="s">
        <v>320</v>
      </c>
      <c r="B110" s="32" t="s">
        <v>299</v>
      </c>
      <c r="C110" s="340" t="s">
        <v>1061</v>
      </c>
      <c r="D110" s="284"/>
      <c r="E110" s="285"/>
      <c r="F110" s="12"/>
    </row>
    <row r="111" spans="1:6" x14ac:dyDescent="0.25">
      <c r="A111" s="30" t="s">
        <v>321</v>
      </c>
      <c r="B111" s="30"/>
      <c r="C111" s="30"/>
      <c r="D111" s="30"/>
      <c r="E111" s="30"/>
    </row>
    <row r="112" spans="1:6" x14ac:dyDescent="0.25">
      <c r="A112" s="34" t="s">
        <v>322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323</v>
      </c>
      <c r="B115" s="35" t="s">
        <v>299</v>
      </c>
      <c r="C115" s="292">
        <v>1</v>
      </c>
      <c r="D115" s="16"/>
      <c r="E115" s="16"/>
    </row>
    <row r="116" spans="1:5" x14ac:dyDescent="0.25">
      <c r="A116" s="34" t="s">
        <v>324</v>
      </c>
      <c r="B116" s="34"/>
      <c r="C116" s="34"/>
      <c r="D116" s="34"/>
      <c r="E116" s="34"/>
    </row>
    <row r="117" spans="1:5" x14ac:dyDescent="0.25">
      <c r="A117" s="16" t="s">
        <v>325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326</v>
      </c>
      <c r="B119" s="34"/>
      <c r="C119" s="34"/>
      <c r="D119" s="34"/>
      <c r="E119" s="34"/>
    </row>
    <row r="120" spans="1:5" x14ac:dyDescent="0.25">
      <c r="A120" s="16" t="s">
        <v>327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328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329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330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331</v>
      </c>
      <c r="B126" s="16"/>
      <c r="C126" s="17" t="s">
        <v>332</v>
      </c>
      <c r="D126" s="18" t="s">
        <v>241</v>
      </c>
      <c r="E126" s="16"/>
    </row>
    <row r="127" spans="1:5" x14ac:dyDescent="0.25">
      <c r="A127" s="16" t="s">
        <v>333</v>
      </c>
      <c r="B127" s="35" t="s">
        <v>299</v>
      </c>
      <c r="C127" s="292">
        <v>16418</v>
      </c>
      <c r="D127" s="295">
        <v>78228</v>
      </c>
      <c r="E127" s="16"/>
    </row>
    <row r="128" spans="1:5" x14ac:dyDescent="0.25">
      <c r="A128" s="16" t="s">
        <v>334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335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336</v>
      </c>
      <c r="B130" s="35" t="s">
        <v>299</v>
      </c>
      <c r="C130" s="292">
        <v>4475</v>
      </c>
      <c r="D130" s="295">
        <v>6280</v>
      </c>
      <c r="E130" s="16"/>
    </row>
    <row r="131" spans="1:5" x14ac:dyDescent="0.25">
      <c r="A131" s="21" t="s">
        <v>337</v>
      </c>
      <c r="B131" s="16"/>
      <c r="C131" s="17" t="s">
        <v>193</v>
      </c>
      <c r="D131" s="16"/>
      <c r="E131" s="16"/>
    </row>
    <row r="132" spans="1:5" x14ac:dyDescent="0.25">
      <c r="A132" s="16" t="s">
        <v>338</v>
      </c>
      <c r="B132" s="35" t="s">
        <v>299</v>
      </c>
      <c r="C132" s="292">
        <v>20</v>
      </c>
      <c r="D132" s="16"/>
      <c r="E132" s="16"/>
    </row>
    <row r="133" spans="1:5" x14ac:dyDescent="0.25">
      <c r="A133" s="16" t="s">
        <v>339</v>
      </c>
      <c r="B133" s="35" t="s">
        <v>299</v>
      </c>
      <c r="C133" s="292">
        <v>31</v>
      </c>
      <c r="D133" s="16"/>
      <c r="E133" s="16"/>
    </row>
    <row r="134" spans="1:5" x14ac:dyDescent="0.25">
      <c r="A134" s="16" t="s">
        <v>340</v>
      </c>
      <c r="B134" s="35" t="s">
        <v>299</v>
      </c>
      <c r="C134" s="292">
        <v>167</v>
      </c>
      <c r="D134" s="16"/>
      <c r="E134" s="16"/>
    </row>
    <row r="135" spans="1:5" x14ac:dyDescent="0.25">
      <c r="A135" s="16" t="s">
        <v>341</v>
      </c>
      <c r="B135" s="35" t="s">
        <v>299</v>
      </c>
      <c r="C135" s="292">
        <v>8</v>
      </c>
      <c r="D135" s="16"/>
      <c r="E135" s="16"/>
    </row>
    <row r="136" spans="1:5" x14ac:dyDescent="0.25">
      <c r="A136" s="16" t="s">
        <v>342</v>
      </c>
      <c r="B136" s="35" t="s">
        <v>299</v>
      </c>
      <c r="C136" s="292">
        <v>71</v>
      </c>
      <c r="D136" s="16"/>
      <c r="E136" s="16"/>
    </row>
    <row r="137" spans="1:5" x14ac:dyDescent="0.25">
      <c r="A137" s="16" t="s">
        <v>343</v>
      </c>
      <c r="B137" s="35" t="s">
        <v>299</v>
      </c>
      <c r="C137" s="292">
        <v>14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0</v>
      </c>
      <c r="D138" s="16"/>
      <c r="E138" s="16"/>
    </row>
    <row r="139" spans="1:5" x14ac:dyDescent="0.25">
      <c r="A139" s="16" t="s">
        <v>344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345</v>
      </c>
      <c r="B140" s="35"/>
      <c r="C140" s="292">
        <v>0</v>
      </c>
      <c r="D140" s="16"/>
      <c r="E140" s="16"/>
    </row>
    <row r="141" spans="1:5" x14ac:dyDescent="0.25">
      <c r="A141" s="16" t="s">
        <v>335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346</v>
      </c>
      <c r="B142" s="35" t="s">
        <v>299</v>
      </c>
      <c r="C142" s="292">
        <v>43</v>
      </c>
      <c r="D142" s="16"/>
      <c r="E142" s="16"/>
    </row>
    <row r="143" spans="1:5" x14ac:dyDescent="0.25">
      <c r="A143" s="16" t="s">
        <v>347</v>
      </c>
      <c r="B143" s="16"/>
      <c r="C143" s="22"/>
      <c r="D143" s="16"/>
      <c r="E143" s="25">
        <v>354</v>
      </c>
    </row>
    <row r="144" spans="1:5" x14ac:dyDescent="0.25">
      <c r="A144" s="16" t="s">
        <v>348</v>
      </c>
      <c r="B144" s="35" t="s">
        <v>299</v>
      </c>
      <c r="C144" s="292">
        <v>354</v>
      </c>
      <c r="D144" s="16"/>
      <c r="E144" s="16"/>
    </row>
    <row r="145" spans="1:6" x14ac:dyDescent="0.25">
      <c r="A145" s="16" t="s">
        <v>349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350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351</v>
      </c>
      <c r="B152" s="37"/>
      <c r="C152" s="37"/>
      <c r="D152" s="37"/>
      <c r="E152" s="37"/>
    </row>
    <row r="153" spans="1:6" x14ac:dyDescent="0.25">
      <c r="A153" s="38" t="s">
        <v>352</v>
      </c>
      <c r="B153" s="39" t="s">
        <v>353</v>
      </c>
      <c r="C153" s="40" t="s">
        <v>354</v>
      </c>
      <c r="D153" s="39" t="s">
        <v>158</v>
      </c>
      <c r="E153" s="39" t="s">
        <v>229</v>
      </c>
    </row>
    <row r="154" spans="1:6" x14ac:dyDescent="0.25">
      <c r="A154" s="16" t="s">
        <v>332</v>
      </c>
      <c r="B154" s="295">
        <v>6611</v>
      </c>
      <c r="C154" s="295">
        <v>2525</v>
      </c>
      <c r="D154" s="295">
        <v>7282</v>
      </c>
      <c r="E154" s="25">
        <v>16418</v>
      </c>
    </row>
    <row r="155" spans="1:6" x14ac:dyDescent="0.25">
      <c r="A155" s="16" t="s">
        <v>241</v>
      </c>
      <c r="B155" s="295">
        <v>46896</v>
      </c>
      <c r="C155" s="295">
        <v>11083</v>
      </c>
      <c r="D155" s="295">
        <v>20249</v>
      </c>
      <c r="E155" s="25">
        <v>78228</v>
      </c>
    </row>
    <row r="156" spans="1:6" x14ac:dyDescent="0.25">
      <c r="A156" s="16" t="s">
        <v>355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519590392</v>
      </c>
      <c r="C157" s="295">
        <v>117235737</v>
      </c>
      <c r="D157" s="295">
        <v>345463969</v>
      </c>
      <c r="E157" s="25">
        <v>982290098</v>
      </c>
      <c r="F157" s="14"/>
    </row>
    <row r="158" spans="1:6" x14ac:dyDescent="0.25">
      <c r="A158" s="16" t="s">
        <v>287</v>
      </c>
      <c r="B158" s="295">
        <v>648749369</v>
      </c>
      <c r="C158" s="295">
        <v>119843488</v>
      </c>
      <c r="D158" s="295">
        <v>705409813</v>
      </c>
      <c r="E158" s="25">
        <v>1474002670</v>
      </c>
      <c r="F158" s="14"/>
    </row>
    <row r="159" spans="1:6" x14ac:dyDescent="0.25">
      <c r="A159" s="38" t="s">
        <v>356</v>
      </c>
      <c r="B159" s="39" t="s">
        <v>353</v>
      </c>
      <c r="C159" s="40" t="s">
        <v>354</v>
      </c>
      <c r="D159" s="39" t="s">
        <v>158</v>
      </c>
      <c r="E159" s="39" t="s">
        <v>229</v>
      </c>
    </row>
    <row r="160" spans="1:6" x14ac:dyDescent="0.25">
      <c r="A160" s="16" t="s">
        <v>332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355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357</v>
      </c>
      <c r="B165" s="39" t="s">
        <v>353</v>
      </c>
      <c r="C165" s="40" t="s">
        <v>354</v>
      </c>
      <c r="D165" s="39" t="s">
        <v>158</v>
      </c>
      <c r="E165" s="39" t="s">
        <v>229</v>
      </c>
    </row>
    <row r="166" spans="1:5" x14ac:dyDescent="0.25">
      <c r="A166" s="16" t="s">
        <v>332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355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358</v>
      </c>
      <c r="B172" s="39" t="s">
        <v>359</v>
      </c>
      <c r="C172" s="40" t="s">
        <v>360</v>
      </c>
      <c r="D172" s="16"/>
      <c r="E172" s="16"/>
    </row>
    <row r="173" spans="1:5" x14ac:dyDescent="0.25">
      <c r="A173" s="20" t="s">
        <v>361</v>
      </c>
      <c r="B173" s="295">
        <v>9431788</v>
      </c>
      <c r="C173" s="295">
        <v>20459871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362</v>
      </c>
      <c r="B179" s="30"/>
      <c r="C179" s="30"/>
      <c r="D179" s="30"/>
      <c r="E179" s="30"/>
    </row>
    <row r="180" spans="1:5" x14ac:dyDescent="0.25">
      <c r="A180" s="34" t="s">
        <v>363</v>
      </c>
      <c r="B180" s="34"/>
      <c r="C180" s="34"/>
      <c r="D180" s="34"/>
      <c r="E180" s="34"/>
    </row>
    <row r="181" spans="1:5" x14ac:dyDescent="0.25">
      <c r="A181" s="16" t="s">
        <v>364</v>
      </c>
      <c r="B181" s="35" t="s">
        <v>299</v>
      </c>
      <c r="C181" s="292">
        <v>33488693</v>
      </c>
      <c r="D181" s="16"/>
      <c r="E181" s="16"/>
    </row>
    <row r="182" spans="1:5" x14ac:dyDescent="0.25">
      <c r="A182" s="16" t="s">
        <v>365</v>
      </c>
      <c r="B182" s="35" t="s">
        <v>299</v>
      </c>
      <c r="C182" s="292">
        <v>428997</v>
      </c>
      <c r="D182" s="16"/>
      <c r="E182" s="16"/>
    </row>
    <row r="183" spans="1:5" x14ac:dyDescent="0.25">
      <c r="A183" s="20" t="s">
        <v>366</v>
      </c>
      <c r="B183" s="35" t="s">
        <v>299</v>
      </c>
      <c r="C183" s="292">
        <v>2949240</v>
      </c>
      <c r="D183" s="16"/>
      <c r="E183" s="16"/>
    </row>
    <row r="184" spans="1:5" x14ac:dyDescent="0.25">
      <c r="A184" s="16" t="s">
        <v>367</v>
      </c>
      <c r="B184" s="35" t="s">
        <v>299</v>
      </c>
      <c r="C184" s="292">
        <v>67151077</v>
      </c>
      <c r="D184" s="16"/>
      <c r="E184" s="16"/>
    </row>
    <row r="185" spans="1:5" x14ac:dyDescent="0.25">
      <c r="A185" s="16" t="s">
        <v>368</v>
      </c>
      <c r="B185" s="35" t="s">
        <v>299</v>
      </c>
      <c r="C185" s="292">
        <v>260986</v>
      </c>
      <c r="D185" s="16"/>
      <c r="E185" s="16"/>
    </row>
    <row r="186" spans="1:5" x14ac:dyDescent="0.25">
      <c r="A186" s="16" t="s">
        <v>369</v>
      </c>
      <c r="B186" s="35" t="s">
        <v>299</v>
      </c>
      <c r="C186" s="292">
        <v>23791048</v>
      </c>
      <c r="D186" s="16"/>
      <c r="E186" s="16"/>
    </row>
    <row r="187" spans="1:5" x14ac:dyDescent="0.25">
      <c r="A187" s="16" t="s">
        <v>370</v>
      </c>
      <c r="B187" s="35" t="s">
        <v>299</v>
      </c>
      <c r="C187" s="292">
        <v>2178147.0299999998</v>
      </c>
      <c r="D187" s="16"/>
      <c r="E187" s="16"/>
    </row>
    <row r="188" spans="1:5" x14ac:dyDescent="0.25">
      <c r="A188" s="16" t="s">
        <v>370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130248188.03</v>
      </c>
      <c r="E189" s="16"/>
    </row>
    <row r="190" spans="1:5" x14ac:dyDescent="0.25">
      <c r="A190" s="34" t="s">
        <v>371</v>
      </c>
      <c r="B190" s="34"/>
      <c r="C190" s="34"/>
      <c r="D190" s="34"/>
      <c r="E190" s="34"/>
    </row>
    <row r="191" spans="1:5" x14ac:dyDescent="0.25">
      <c r="A191" s="16" t="s">
        <v>372</v>
      </c>
      <c r="B191" s="35" t="s">
        <v>299</v>
      </c>
      <c r="C191" s="292">
        <v>4504991</v>
      </c>
      <c r="D191" s="16"/>
      <c r="E191" s="16"/>
    </row>
    <row r="192" spans="1:5" x14ac:dyDescent="0.25">
      <c r="A192" s="16" t="s">
        <v>373</v>
      </c>
      <c r="B192" s="35" t="s">
        <v>299</v>
      </c>
      <c r="C192" s="292">
        <v>2556451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7061442</v>
      </c>
      <c r="E193" s="16"/>
    </row>
    <row r="194" spans="1:5" x14ac:dyDescent="0.25">
      <c r="A194" s="34" t="s">
        <v>374</v>
      </c>
      <c r="B194" s="34"/>
      <c r="C194" s="34"/>
      <c r="D194" s="34"/>
      <c r="E194" s="34"/>
    </row>
    <row r="195" spans="1:5" x14ac:dyDescent="0.25">
      <c r="A195" s="16" t="s">
        <v>375</v>
      </c>
      <c r="B195" s="35" t="s">
        <v>299</v>
      </c>
      <c r="C195" s="292">
        <v>4392665</v>
      </c>
      <c r="D195" s="16"/>
      <c r="E195" s="16"/>
    </row>
    <row r="196" spans="1:5" x14ac:dyDescent="0.25">
      <c r="A196" s="16" t="s">
        <v>376</v>
      </c>
      <c r="B196" s="35" t="s">
        <v>299</v>
      </c>
      <c r="C196" s="292">
        <v>2183565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6576230</v>
      </c>
      <c r="E197" s="16"/>
    </row>
    <row r="198" spans="1:5" x14ac:dyDescent="0.25">
      <c r="A198" s="34" t="s">
        <v>377</v>
      </c>
      <c r="B198" s="34"/>
      <c r="C198" s="34"/>
      <c r="D198" s="34"/>
      <c r="E198" s="34"/>
    </row>
    <row r="199" spans="1:5" x14ac:dyDescent="0.25">
      <c r="A199" s="16" t="s">
        <v>378</v>
      </c>
      <c r="B199" s="35" t="s">
        <v>299</v>
      </c>
      <c r="C199" s="292">
        <v>520331</v>
      </c>
      <c r="D199" s="16"/>
      <c r="E199" s="16"/>
    </row>
    <row r="200" spans="1:5" x14ac:dyDescent="0.25">
      <c r="A200" s="16" t="s">
        <v>379</v>
      </c>
      <c r="B200" s="35" t="s">
        <v>299</v>
      </c>
      <c r="C200" s="292">
        <v>6824505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7344836</v>
      </c>
      <c r="E202" s="16"/>
    </row>
    <row r="203" spans="1:5" x14ac:dyDescent="0.25">
      <c r="A203" s="34" t="s">
        <v>380</v>
      </c>
      <c r="B203" s="34"/>
      <c r="C203" s="34"/>
      <c r="D203" s="34"/>
      <c r="E203" s="34"/>
    </row>
    <row r="204" spans="1:5" x14ac:dyDescent="0.25">
      <c r="A204" s="16" t="s">
        <v>381</v>
      </c>
      <c r="B204" s="35" t="s">
        <v>299</v>
      </c>
      <c r="C204" s="292">
        <v>15024972</v>
      </c>
      <c r="D204" s="16"/>
      <c r="E204" s="16"/>
    </row>
    <row r="205" spans="1:5" x14ac:dyDescent="0.25">
      <c r="A205" s="16" t="s">
        <v>382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15024972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383</v>
      </c>
      <c r="B208" s="30"/>
      <c r="C208" s="30"/>
      <c r="D208" s="30"/>
      <c r="E208" s="30"/>
    </row>
    <row r="209" spans="1:5" x14ac:dyDescent="0.25">
      <c r="A209" s="37" t="s">
        <v>384</v>
      </c>
      <c r="B209" s="30"/>
      <c r="C209" s="30"/>
      <c r="D209" s="30"/>
      <c r="E209" s="30"/>
    </row>
    <row r="210" spans="1:5" x14ac:dyDescent="0.25">
      <c r="A210" s="21"/>
      <c r="B210" s="18" t="s">
        <v>385</v>
      </c>
      <c r="C210" s="17" t="s">
        <v>386</v>
      </c>
      <c r="D210" s="18" t="s">
        <v>387</v>
      </c>
      <c r="E210" s="18" t="s">
        <v>388</v>
      </c>
    </row>
    <row r="211" spans="1:5" x14ac:dyDescent="0.25">
      <c r="A211" s="16" t="s">
        <v>389</v>
      </c>
      <c r="B211" s="295">
        <v>4913659.68</v>
      </c>
      <c r="C211" s="292">
        <v>0</v>
      </c>
      <c r="D211" s="295">
        <v>0</v>
      </c>
      <c r="E211" s="25">
        <v>4913659.68</v>
      </c>
    </row>
    <row r="212" spans="1:5" x14ac:dyDescent="0.25">
      <c r="A212" s="16" t="s">
        <v>390</v>
      </c>
      <c r="B212" s="295">
        <v>13091598</v>
      </c>
      <c r="C212" s="292">
        <v>0</v>
      </c>
      <c r="D212" s="295">
        <v>153114.63</v>
      </c>
      <c r="E212" s="25">
        <v>12938483.369999999</v>
      </c>
    </row>
    <row r="213" spans="1:5" x14ac:dyDescent="0.25">
      <c r="A213" s="16" t="s">
        <v>391</v>
      </c>
      <c r="B213" s="295">
        <v>372890232.59999996</v>
      </c>
      <c r="C213" s="292">
        <v>7942151.5099999998</v>
      </c>
      <c r="D213" s="295">
        <v>516845.47</v>
      </c>
      <c r="E213" s="25">
        <v>380315538.63999993</v>
      </c>
    </row>
    <row r="214" spans="1:5" x14ac:dyDescent="0.25">
      <c r="A214" s="16" t="s">
        <v>392</v>
      </c>
      <c r="B214" s="295">
        <v>138477931</v>
      </c>
      <c r="C214" s="292">
        <v>3918465.52</v>
      </c>
      <c r="D214" s="295">
        <v>167870.95</v>
      </c>
      <c r="E214" s="25">
        <v>142228525.57000002</v>
      </c>
    </row>
    <row r="215" spans="1:5" x14ac:dyDescent="0.25">
      <c r="A215" s="16" t="s">
        <v>393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394</v>
      </c>
      <c r="B216" s="295">
        <v>343279516.06999999</v>
      </c>
      <c r="C216" s="292">
        <v>25077036.330000002</v>
      </c>
      <c r="D216" s="295">
        <v>18831927.870000001</v>
      </c>
      <c r="E216" s="25">
        <v>349524624.52999997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41218111.640000001</v>
      </c>
      <c r="C218" s="292">
        <v>5167468.75</v>
      </c>
      <c r="D218" s="295">
        <v>228175.14</v>
      </c>
      <c r="E218" s="25">
        <v>46157405.25</v>
      </c>
    </row>
    <row r="219" spans="1:5" x14ac:dyDescent="0.25">
      <c r="A219" s="16" t="s">
        <v>397</v>
      </c>
      <c r="B219" s="295">
        <v>9873194</v>
      </c>
      <c r="C219" s="292">
        <v>34444603</v>
      </c>
      <c r="D219" s="295">
        <v>38227476.060000002</v>
      </c>
      <c r="E219" s="25">
        <v>6090320.9399999976</v>
      </c>
    </row>
    <row r="220" spans="1:5" x14ac:dyDescent="0.25">
      <c r="A220" s="16" t="s">
        <v>229</v>
      </c>
      <c r="B220" s="25">
        <v>923744242.98999989</v>
      </c>
      <c r="C220" s="225">
        <v>76549725.109999999</v>
      </c>
      <c r="D220" s="25">
        <v>58125410.120000005</v>
      </c>
      <c r="E220" s="25">
        <v>942168557.98000002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385</v>
      </c>
      <c r="C223" s="17" t="s">
        <v>386</v>
      </c>
      <c r="D223" s="18" t="s">
        <v>387</v>
      </c>
      <c r="E223" s="18" t="s">
        <v>388</v>
      </c>
    </row>
    <row r="224" spans="1:5" x14ac:dyDescent="0.25">
      <c r="A224" s="16" t="s">
        <v>389</v>
      </c>
      <c r="B224" s="42"/>
      <c r="C224" s="41"/>
      <c r="D224" s="42"/>
      <c r="E224" s="16"/>
    </row>
    <row r="225" spans="1:5" x14ac:dyDescent="0.25">
      <c r="A225" s="16" t="s">
        <v>390</v>
      </c>
      <c r="B225" s="295">
        <v>11968831</v>
      </c>
      <c r="C225" s="292">
        <v>276657.75</v>
      </c>
      <c r="D225" s="295">
        <v>153114.63</v>
      </c>
      <c r="E225" s="25">
        <v>12092374.119999999</v>
      </c>
    </row>
    <row r="226" spans="1:5" x14ac:dyDescent="0.25">
      <c r="A226" s="16" t="s">
        <v>391</v>
      </c>
      <c r="B226" s="295">
        <v>198686705</v>
      </c>
      <c r="C226" s="292">
        <v>13131752.07</v>
      </c>
      <c r="D226" s="295">
        <v>516845.47</v>
      </c>
      <c r="E226" s="25">
        <v>211301611.59999999</v>
      </c>
    </row>
    <row r="227" spans="1:5" x14ac:dyDescent="0.25">
      <c r="A227" s="16" t="s">
        <v>392</v>
      </c>
      <c r="B227" s="295">
        <v>103716736</v>
      </c>
      <c r="C227" s="292">
        <v>4514098.25</v>
      </c>
      <c r="D227" s="295">
        <v>167870.95</v>
      </c>
      <c r="E227" s="25">
        <v>108062963.3</v>
      </c>
    </row>
    <row r="228" spans="1:5" x14ac:dyDescent="0.25">
      <c r="A228" s="16" t="s">
        <v>393</v>
      </c>
      <c r="B228" s="295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394</v>
      </c>
      <c r="B229" s="295">
        <v>230103223</v>
      </c>
      <c r="C229" s="292">
        <v>22641173.219999999</v>
      </c>
      <c r="D229" s="295">
        <v>12783725.18</v>
      </c>
      <c r="E229" s="25">
        <v>239960671.03999999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28691495</v>
      </c>
      <c r="C231" s="292">
        <v>2600065.14</v>
      </c>
      <c r="D231" s="295">
        <v>228175.14</v>
      </c>
      <c r="E231" s="25">
        <v>31063385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573166990</v>
      </c>
      <c r="C233" s="225">
        <v>43163746.43</v>
      </c>
      <c r="D233" s="25">
        <v>13849731.370000001</v>
      </c>
      <c r="E233" s="25">
        <v>602481005.05999994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43" t="s">
        <v>400</v>
      </c>
      <c r="C236" s="343"/>
      <c r="D236" s="30"/>
      <c r="E236" s="30"/>
    </row>
    <row r="237" spans="1:5" x14ac:dyDescent="0.25">
      <c r="A237" s="43" t="s">
        <v>400</v>
      </c>
      <c r="B237" s="30"/>
      <c r="C237" s="292">
        <v>31825647</v>
      </c>
      <c r="D237" s="32">
        <v>31825647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736108599.99000001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167820947.56999999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13873971.560000001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17894202.600000001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600815079.71000016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35145.919999999998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1536547947.3500001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3451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4462046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6504197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10966243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18031317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18031317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1597371154.3500001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89011876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401999456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266915813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6764524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23642462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1558505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8404100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11779277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276244387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85485904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85485904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389</v>
      </c>
      <c r="B283" s="35" t="s">
        <v>299</v>
      </c>
      <c r="C283" s="292">
        <v>4913660</v>
      </c>
      <c r="D283" s="16"/>
      <c r="E283" s="16"/>
    </row>
    <row r="284" spans="1:5" x14ac:dyDescent="0.25">
      <c r="A284" s="16" t="s">
        <v>390</v>
      </c>
      <c r="B284" s="35" t="s">
        <v>299</v>
      </c>
      <c r="C284" s="292">
        <v>12938484</v>
      </c>
      <c r="D284" s="16"/>
      <c r="E284" s="16"/>
    </row>
    <row r="285" spans="1:5" x14ac:dyDescent="0.25">
      <c r="A285" s="16" t="s">
        <v>391</v>
      </c>
      <c r="B285" s="35" t="s">
        <v>299</v>
      </c>
      <c r="C285" s="292">
        <v>380315539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142228525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349524625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46157405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6090322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942168560</v>
      </c>
      <c r="E291" s="16"/>
    </row>
    <row r="292" spans="1:5" x14ac:dyDescent="0.25">
      <c r="A292" s="16" t="s">
        <v>439</v>
      </c>
      <c r="B292" s="35" t="s">
        <v>299</v>
      </c>
      <c r="C292" s="292">
        <v>602481006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339687554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6750351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288871464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295621815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24703612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7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7" x14ac:dyDescent="0.25">
      <c r="A306" s="16" t="s">
        <v>451</v>
      </c>
      <c r="B306" s="16"/>
      <c r="C306" s="22"/>
      <c r="D306" s="25">
        <v>24703612</v>
      </c>
      <c r="E306" s="16"/>
    </row>
    <row r="307" spans="1:7" x14ac:dyDescent="0.25">
      <c r="A307" s="16"/>
      <c r="B307" s="16"/>
      <c r="C307" s="22"/>
      <c r="D307" s="16"/>
      <c r="E307" s="16"/>
      <c r="G307" s="10" t="s">
        <v>1062</v>
      </c>
    </row>
    <row r="308" spans="1:7" x14ac:dyDescent="0.25">
      <c r="A308" s="16" t="s">
        <v>452</v>
      </c>
      <c r="B308" s="16"/>
      <c r="C308" s="22"/>
      <c r="D308" s="25">
        <v>1021743272</v>
      </c>
      <c r="E308" s="16"/>
      <c r="F308" s="11">
        <v>1056856442</v>
      </c>
      <c r="G308" s="341">
        <v>-35113170</v>
      </c>
    </row>
    <row r="309" spans="1:7" x14ac:dyDescent="0.25">
      <c r="A309" s="16"/>
      <c r="B309" s="16"/>
      <c r="C309" s="22"/>
      <c r="D309" s="16"/>
      <c r="E309" s="16"/>
    </row>
    <row r="310" spans="1:7" x14ac:dyDescent="0.25">
      <c r="A310" s="16"/>
      <c r="B310" s="16"/>
      <c r="C310" s="22"/>
      <c r="D310" s="16"/>
      <c r="E310" s="16"/>
    </row>
    <row r="311" spans="1:7" x14ac:dyDescent="0.25">
      <c r="A311" s="16"/>
      <c r="B311" s="16"/>
      <c r="C311" s="22"/>
      <c r="D311" s="16"/>
      <c r="E311" s="16"/>
    </row>
    <row r="312" spans="1:7" x14ac:dyDescent="0.25">
      <c r="A312" s="30" t="s">
        <v>453</v>
      </c>
      <c r="B312" s="30"/>
      <c r="C312" s="30"/>
      <c r="D312" s="30"/>
      <c r="E312" s="30"/>
    </row>
    <row r="313" spans="1:7" x14ac:dyDescent="0.25">
      <c r="A313" s="34" t="s">
        <v>454</v>
      </c>
      <c r="B313" s="34"/>
      <c r="C313" s="34"/>
      <c r="D313" s="34"/>
      <c r="E313" s="34"/>
    </row>
    <row r="314" spans="1:7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7" x14ac:dyDescent="0.25">
      <c r="A315" s="16" t="s">
        <v>456</v>
      </c>
      <c r="B315" s="35" t="s">
        <v>299</v>
      </c>
      <c r="C315" s="292">
        <v>60728530</v>
      </c>
      <c r="D315" s="16"/>
      <c r="E315" s="16"/>
    </row>
    <row r="316" spans="1:7" x14ac:dyDescent="0.25">
      <c r="A316" s="16" t="s">
        <v>457</v>
      </c>
      <c r="B316" s="35" t="s">
        <v>299</v>
      </c>
      <c r="C316" s="292">
        <v>58649892</v>
      </c>
      <c r="D316" s="16"/>
      <c r="E316" s="16"/>
    </row>
    <row r="317" spans="1:7" x14ac:dyDescent="0.25">
      <c r="A317" s="16" t="s">
        <v>458</v>
      </c>
      <c r="B317" s="35" t="s">
        <v>299</v>
      </c>
      <c r="C317" s="292">
        <v>599417</v>
      </c>
      <c r="D317" s="16"/>
      <c r="E317" s="16"/>
    </row>
    <row r="318" spans="1:7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7" x14ac:dyDescent="0.25">
      <c r="A319" s="16" t="s">
        <v>460</v>
      </c>
      <c r="B319" s="35" t="s">
        <v>299</v>
      </c>
      <c r="C319" s="292">
        <v>5470705</v>
      </c>
      <c r="D319" s="16"/>
      <c r="E319" s="16"/>
    </row>
    <row r="320" spans="1:7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15663335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11765554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152877433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35135401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340248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35475649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249891929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248439167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7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7" x14ac:dyDescent="0.25">
      <c r="A338" s="16" t="s">
        <v>479</v>
      </c>
      <c r="B338" s="35" t="s">
        <v>299</v>
      </c>
      <c r="C338" s="292">
        <v>51261114</v>
      </c>
      <c r="D338" s="16"/>
      <c r="E338" s="16"/>
    </row>
    <row r="339" spans="1:7" x14ac:dyDescent="0.25">
      <c r="A339" s="16" t="s">
        <v>229</v>
      </c>
      <c r="B339" s="16"/>
      <c r="C339" s="22"/>
      <c r="D339" s="25">
        <v>549592210</v>
      </c>
      <c r="E339" s="16"/>
    </row>
    <row r="340" spans="1:7" x14ac:dyDescent="0.25">
      <c r="A340" s="16" t="s">
        <v>480</v>
      </c>
      <c r="B340" s="16"/>
      <c r="C340" s="22"/>
      <c r="D340" s="25">
        <v>11765554</v>
      </c>
      <c r="E340" s="16"/>
    </row>
    <row r="341" spans="1:7" x14ac:dyDescent="0.25">
      <c r="A341" s="16" t="s">
        <v>481</v>
      </c>
      <c r="B341" s="16"/>
      <c r="C341" s="22"/>
      <c r="D341" s="25">
        <v>537826656</v>
      </c>
      <c r="E341" s="16"/>
    </row>
    <row r="342" spans="1:7" x14ac:dyDescent="0.25">
      <c r="A342" s="16"/>
      <c r="B342" s="16"/>
      <c r="C342" s="22"/>
      <c r="D342" s="16"/>
      <c r="E342" s="16"/>
    </row>
    <row r="343" spans="1:7" x14ac:dyDescent="0.25">
      <c r="A343" s="16" t="s">
        <v>482</v>
      </c>
      <c r="B343" s="35" t="s">
        <v>299</v>
      </c>
      <c r="C343" s="297">
        <v>295563534</v>
      </c>
      <c r="D343" s="16"/>
      <c r="E343" s="16"/>
    </row>
    <row r="344" spans="1:7" x14ac:dyDescent="0.25">
      <c r="A344" s="16"/>
      <c r="B344" s="35"/>
      <c r="C344" s="44"/>
      <c r="D344" s="16"/>
      <c r="E344" s="16"/>
    </row>
    <row r="345" spans="1:7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7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7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7" x14ac:dyDescent="0.25">
      <c r="A348" s="16" t="s">
        <v>486</v>
      </c>
      <c r="B348" s="35" t="s">
        <v>299</v>
      </c>
      <c r="C348" s="293">
        <v>0</v>
      </c>
      <c r="D348" s="16"/>
      <c r="E348" s="16"/>
    </row>
    <row r="349" spans="1:7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7" x14ac:dyDescent="0.25">
      <c r="A350" s="16" t="s">
        <v>488</v>
      </c>
      <c r="B350" s="16"/>
      <c r="C350" s="22"/>
      <c r="D350" s="25">
        <v>1021743272</v>
      </c>
      <c r="E350" s="16"/>
    </row>
    <row r="351" spans="1:7" x14ac:dyDescent="0.25">
      <c r="A351" s="16"/>
      <c r="B351" s="16"/>
      <c r="C351" s="22"/>
      <c r="D351" s="16"/>
      <c r="E351" s="16"/>
      <c r="G351" s="10" t="s">
        <v>1062</v>
      </c>
    </row>
    <row r="352" spans="1:7" x14ac:dyDescent="0.25">
      <c r="A352" s="16" t="s">
        <v>489</v>
      </c>
      <c r="B352" s="16"/>
      <c r="C352" s="22"/>
      <c r="D352" s="25">
        <v>1021743272</v>
      </c>
      <c r="E352" s="16"/>
      <c r="G352" s="341">
        <v>0</v>
      </c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999439027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1456853740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2456292767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31825647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1536547947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10966242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18031317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1597371153</v>
      </c>
      <c r="E366" s="16"/>
    </row>
    <row r="367" spans="1:5" x14ac:dyDescent="0.25">
      <c r="A367" s="16" t="s">
        <v>499</v>
      </c>
      <c r="B367" s="16"/>
      <c r="C367" s="22"/>
      <c r="D367" s="25">
        <v>858921614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4856673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411179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12519364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3723977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4710681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2034554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24173928</v>
      </c>
      <c r="D380" s="25">
        <v>0</v>
      </c>
      <c r="E380" s="204" t="s">
        <v>1063</v>
      </c>
      <c r="F380" s="47"/>
    </row>
    <row r="381" spans="1:6" x14ac:dyDescent="0.25">
      <c r="A381" s="48" t="s">
        <v>513</v>
      </c>
      <c r="B381" s="35"/>
      <c r="C381" s="35"/>
      <c r="D381" s="25">
        <v>52430356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29028944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81459300</v>
      </c>
      <c r="E383" s="16"/>
    </row>
    <row r="384" spans="1:6" x14ac:dyDescent="0.25">
      <c r="A384" s="16" t="s">
        <v>516</v>
      </c>
      <c r="B384" s="16"/>
      <c r="C384" s="22"/>
      <c r="D384" s="25">
        <v>940380914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551154245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130248187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20515891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129523032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8046644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66309689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62653335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7061441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15024972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6576230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7344836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15135099</v>
      </c>
      <c r="D414" s="25">
        <v>0</v>
      </c>
      <c r="E414" s="204" t="s">
        <v>1063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29056165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1019593601</v>
      </c>
      <c r="E416" s="25"/>
    </row>
    <row r="417" spans="1:13" x14ac:dyDescent="0.25">
      <c r="A417" s="25" t="s">
        <v>530</v>
      </c>
      <c r="B417" s="16"/>
      <c r="C417" s="22"/>
      <c r="D417" s="25">
        <v>-79212687</v>
      </c>
      <c r="E417" s="25"/>
    </row>
    <row r="418" spans="1:13" x14ac:dyDescent="0.25">
      <c r="A418" s="25" t="s">
        <v>531</v>
      </c>
      <c r="B418" s="16"/>
      <c r="C418" s="294">
        <v>-15084971.640000001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28860991.640000001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13776020</v>
      </c>
      <c r="E420" s="25"/>
    </row>
    <row r="421" spans="1:13" x14ac:dyDescent="0.25">
      <c r="A421" s="25" t="s">
        <v>534</v>
      </c>
      <c r="B421" s="16"/>
      <c r="C421" s="22"/>
      <c r="D421" s="25">
        <v>-65436667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  <c r="H423" s="11" t="s">
        <v>1064</v>
      </c>
    </row>
    <row r="424" spans="1:13" x14ac:dyDescent="0.25">
      <c r="A424" s="16" t="s">
        <v>537</v>
      </c>
      <c r="B424" s="16"/>
      <c r="C424" s="22"/>
      <c r="D424" s="25">
        <v>-65436667</v>
      </c>
      <c r="E424" s="16"/>
      <c r="G424" s="11">
        <v>-91599495</v>
      </c>
      <c r="H424" s="342">
        <v>-26162828</v>
      </c>
    </row>
    <row r="426" spans="1:13" ht="29.1" customHeight="1" x14ac:dyDescent="0.25">
      <c r="A426" s="345" t="s">
        <v>538</v>
      </c>
      <c r="B426" s="345"/>
      <c r="C426" s="345"/>
      <c r="D426" s="345"/>
      <c r="E426" s="345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930636</v>
      </c>
      <c r="E612" s="219">
        <f>SUM(C624:D647)+SUM(C668:D713)</f>
        <v>919985876.70894027</v>
      </c>
      <c r="F612" s="219">
        <f>CE64-(AX64+BD64+BE64+BG64+BJ64+BN64+BP64+BQ64+CB64+CC64+CD64)</f>
        <v>128772909.10000007</v>
      </c>
      <c r="G612" s="217">
        <f>CE91-(AX91+AY91+BD91+BE91+BG91+BJ91+BN91+BP91+BQ91+CB91+CC91+CD91)</f>
        <v>243525</v>
      </c>
      <c r="H612" s="222">
        <f>CE60-(AX60+AY60+AZ60+BD60+BE60+BG60+BJ60+BN60+BO60+BP60+BQ60+BR60+CB60+CC60+CD60)</f>
        <v>3782.7988509615375</v>
      </c>
      <c r="I612" s="217">
        <f>CE92-(AX92+AY92+AZ92+BD92+BE92+BF92+BG92+BJ92+BN92+BO92+BP92+BQ92+BR92+CB92+CC92+CD92)</f>
        <v>106099</v>
      </c>
      <c r="J612" s="217">
        <f>CE93-(AX93+AY93+AZ93+BA93+BD93+BE93+BF93+BG93+BJ93+BN93+BO93+BP93+BQ93+BR93+CB93+CC93+CD93)</f>
        <v>2503074.3699999992</v>
      </c>
      <c r="K612" s="217">
        <f>CE89-(AW89+AX89+AY89+AZ89+BA89+BB89+BC89+BD89+BE89+BF89+BG89+BH89+BI89+BJ89+BK89+BL89+BM89+BN89+BO89+BP89+BQ89+BR89+BS89+BT89+BU89+BV89+BW89+BX89+CB89+CC89+CD89)</f>
        <v>2456292767.5300002</v>
      </c>
      <c r="L612" s="223">
        <f>CE94-(AW94+AX94+AY94+AZ94+BA94+BB94+BC94+BD94+BE94+BF94+BG94+BH94+BI94+BJ94+BK94+BL94+BM94+BN94+BO94+BP94+BQ94+BR94+BS94+BT94+BU94+BV94+BW94+BX94+BY94+BZ94+CA94+CB94+CC94+CD94)</f>
        <v>1070.2706490384614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17332899.940000005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30494871.740000002</v>
      </c>
      <c r="D615" s="217">
        <f>SUM(C614:C615)</f>
        <v>47827771.680000007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2983511.31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2718560.8</v>
      </c>
      <c r="D617" s="217">
        <f>(D615/D612)*BJ90</f>
        <v>234093.13630936266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14445260.809999999</v>
      </c>
      <c r="D618" s="217">
        <f>(D615/D612)*BG90</f>
        <v>260920.05555271881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12132848.270000001</v>
      </c>
      <c r="D619" s="217">
        <f>(D615/D612)*BN90</f>
        <v>732755.20032906544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-2662356.3900000025</v>
      </c>
      <c r="D620" s="217">
        <f>(D615/D612)*CC90</f>
        <v>254701.55511508262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6846939.6800000006</v>
      </c>
      <c r="D621" s="217">
        <f>(D615/D612)*BP90</f>
        <v>134597.1293071835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8104824.1600000001</v>
      </c>
      <c r="D622" s="217">
        <f>(D615/D612)*CB90</f>
        <v>207163.43193480591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697363.46</v>
      </c>
      <c r="D623" s="217">
        <f>(D615/D612)*BQ90</f>
        <v>86185.332511701694</v>
      </c>
      <c r="E623" s="219">
        <f>SUM(C616:D623)</f>
        <v>47177367.941059917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4095074.07</v>
      </c>
      <c r="D624" s="217">
        <f>(D615/D612)*BD90</f>
        <v>508426.65148375958</v>
      </c>
      <c r="E624" s="219">
        <f>(E623/E612)*SUM(C624:D624)</f>
        <v>236069.97982544528</v>
      </c>
      <c r="F624" s="219">
        <f>SUM(C624:E624)</f>
        <v>4839570.701309205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0</v>
      </c>
      <c r="D625" s="217">
        <f>(D615/D612)*AY90</f>
        <v>0</v>
      </c>
      <c r="E625" s="219">
        <f>(E623/E612)*SUM(C625:D625)</f>
        <v>0</v>
      </c>
      <c r="F625" s="219">
        <f>(F624/F612)*AY64</f>
        <v>0</v>
      </c>
      <c r="G625" s="217">
        <f>SUM(C625:F625)</f>
        <v>0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25610184.300000001</v>
      </c>
      <c r="D626" s="217">
        <f>(D615/D612)*BR90</f>
        <v>252800.03018787157</v>
      </c>
      <c r="E626" s="219">
        <f>(E623/E612)*SUM(C626:D626)</f>
        <v>1326267.672895117</v>
      </c>
      <c r="F626" s="219">
        <f>(F624/F612)*BR64</f>
        <v>1496.2662225577419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2037913.03</v>
      </c>
      <c r="D627" s="217">
        <f>(D615/D612)*BO90</f>
        <v>106999.32157982285</v>
      </c>
      <c r="E627" s="219">
        <f>(E623/E612)*SUM(C627:D627)</f>
        <v>109992.25289609494</v>
      </c>
      <c r="F627" s="219">
        <f>(F624/F612)*BO64</f>
        <v>7542.7355606420042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5739180.0899999989</v>
      </c>
      <c r="D628" s="217">
        <f>(D615/D612)*AZ90</f>
        <v>1211785.3042894539</v>
      </c>
      <c r="E628" s="219">
        <f>(E623/E612)*SUM(C628:D628)</f>
        <v>356449.22411750909</v>
      </c>
      <c r="F628" s="219">
        <f>(F624/F612)*AZ64</f>
        <v>69792.880509923431</v>
      </c>
      <c r="G628" s="217">
        <f>(G625/G612)*AZ91</f>
        <v>0</v>
      </c>
      <c r="H628" s="219">
        <f>SUM(C626:G628)</f>
        <v>36830403.108258992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7509612.3100000015</v>
      </c>
      <c r="D629" s="217">
        <f>(D615/D612)*BF90</f>
        <v>494756.22903408</v>
      </c>
      <c r="E629" s="219">
        <f>(E623/E612)*SUM(C629:D629)</f>
        <v>410468.30094036961</v>
      </c>
      <c r="F629" s="219">
        <f>(F624/F612)*BF64</f>
        <v>17659.010389569936</v>
      </c>
      <c r="G629" s="217">
        <f>(G625/G612)*BF91</f>
        <v>0</v>
      </c>
      <c r="H629" s="219">
        <f>(H628/H612)*BF60</f>
        <v>947639.56880016485</v>
      </c>
      <c r="I629" s="217">
        <f>SUM(C629:H629)</f>
        <v>9380135.4191641863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419311.56</v>
      </c>
      <c r="D630" s="217">
        <f>(D615/D612)*BA90</f>
        <v>184447.91793947367</v>
      </c>
      <c r="E630" s="219">
        <f>(E623/E612)*SUM(C630:D630)</f>
        <v>30961.109034138281</v>
      </c>
      <c r="F630" s="219">
        <f>(F624/F612)*BA64</f>
        <v>829.2274434540883</v>
      </c>
      <c r="G630" s="217">
        <f>(G625/G612)*BA91</f>
        <v>0</v>
      </c>
      <c r="H630" s="219">
        <f>(H628/H612)*BA60</f>
        <v>48734.406768835164</v>
      </c>
      <c r="I630" s="217">
        <f>(I629/I612)*BA92</f>
        <v>39960.991238958064</v>
      </c>
      <c r="J630" s="217">
        <f>SUM(C630:I630)</f>
        <v>724245.21242485929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71358.350000000559</v>
      </c>
      <c r="D631" s="217">
        <f>(D615/D612)*AW90</f>
        <v>0</v>
      </c>
      <c r="E631" s="219">
        <f>(E623/E612)*SUM(C631:D631)</f>
        <v>3659.2943640177559</v>
      </c>
      <c r="F631" s="219">
        <f>(F624/F612)*AW64</f>
        <v>2015.5689525535827</v>
      </c>
      <c r="G631" s="217">
        <f>(G625/G612)*AW91</f>
        <v>0</v>
      </c>
      <c r="H631" s="219">
        <f>(H628/H612)*AW60</f>
        <v>192577.51443901341</v>
      </c>
      <c r="I631" s="217">
        <f>(I629/I612)*AW92</f>
        <v>0</v>
      </c>
      <c r="J631" s="217">
        <f>(J630/J612)*AW93</f>
        <v>46.97761045322045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650846.80000000005</v>
      </c>
      <c r="D632" s="217">
        <f>(D615/D612)*BB90</f>
        <v>0</v>
      </c>
      <c r="E632" s="219">
        <f>(E623/E612)*SUM(C632:D632)</f>
        <v>33375.772100657778</v>
      </c>
      <c r="F632" s="219">
        <f>(F624/F612)*BB64</f>
        <v>0</v>
      </c>
      <c r="G632" s="217">
        <f>(G625/G612)*BB91</f>
        <v>0</v>
      </c>
      <c r="H632" s="219">
        <f>(H628/H612)*BB60</f>
        <v>2152.7953244213973</v>
      </c>
      <c r="I632" s="217">
        <f>(I629/I612)*BB92</f>
        <v>0</v>
      </c>
      <c r="J632" s="217">
        <f>(J630/J612)*BB93</f>
        <v>0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545994.41000000015</v>
      </c>
      <c r="D633" s="217">
        <f>(D615/D612)*BC90</f>
        <v>0</v>
      </c>
      <c r="E633" s="219">
        <f>(E623/E612)*SUM(C633:D633)</f>
        <v>27998.885446456999</v>
      </c>
      <c r="F633" s="219">
        <f>(F624/F612)*BC64</f>
        <v>1147.4288873442131</v>
      </c>
      <c r="G633" s="217">
        <f>(G625/G612)*BC91</f>
        <v>0</v>
      </c>
      <c r="H633" s="219">
        <f>(H628/H612)*BC60</f>
        <v>78369.92267023008</v>
      </c>
      <c r="I633" s="217">
        <f>(I629/I612)*BC92</f>
        <v>0</v>
      </c>
      <c r="J633" s="217">
        <f>(J630/J612)*BC93</f>
        <v>0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3918452.8100000005</v>
      </c>
      <c r="D634" s="217">
        <f>(D615/D612)*BI90</f>
        <v>1328446.4282021329</v>
      </c>
      <c r="E634" s="219">
        <f>(E623/E612)*SUM(C634:D634)</f>
        <v>269063.79997466272</v>
      </c>
      <c r="F634" s="219">
        <f>(F624/F612)*BI64</f>
        <v>522.95985499391554</v>
      </c>
      <c r="G634" s="217">
        <f>(G625/G612)*BI91</f>
        <v>0</v>
      </c>
      <c r="H634" s="219">
        <f>(H628/H612)*BI60</f>
        <v>189580.04968733049</v>
      </c>
      <c r="I634" s="217">
        <f>(I629/I612)*BI92</f>
        <v>287506.95466613193</v>
      </c>
      <c r="J634" s="217">
        <f>(J630/J612)*BI93</f>
        <v>1734.253892475386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10342257.780000003</v>
      </c>
      <c r="D635" s="217">
        <f>(D615/D612)*BK90</f>
        <v>753877.54479078832</v>
      </c>
      <c r="E635" s="219">
        <f>(E623/E612)*SUM(C635:D635)</f>
        <v>569015.75577889557</v>
      </c>
      <c r="F635" s="219">
        <f>(F624/F612)*BK64</f>
        <v>1701.5684482614931</v>
      </c>
      <c r="G635" s="217">
        <f>(G625/G612)*BK91</f>
        <v>0</v>
      </c>
      <c r="H635" s="219">
        <f>(H628/H612)*BK60</f>
        <v>747218.12031102728</v>
      </c>
      <c r="I635" s="217">
        <f>(I629/I612)*BK92</f>
        <v>163115.10804397706</v>
      </c>
      <c r="J635" s="217">
        <f>(J630/J612)*BK93</f>
        <v>0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45576346.369999997</v>
      </c>
      <c r="D636" s="217">
        <f>(D615/D612)*BH90</f>
        <v>1112494.8675496757</v>
      </c>
      <c r="E636" s="219">
        <f>(E623/E612)*SUM(C636:D636)</f>
        <v>2394228.7567339204</v>
      </c>
      <c r="F636" s="219">
        <f>(F624/F612)*BH64</f>
        <v>7036.494152420195</v>
      </c>
      <c r="G636" s="217">
        <f>(G625/G612)*BH91</f>
        <v>0</v>
      </c>
      <c r="H636" s="219">
        <f>(H628/H612)*BH60</f>
        <v>1022099.2033049671</v>
      </c>
      <c r="I636" s="217">
        <f>(I629/I612)*BH92</f>
        <v>240738.44943292657</v>
      </c>
      <c r="J636" s="217">
        <f>(J630/J612)*BH93</f>
        <v>0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7906193.25</v>
      </c>
      <c r="D637" s="217">
        <f>(D615/D612)*BL90</f>
        <v>257476.75365749878</v>
      </c>
      <c r="E637" s="219">
        <f>(E623/E612)*SUM(C637:D637)</f>
        <v>418637.3652709804</v>
      </c>
      <c r="F637" s="219">
        <f>(F624/F612)*BL64</f>
        <v>1781.7380701235095</v>
      </c>
      <c r="G637" s="217">
        <f>(G625/G612)*BL91</f>
        <v>0</v>
      </c>
      <c r="H637" s="219">
        <f>(H628/H612)*BL60</f>
        <v>951762.88498240989</v>
      </c>
      <c r="I637" s="217">
        <f>(I629/I612)*BL92</f>
        <v>55697.841771114123</v>
      </c>
      <c r="J637" s="217">
        <f>(J630/J612)*BL93</f>
        <v>0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6832442.0399999982</v>
      </c>
      <c r="D638" s="217">
        <f>(D615/D612)*BM90</f>
        <v>240414.42187819947</v>
      </c>
      <c r="E638" s="219">
        <f>(E623/E612)*SUM(C638:D638)</f>
        <v>362699.86327398615</v>
      </c>
      <c r="F638" s="219">
        <f>(F624/F612)*BM64</f>
        <v>1492.0964761952264</v>
      </c>
      <c r="G638" s="217">
        <f>(G625/G612)*BM91</f>
        <v>0</v>
      </c>
      <c r="H638" s="219">
        <f>(H628/H612)*BM60</f>
        <v>481974.31994561234</v>
      </c>
      <c r="I638" s="217">
        <f>(I629/I612)*BM92</f>
        <v>51984.652319706511</v>
      </c>
      <c r="J638" s="217">
        <f>(J630/J612)*BM93</f>
        <v>0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230125.1100000001</v>
      </c>
      <c r="D639" s="217">
        <f>(D615/D612)*BS90</f>
        <v>262564.61765192839</v>
      </c>
      <c r="E639" s="219">
        <f>(E623/E612)*SUM(C639:D639)</f>
        <v>25265.392818165372</v>
      </c>
      <c r="F639" s="219">
        <f>(F624/F612)*BS64</f>
        <v>11536.25442371266</v>
      </c>
      <c r="G639" s="217">
        <f>(G625/G612)*BS91</f>
        <v>0</v>
      </c>
      <c r="H639" s="219">
        <f>(H628/H612)*BS60</f>
        <v>50306.301700221637</v>
      </c>
      <c r="I639" s="217">
        <f>(I629/I612)*BS92</f>
        <v>56847.16231559743</v>
      </c>
      <c r="J639" s="217">
        <f>(J630/J612)*BS93</f>
        <v>0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185350.99999999994</v>
      </c>
      <c r="D640" s="217">
        <f>(D615/D612)*BT90</f>
        <v>48668.759623483304</v>
      </c>
      <c r="E640" s="219">
        <f>(E623/E612)*SUM(C640:D640)</f>
        <v>12000.658471769533</v>
      </c>
      <c r="F640" s="219">
        <f>(F624/F612)*BT64</f>
        <v>5.4400251101767418</v>
      </c>
      <c r="G640" s="217">
        <f>(G625/G612)*BT91</f>
        <v>0</v>
      </c>
      <c r="H640" s="219">
        <f>(H628/H612)*BT60</f>
        <v>15444.741860004975</v>
      </c>
      <c r="I640" s="217">
        <f>(I629/I612)*BT92</f>
        <v>10520.70344565489</v>
      </c>
      <c r="J640" s="217">
        <f>(J630/J612)*BT93</f>
        <v>0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279694.46000000002</v>
      </c>
      <c r="D641" s="217">
        <f>(D615/D612)*BU90</f>
        <v>0</v>
      </c>
      <c r="E641" s="219">
        <f>(E623/E612)*SUM(C641:D641)</f>
        <v>14342.881542594268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6358726.4900000002</v>
      </c>
      <c r="D642" s="217">
        <f>(D615/D612)*BV90</f>
        <v>818683.57001276559</v>
      </c>
      <c r="E642" s="219">
        <f>(E623/E612)*SUM(C642:D642)</f>
        <v>368061.42772147694</v>
      </c>
      <c r="F642" s="219">
        <f>(F624/F612)*BV64</f>
        <v>387.10542204211242</v>
      </c>
      <c r="G642" s="217">
        <f>(G625/G612)*BV91</f>
        <v>0</v>
      </c>
      <c r="H642" s="219">
        <f>(H628/H612)*BV60</f>
        <v>513846.46619189007</v>
      </c>
      <c r="I642" s="217">
        <f>(I629/I612)*BV92</f>
        <v>177172.18239573445</v>
      </c>
      <c r="J642" s="217">
        <f>(J630/J612)*BV93</f>
        <v>0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5042350.7999999989</v>
      </c>
      <c r="D643" s="217">
        <f>(D615/D612)*BW90</f>
        <v>177098.78105863091</v>
      </c>
      <c r="E643" s="219">
        <f>(E623/E612)*SUM(C643:D643)</f>
        <v>267656.16687104636</v>
      </c>
      <c r="F643" s="219">
        <f>(F624/F612)*BW64</f>
        <v>172.83720814813759</v>
      </c>
      <c r="G643" s="217">
        <f>(G625/G612)*BW91</f>
        <v>0</v>
      </c>
      <c r="H643" s="219">
        <f>(H628/H612)*BW60</f>
        <v>78452.493846161859</v>
      </c>
      <c r="I643" s="217">
        <f>(I629/I612)*BW92</f>
        <v>38369.624331211948</v>
      </c>
      <c r="J643" s="217">
        <f>(J630/J612)*BW93</f>
        <v>0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10655791.419999998</v>
      </c>
      <c r="D644" s="217">
        <f>(D615/D612)*BX90</f>
        <v>182392.21531546171</v>
      </c>
      <c r="E644" s="219">
        <f>(E623/E612)*SUM(C644:D644)</f>
        <v>555787.85514097544</v>
      </c>
      <c r="F644" s="219">
        <f>(F624/F612)*BX64</f>
        <v>1781.2295828023298</v>
      </c>
      <c r="G644" s="217">
        <f>(G625/G612)*BX91</f>
        <v>0</v>
      </c>
      <c r="H644" s="219">
        <f>(H628/H612)*BX60</f>
        <v>571442.81037488848</v>
      </c>
      <c r="I644" s="217">
        <f>(I629/I612)*BX92</f>
        <v>39430.535603042692</v>
      </c>
      <c r="J644" s="217">
        <f>(J630/J612)*BX93</f>
        <v>0</v>
      </c>
      <c r="K644" s="219">
        <f>SUM(C631:J644)</f>
        <v>115147815.71722002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2687808.92</v>
      </c>
      <c r="D645" s="217">
        <f>(D615/D612)*BY90</f>
        <v>67786.794026794581</v>
      </c>
      <c r="E645" s="219">
        <f>(E623/E612)*SUM(C645:D645)</f>
        <v>141308.42243198803</v>
      </c>
      <c r="F645" s="219">
        <f>(F624/F612)*BY64</f>
        <v>176.89646280893339</v>
      </c>
      <c r="G645" s="217">
        <f>(G625/G612)*BY91</f>
        <v>0</v>
      </c>
      <c r="H645" s="219">
        <f>(H628/H612)*BY60</f>
        <v>131606.8925982941</v>
      </c>
      <c r="I645" s="217">
        <f>(I629/I612)*BY92</f>
        <v>14675.939260325307</v>
      </c>
      <c r="J645" s="217">
        <f>(J630/J612)*BY93</f>
        <v>0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6014240.0500000017</v>
      </c>
      <c r="D646" s="217">
        <f>(D615/D612)*BZ90</f>
        <v>0</v>
      </c>
      <c r="E646" s="219">
        <f>(E623/E612)*SUM(C646:D646)</f>
        <v>308413.4473234695</v>
      </c>
      <c r="F646" s="219">
        <f>(F624/F612)*BZ64</f>
        <v>184.01641277178646</v>
      </c>
      <c r="G646" s="217">
        <f>(G625/G612)*BZ91</f>
        <v>0</v>
      </c>
      <c r="H646" s="219">
        <f>(H628/H612)*BZ60</f>
        <v>430937.18844390381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3403836.5400000005</v>
      </c>
      <c r="D647" s="217">
        <f>(D615/D612)*CA90</f>
        <v>286307.98295926658</v>
      </c>
      <c r="E647" s="219">
        <f>(E623/E612)*SUM(C647:D647)</f>
        <v>189232.5853284967</v>
      </c>
      <c r="F647" s="219">
        <f>(F624/F612)*CA64</f>
        <v>14096.797387450399</v>
      </c>
      <c r="G647" s="217">
        <f>(G625/G612)*CA91</f>
        <v>0</v>
      </c>
      <c r="H647" s="219">
        <f>(H628/H612)*CA60</f>
        <v>148385.41171850351</v>
      </c>
      <c r="I647" s="217">
        <f>(I629/I612)*CA92</f>
        <v>61974.900129446025</v>
      </c>
      <c r="J647" s="217">
        <f>(J630/J612)*CA93</f>
        <v>0</v>
      </c>
      <c r="K647" s="219">
        <v>0</v>
      </c>
      <c r="L647" s="219">
        <f>SUM(C645:K647)</f>
        <v>13900972.784483522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249207815.74000001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338</v>
      </c>
      <c r="C668" s="217">
        <f>C85</f>
        <v>27445890.200000007</v>
      </c>
      <c r="D668" s="217">
        <f>(D615/D612)*C90</f>
        <v>1643688.425594368</v>
      </c>
      <c r="E668" s="219">
        <f>(E623/E612)*SUM(C668:D668)</f>
        <v>1491729.1545598803</v>
      </c>
      <c r="F668" s="219">
        <f>(F624/F612)*C64</f>
        <v>52482.050142688422</v>
      </c>
      <c r="G668" s="217">
        <f>(G625/G612)*C91</f>
        <v>0</v>
      </c>
      <c r="H668" s="219">
        <f>(H628/H612)*C60</f>
        <v>1267770.9200492599</v>
      </c>
      <c r="I668" s="217">
        <f>(I629/I612)*C92</f>
        <v>355758.91315390985</v>
      </c>
      <c r="J668" s="217">
        <f>(J630/J612)*C93</f>
        <v>47069.612613825338</v>
      </c>
      <c r="K668" s="217">
        <f>(K644/K612)*C89</f>
        <v>3853210.9367105803</v>
      </c>
      <c r="L668" s="217">
        <f>(L647/L612)*C94</f>
        <v>1265283.267068797</v>
      </c>
      <c r="M668" s="202">
        <f t="shared" ref="M668:M713" si="0">ROUND(SUM(D668:L668),0)</f>
        <v>9976993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339</v>
      </c>
      <c r="C669" s="217">
        <f>D85</f>
        <v>14300906.07</v>
      </c>
      <c r="D669" s="217">
        <f>(D615/D612)*D90</f>
        <v>1252334.0385480898</v>
      </c>
      <c r="E669" s="219">
        <f>(E623/E612)*SUM(C669:D669)</f>
        <v>797578.47359733644</v>
      </c>
      <c r="F669" s="219">
        <f>(F624/F612)*D64</f>
        <v>27580.647321120639</v>
      </c>
      <c r="G669" s="217">
        <f>(G625/G612)*D91</f>
        <v>0</v>
      </c>
      <c r="H669" s="219">
        <f>(H628/H612)*D60</f>
        <v>747402.45437611733</v>
      </c>
      <c r="I669" s="217">
        <f>(I629/I612)*D92</f>
        <v>271062.82995275536</v>
      </c>
      <c r="J669" s="217">
        <f>(J630/J612)*D93</f>
        <v>54274.292927986957</v>
      </c>
      <c r="K669" s="217">
        <f>(K644/K612)*D89</f>
        <v>2839208.9249472544</v>
      </c>
      <c r="L669" s="217">
        <f>(L647/L612)*D94</f>
        <v>661187.27728941094</v>
      </c>
      <c r="M669" s="202">
        <f t="shared" si="0"/>
        <v>6650629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56017803.95000001</v>
      </c>
      <c r="D670" s="217">
        <f>(D615/D612)*E90</f>
        <v>5780738.5638528494</v>
      </c>
      <c r="E670" s="219">
        <f>(E623/E612)*SUM(C670:D670)</f>
        <v>3169062.3217248111</v>
      </c>
      <c r="F670" s="219">
        <f>(F624/F612)*E64</f>
        <v>120780.49693868533</v>
      </c>
      <c r="G670" s="217">
        <f>(G625/G612)*E91</f>
        <v>0</v>
      </c>
      <c r="H670" s="219">
        <f>(H628/H612)*E60</f>
        <v>3563508.1373731401</v>
      </c>
      <c r="I670" s="217">
        <f>(I629/I612)*E92</f>
        <v>1251079.6173064061</v>
      </c>
      <c r="J670" s="217">
        <f>(J630/J612)*E93</f>
        <v>182952.54181566165</v>
      </c>
      <c r="K670" s="217">
        <f>(K644/K612)*E89</f>
        <v>8923817.7131136488</v>
      </c>
      <c r="L670" s="217">
        <f>(L647/L612)*E94</f>
        <v>3081575.1228921786</v>
      </c>
      <c r="M670" s="202">
        <f t="shared" si="0"/>
        <v>26073515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2">
        <f t="shared" si="0"/>
        <v>0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3350512.5100000007</v>
      </c>
      <c r="D672" s="217">
        <f>(D615/D612)*G90</f>
        <v>467415.38413472084</v>
      </c>
      <c r="E672" s="219">
        <f>(E623/E612)*SUM(C672:D672)</f>
        <v>195785.38496522492</v>
      </c>
      <c r="F672" s="219">
        <f>(F624/F612)*G64</f>
        <v>3452.861544695862</v>
      </c>
      <c r="G672" s="217">
        <f>(G625/G612)*G91</f>
        <v>0</v>
      </c>
      <c r="H672" s="219">
        <f>(H628/H612)*G60</f>
        <v>188486.68374208393</v>
      </c>
      <c r="I672" s="217">
        <f>(I629/I612)*G92</f>
        <v>101140.20791453104</v>
      </c>
      <c r="J672" s="217">
        <f>(J630/J612)*G93</f>
        <v>10614.437151819171</v>
      </c>
      <c r="K672" s="217">
        <f>(K644/K612)*G89</f>
        <v>803919.58178615256</v>
      </c>
      <c r="L672" s="217">
        <f>(L647/L612)*G94</f>
        <v>162005.1026026308</v>
      </c>
      <c r="M672" s="202">
        <f t="shared" si="0"/>
        <v>1932820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0</v>
      </c>
      <c r="D673" s="217">
        <f>(D615/D612)*H90</f>
        <v>0</v>
      </c>
      <c r="E673" s="219">
        <f>(E623/E612)*SUM(C673:D673)</f>
        <v>0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2">
        <f t="shared" si="0"/>
        <v>0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3656.52</v>
      </c>
      <c r="D674" s="217">
        <f>(D615/D612)*I90</f>
        <v>0</v>
      </c>
      <c r="E674" s="219">
        <f>(E623/E612)*SUM(C674:D674)</f>
        <v>187.50830180235531</v>
      </c>
      <c r="F674" s="219">
        <f>(F624/F612)*I64</f>
        <v>137.40770575182799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2">
        <f t="shared" si="0"/>
        <v>325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2">
        <f t="shared" si="0"/>
        <v>0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344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2">
        <f t="shared" si="0"/>
        <v>0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345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2">
        <f t="shared" si="0"/>
        <v>0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7804370.6099999994</v>
      </c>
      <c r="D678" s="217">
        <f>(D615/D612)*M90</f>
        <v>1054575.4461181387</v>
      </c>
      <c r="E678" s="219">
        <f>(E623/E612)*SUM(C678:D678)</f>
        <v>454291.49320703431</v>
      </c>
      <c r="F678" s="219">
        <f>(F624/F612)*M64</f>
        <v>6946.9334875562363</v>
      </c>
      <c r="G678" s="217">
        <f>(G625/G612)*M91</f>
        <v>0</v>
      </c>
      <c r="H678" s="219">
        <f>(H628/H612)*M60</f>
        <v>484618.8912192054</v>
      </c>
      <c r="I678" s="217">
        <f>(I629/I612)*M92</f>
        <v>228184.33271626275</v>
      </c>
      <c r="J678" s="217">
        <f>(J630/J612)*M93</f>
        <v>10706.42773873339</v>
      </c>
      <c r="K678" s="217">
        <f>(K644/K612)*M89</f>
        <v>391812.80170327995</v>
      </c>
      <c r="L678" s="217">
        <f>(L647/L612)*M94</f>
        <v>245815.02649511845</v>
      </c>
      <c r="M678" s="202">
        <f t="shared" si="0"/>
        <v>2876951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25027470.550000004</v>
      </c>
      <c r="D679" s="217">
        <f>(D615/D612)*N90</f>
        <v>259789.41910951224</v>
      </c>
      <c r="E679" s="219">
        <f>(E623/E612)*SUM(C679:D679)</f>
        <v>1296744.2196521296</v>
      </c>
      <c r="F679" s="219">
        <f>(F624/F612)*N64</f>
        <v>789.7522159931118</v>
      </c>
      <c r="G679" s="217">
        <f>(G625/G612)*N91</f>
        <v>0</v>
      </c>
      <c r="H679" s="219">
        <f>(H628/H612)*N60</f>
        <v>571203.70971351676</v>
      </c>
      <c r="I679" s="217">
        <f>(I629/I612)*N92</f>
        <v>56228.297407029495</v>
      </c>
      <c r="J679" s="217">
        <f>(J630/J612)*N93</f>
        <v>0</v>
      </c>
      <c r="K679" s="217">
        <f>(K644/K612)*N89</f>
        <v>1076395.9078512427</v>
      </c>
      <c r="L679" s="217">
        <f>(L647/L612)*N94</f>
        <v>26196.107965301417</v>
      </c>
      <c r="M679" s="202">
        <f t="shared" si="0"/>
        <v>3287347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41949991.920000002</v>
      </c>
      <c r="D680" s="217">
        <f>(D615/D612)*O90</f>
        <v>2795601.3909594733</v>
      </c>
      <c r="E680" s="219">
        <f>(E623/E612)*SUM(C680:D680)</f>
        <v>2294577.963439784</v>
      </c>
      <c r="F680" s="219">
        <f>(F624/F612)*O64</f>
        <v>96823.174677932315</v>
      </c>
      <c r="G680" s="217">
        <f>(G625/G612)*O91</f>
        <v>0</v>
      </c>
      <c r="H680" s="219">
        <f>(H628/H612)*O60</f>
        <v>1801499.1117720162</v>
      </c>
      <c r="I680" s="217">
        <f>(I629/I612)*O92</f>
        <v>604984.6527614824</v>
      </c>
      <c r="J680" s="217">
        <f>(J630/J612)*O93</f>
        <v>115407.67287313238</v>
      </c>
      <c r="K680" s="217">
        <f>(K644/K612)*O89</f>
        <v>5113196.9740746133</v>
      </c>
      <c r="L680" s="217">
        <f>(L647/L612)*O94</f>
        <v>1682003.8010350948</v>
      </c>
      <c r="M680" s="202">
        <f t="shared" si="0"/>
        <v>14504095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66109352.240000024</v>
      </c>
      <c r="D681" s="217">
        <f>(D615/D612)*P90</f>
        <v>3717532.6252632397</v>
      </c>
      <c r="E681" s="219">
        <f>(E623/E612)*SUM(C681:D681)</f>
        <v>3580760.0125895934</v>
      </c>
      <c r="F681" s="219">
        <f>(F624/F612)*P64</f>
        <v>1567415.9257560768</v>
      </c>
      <c r="G681" s="217">
        <f>(G625/G612)*P91</f>
        <v>0</v>
      </c>
      <c r="H681" s="219">
        <f>(H628/H612)*P60</f>
        <v>1064529.2258969189</v>
      </c>
      <c r="I681" s="217">
        <f>(I629/I612)*P92</f>
        <v>804524.38113831508</v>
      </c>
      <c r="J681" s="217">
        <f>(J630/J612)*P93</f>
        <v>51566.136112521279</v>
      </c>
      <c r="K681" s="217">
        <f>(K644/K612)*P89</f>
        <v>15117066.353703534</v>
      </c>
      <c r="L681" s="217">
        <f>(L647/L612)*P94</f>
        <v>658734.67826445564</v>
      </c>
      <c r="M681" s="202">
        <f t="shared" si="0"/>
        <v>26562129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12341974.159999998</v>
      </c>
      <c r="D682" s="217">
        <f>(D615/D612)*Q90</f>
        <v>263078.5433079314</v>
      </c>
      <c r="E682" s="219">
        <f>(E623/E612)*SUM(C682:D682)</f>
        <v>646393.84620526014</v>
      </c>
      <c r="F682" s="219">
        <f>(F624/F612)*Q64</f>
        <v>18960.358351452884</v>
      </c>
      <c r="G682" s="217">
        <f>(G625/G612)*Q91</f>
        <v>0</v>
      </c>
      <c r="H682" s="219">
        <f>(H628/H612)*Q60</f>
        <v>614243.18622306036</v>
      </c>
      <c r="I682" s="217">
        <f>(I629/I612)*Q92</f>
        <v>56935.571588249986</v>
      </c>
      <c r="J682" s="217">
        <f>(J630/J612)*Q93</f>
        <v>0</v>
      </c>
      <c r="K682" s="217">
        <f>(K644/K612)*Q89</f>
        <v>1443682.3546365637</v>
      </c>
      <c r="L682" s="217">
        <f>(L647/L612)*Q94</f>
        <v>658627.83718871931</v>
      </c>
      <c r="M682" s="202">
        <f t="shared" si="0"/>
        <v>3701922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1783629.71</v>
      </c>
      <c r="D683" s="217">
        <f>(D615/D612)*R90</f>
        <v>33456.560205794754</v>
      </c>
      <c r="E683" s="219">
        <f>(E623/E612)*SUM(C683:D683)</f>
        <v>93181.156059494911</v>
      </c>
      <c r="F683" s="219">
        <f>(F624/F612)*R64</f>
        <v>25106.219860921465</v>
      </c>
      <c r="G683" s="217">
        <f>(G625/G612)*R91</f>
        <v>0</v>
      </c>
      <c r="H683" s="219">
        <f>(H628/H612)*R60</f>
        <v>85965.721911049113</v>
      </c>
      <c r="I683" s="217">
        <f>(I629/I612)*R92</f>
        <v>7249.5603575100922</v>
      </c>
      <c r="J683" s="217">
        <f>(J630/J612)*R93</f>
        <v>0</v>
      </c>
      <c r="K683" s="217">
        <f>(K644/K612)*R89</f>
        <v>2431536.677365277</v>
      </c>
      <c r="L683" s="217">
        <f>(L647/L612)*R94</f>
        <v>12.488728899637399</v>
      </c>
      <c r="M683" s="202">
        <f t="shared" si="0"/>
        <v>2676508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3683808.0400000005</v>
      </c>
      <c r="D684" s="217">
        <f>(D615/D612)*S90</f>
        <v>527801.64871507231</v>
      </c>
      <c r="E684" s="219">
        <f>(E623/E612)*SUM(C684:D684)</f>
        <v>215973.59800720616</v>
      </c>
      <c r="F684" s="219">
        <f>(F624/F612)*S64</f>
        <v>30918.207768495122</v>
      </c>
      <c r="G684" s="217">
        <f>(G625/G612)*S91</f>
        <v>0</v>
      </c>
      <c r="H684" s="219">
        <f>(H628/H612)*S60</f>
        <v>253680.23143760095</v>
      </c>
      <c r="I684" s="217">
        <f>(I629/I612)*S92</f>
        <v>114224.78026711023</v>
      </c>
      <c r="J684" s="217">
        <f>(J630/J612)*S93</f>
        <v>4411.8793119382062</v>
      </c>
      <c r="K684" s="217">
        <f>(K644/K612)*S89</f>
        <v>0</v>
      </c>
      <c r="L684" s="217">
        <f>(L647/L612)*S94</f>
        <v>0</v>
      </c>
      <c r="M684" s="202">
        <f t="shared" si="0"/>
        <v>1147010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2">
        <f t="shared" si="0"/>
        <v>0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25458488.330000006</v>
      </c>
      <c r="D686" s="217">
        <f>(D615/D612)*U90</f>
        <v>810460.75951671775</v>
      </c>
      <c r="E686" s="219">
        <f>(E623/E612)*SUM(C686:D686)</f>
        <v>1347085.7629406671</v>
      </c>
      <c r="F686" s="219">
        <f>(F624/F612)*U64</f>
        <v>282164.75276229827</v>
      </c>
      <c r="G686" s="217">
        <f>(G625/G612)*U91</f>
        <v>0</v>
      </c>
      <c r="H686" s="219">
        <f>(H628/H612)*U60</f>
        <v>857604.54835824564</v>
      </c>
      <c r="I686" s="217">
        <f>(I629/I612)*U92</f>
        <v>175403.99694268318</v>
      </c>
      <c r="J686" s="217">
        <f>(J630/J612)*U93</f>
        <v>487.70953823441317</v>
      </c>
      <c r="K686" s="217">
        <f>(K644/K612)*U89</f>
        <v>8143926.1478334283</v>
      </c>
      <c r="L686" s="217">
        <f>(L647/L612)*U94</f>
        <v>409.00587146312483</v>
      </c>
      <c r="M686" s="202">
        <f t="shared" si="0"/>
        <v>11617543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327169.70999999996</v>
      </c>
      <c r="D687" s="217">
        <f>(D615/D612)*V90</f>
        <v>15314.98454888915</v>
      </c>
      <c r="E687" s="219">
        <f>(E623/E612)*SUM(C687:D687)</f>
        <v>17562.798362421257</v>
      </c>
      <c r="F687" s="219">
        <f>(F624/F612)*V64</f>
        <v>2864.6330388653805</v>
      </c>
      <c r="G687" s="217">
        <f>(G625/G612)*V91</f>
        <v>0</v>
      </c>
      <c r="H687" s="219">
        <f>(H628/H612)*V60</f>
        <v>25284.707703827553</v>
      </c>
      <c r="I687" s="217">
        <f>(I629/I612)*V92</f>
        <v>3359.5523607973596</v>
      </c>
      <c r="J687" s="217">
        <f>(J630/J612)*V93</f>
        <v>0</v>
      </c>
      <c r="K687" s="217">
        <f>(K644/K612)*V89</f>
        <v>129054.6747200946</v>
      </c>
      <c r="L687" s="217">
        <f>(L647/L612)*V94</f>
        <v>0</v>
      </c>
      <c r="M687" s="202">
        <f t="shared" si="0"/>
        <v>193441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1496353.7</v>
      </c>
      <c r="D688" s="217">
        <f>(D615/D612)*W90</f>
        <v>159522.5236233286</v>
      </c>
      <c r="E688" s="219">
        <f>(E623/E612)*SUM(C688:D688)</f>
        <v>84914.218624951449</v>
      </c>
      <c r="F688" s="219">
        <f>(F624/F612)*W64</f>
        <v>6700.8910171534544</v>
      </c>
      <c r="G688" s="217">
        <f>(G625/G612)*W91</f>
        <v>0</v>
      </c>
      <c r="H688" s="219">
        <f>(H628/H612)*W60</f>
        <v>56426.39862107137</v>
      </c>
      <c r="I688" s="217">
        <f>(I629/I612)*W92</f>
        <v>34568.02560715178</v>
      </c>
      <c r="J688" s="217">
        <f>(J630/J612)*W93</f>
        <v>5840.0148728830545</v>
      </c>
      <c r="K688" s="217">
        <f>(K644/K612)*W89</f>
        <v>897332.46405339986</v>
      </c>
      <c r="L688" s="217">
        <f>(L647/L612)*W94</f>
        <v>0</v>
      </c>
      <c r="M688" s="202">
        <f t="shared" si="0"/>
        <v>1245305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3387658.64</v>
      </c>
      <c r="D689" s="217">
        <f>(D615/D612)*X90</f>
        <v>162708.86269054713</v>
      </c>
      <c r="E689" s="219">
        <f>(E623/E612)*SUM(C689:D689)</f>
        <v>182064.7449497811</v>
      </c>
      <c r="F689" s="219">
        <f>(F624/F612)*X64</f>
        <v>19226.312253314201</v>
      </c>
      <c r="G689" s="217">
        <f>(G625/G612)*X91</f>
        <v>0</v>
      </c>
      <c r="H689" s="219">
        <f>(H628/H612)*X60</f>
        <v>126207.74876797812</v>
      </c>
      <c r="I689" s="217">
        <f>(I629/I612)*X92</f>
        <v>35186.890515719715</v>
      </c>
      <c r="J689" s="217">
        <f>(J630/J612)*X93</f>
        <v>0</v>
      </c>
      <c r="K689" s="217">
        <f>(K644/K612)*X89</f>
        <v>4629284.6634974619</v>
      </c>
      <c r="L689" s="217">
        <f>(L647/L612)*X94</f>
        <v>74.932373397824406</v>
      </c>
      <c r="M689" s="202">
        <f t="shared" si="0"/>
        <v>5154754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40871969.850000001</v>
      </c>
      <c r="D690" s="217">
        <f>(D615/D612)*Y90</f>
        <v>2601902.811211946</v>
      </c>
      <c r="E690" s="219">
        <f>(E623/E612)*SUM(C690:D690)</f>
        <v>2229363.4481626498</v>
      </c>
      <c r="F690" s="219">
        <f>(F624/F612)*Y64</f>
        <v>290050.54551402986</v>
      </c>
      <c r="G690" s="217">
        <f>(G625/G612)*Y91</f>
        <v>0</v>
      </c>
      <c r="H690" s="219">
        <f>(H628/H612)*Y60</f>
        <v>1517681.2904913852</v>
      </c>
      <c r="I690" s="217">
        <f>(I629/I612)*Y92</f>
        <v>563078.65752416803</v>
      </c>
      <c r="J690" s="217">
        <f>(J630/J612)*Y93</f>
        <v>85763.993412225638</v>
      </c>
      <c r="K690" s="217">
        <f>(K644/K612)*Y89</f>
        <v>9985308.935319202</v>
      </c>
      <c r="L690" s="217">
        <f>(L647/L612)*Y94</f>
        <v>440244.55349623284</v>
      </c>
      <c r="M690" s="202">
        <f t="shared" si="0"/>
        <v>17713394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8128164.5899999989</v>
      </c>
      <c r="D691" s="217">
        <f>(D615/D612)*Z90</f>
        <v>847617.58444573404</v>
      </c>
      <c r="E691" s="219">
        <f>(E623/E612)*SUM(C691:D691)</f>
        <v>460282.91186105134</v>
      </c>
      <c r="F691" s="219">
        <f>(F624/F612)*Z64</f>
        <v>19609.474549728955</v>
      </c>
      <c r="G691" s="217">
        <f>(G625/G612)*Z91</f>
        <v>0</v>
      </c>
      <c r="H691" s="219">
        <f>(H628/H612)*Z60</f>
        <v>215355.1290686306</v>
      </c>
      <c r="I691" s="217">
        <f>(I629/I612)*Z92</f>
        <v>183449.24075406636</v>
      </c>
      <c r="J691" s="217">
        <f>(J630/J612)*Z93</f>
        <v>13316.630623164125</v>
      </c>
      <c r="K691" s="217">
        <f>(K644/K612)*Z89</f>
        <v>2195549.4430007669</v>
      </c>
      <c r="L691" s="217">
        <f>(L647/L612)*Z94</f>
        <v>58254.612607026123</v>
      </c>
      <c r="M691" s="202">
        <f t="shared" si="0"/>
        <v>3993435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1209326.0900000001</v>
      </c>
      <c r="D692" s="217">
        <f>(D615/D612)*AA90</f>
        <v>58536.132218740742</v>
      </c>
      <c r="E692" s="219">
        <f>(E623/E612)*SUM(C692:D692)</f>
        <v>65016.653049237117</v>
      </c>
      <c r="F692" s="219">
        <f>(F624/F612)*AA64</f>
        <v>19262.79894331914</v>
      </c>
      <c r="G692" s="217">
        <f>(G625/G612)*AA91</f>
        <v>0</v>
      </c>
      <c r="H692" s="219">
        <f>(H628/H612)*AA60</f>
        <v>32683.90890671375</v>
      </c>
      <c r="I692" s="217">
        <f>(I629/I612)*AA92</f>
        <v>12642.52598931638</v>
      </c>
      <c r="J692" s="217">
        <f>(J630/J612)*AA93</f>
        <v>0</v>
      </c>
      <c r="K692" s="217">
        <f>(K644/K612)*AA89</f>
        <v>345933.86622320802</v>
      </c>
      <c r="L692" s="217">
        <f>(L647/L612)*AA94</f>
        <v>0</v>
      </c>
      <c r="M692" s="202">
        <f t="shared" si="0"/>
        <v>534076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32151299.180000007</v>
      </c>
      <c r="D693" s="217">
        <f>(D615/D612)*AB90</f>
        <v>395465.79229430202</v>
      </c>
      <c r="E693" s="219">
        <f>(E623/E612)*SUM(C693:D693)</f>
        <v>1669015.5199794578</v>
      </c>
      <c r="F693" s="219">
        <f>(F624/F612)*AB64</f>
        <v>760896.69324404537</v>
      </c>
      <c r="G693" s="217">
        <f>(G625/G612)*AB91</f>
        <v>0</v>
      </c>
      <c r="H693" s="219">
        <f>(H628/H612)*AB60</f>
        <v>657076.42202900094</v>
      </c>
      <c r="I693" s="217">
        <f>(I629/I612)*AB92</f>
        <v>85580.175927680102</v>
      </c>
      <c r="J693" s="217">
        <f>(J630/J612)*AB93</f>
        <v>568.55755445046918</v>
      </c>
      <c r="K693" s="217">
        <f>(K644/K612)*AB89</f>
        <v>8573285.8427315857</v>
      </c>
      <c r="L693" s="217">
        <f>(L647/L612)*AB94</f>
        <v>0</v>
      </c>
      <c r="M693" s="202">
        <f t="shared" si="0"/>
        <v>12141889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4532260.6600000011</v>
      </c>
      <c r="D694" s="217">
        <f>(D615/D612)*AC90</f>
        <v>135419.41035678828</v>
      </c>
      <c r="E694" s="219">
        <f>(E623/E612)*SUM(C694:D694)</f>
        <v>239361.13117097673</v>
      </c>
      <c r="F694" s="219">
        <f>(F624/F612)*AC64</f>
        <v>12068.718444165039</v>
      </c>
      <c r="G694" s="217">
        <f>(G625/G612)*AC91</f>
        <v>0</v>
      </c>
      <c r="H694" s="219">
        <f>(H628/H612)*AC60</f>
        <v>251278.45874085461</v>
      </c>
      <c r="I694" s="217">
        <f>(I629/I612)*AC92</f>
        <v>29351.878520650615</v>
      </c>
      <c r="J694" s="217">
        <f>(J630/J612)*AC93</f>
        <v>0</v>
      </c>
      <c r="K694" s="217">
        <f>(K644/K612)*AC89</f>
        <v>764142.90033644729</v>
      </c>
      <c r="L694" s="217">
        <f>(L647/L612)*AC94</f>
        <v>0</v>
      </c>
      <c r="M694" s="202">
        <f t="shared" si="0"/>
        <v>1431622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0</v>
      </c>
      <c r="L695" s="217">
        <f>(L647/L612)*AD94</f>
        <v>0</v>
      </c>
      <c r="M695" s="202">
        <f t="shared" si="0"/>
        <v>0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11391980.450000003</v>
      </c>
      <c r="D696" s="217">
        <f>(D615/D612)*AE90</f>
        <v>946496.88066070958</v>
      </c>
      <c r="E696" s="219">
        <f>(E623/E612)*SUM(C696:D696)</f>
        <v>632723.7184806997</v>
      </c>
      <c r="F696" s="219">
        <f>(F624/F612)*AE64</f>
        <v>4691.8470881551639</v>
      </c>
      <c r="G696" s="217">
        <f>(G625/G612)*AE91</f>
        <v>0</v>
      </c>
      <c r="H696" s="219">
        <f>(H628/H612)*AE60</f>
        <v>681237.47832792893</v>
      </c>
      <c r="I696" s="217">
        <f>(I629/I612)*AE92</f>
        <v>204844.28473598638</v>
      </c>
      <c r="J696" s="217">
        <f>(J630/J612)*AE93</f>
        <v>0</v>
      </c>
      <c r="K696" s="217">
        <f>(K644/K612)*AE89</f>
        <v>2103479.2019066722</v>
      </c>
      <c r="L696" s="217">
        <f>(L647/L612)*AE94</f>
        <v>0</v>
      </c>
      <c r="M696" s="202">
        <f t="shared" si="0"/>
        <v>4573473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2">
        <f t="shared" si="0"/>
        <v>0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21410983.219999999</v>
      </c>
      <c r="D698" s="217">
        <f>(D615/D612)*AG90</f>
        <v>2829674.6619524718</v>
      </c>
      <c r="E698" s="219">
        <f>(E623/E612)*SUM(C698:D698)</f>
        <v>1243073.9047008594</v>
      </c>
      <c r="F698" s="219">
        <f>(F624/F612)*AG64</f>
        <v>69576.749721629007</v>
      </c>
      <c r="G698" s="217">
        <f>(G625/G612)*AG91</f>
        <v>0</v>
      </c>
      <c r="H698" s="219">
        <f>(H628/H612)*AG60</f>
        <v>1125518.8522146381</v>
      </c>
      <c r="I698" s="217">
        <f>(I629/I612)*AG92</f>
        <v>612411.03166429768</v>
      </c>
      <c r="J698" s="217">
        <f>(J630/J612)*AG93</f>
        <v>108944.31059413945</v>
      </c>
      <c r="K698" s="217">
        <f>(K644/K612)*AG89</f>
        <v>9085309.1486188713</v>
      </c>
      <c r="L698" s="217">
        <f>(L647/L612)*AG94</f>
        <v>926950.6753432086</v>
      </c>
      <c r="M698" s="202">
        <f t="shared" si="0"/>
        <v>16001459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2">
        <f t="shared" si="0"/>
        <v>0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2">
        <f t="shared" si="0"/>
        <v>0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119549609.03999999</v>
      </c>
      <c r="D701" s="217">
        <f>(D615/D612)*AJ90</f>
        <v>7825443.1788263517</v>
      </c>
      <c r="E701" s="219">
        <f>(E623/E612)*SUM(C701:D701)</f>
        <v>6531860.8221856998</v>
      </c>
      <c r="F701" s="219">
        <f>(F624/F612)*AJ64</f>
        <v>263100.51868163282</v>
      </c>
      <c r="G701" s="217">
        <f>(G625/G612)*AJ91</f>
        <v>0</v>
      </c>
      <c r="H701" s="219">
        <f>(H628/H612)*AJ60</f>
        <v>4938277.960848866</v>
      </c>
      <c r="I701" s="217">
        <f>(I629/I612)*AJ92</f>
        <v>1693568.0269324796</v>
      </c>
      <c r="J701" s="217">
        <f>(J630/J612)*AJ93</f>
        <v>19588.940203325685</v>
      </c>
      <c r="K701" s="217">
        <f>(K644/K612)*AJ89</f>
        <v>10840997.524236564</v>
      </c>
      <c r="L701" s="217">
        <f>(L647/L612)*AJ94</f>
        <v>738496.19335319183</v>
      </c>
      <c r="M701" s="202">
        <f t="shared" si="0"/>
        <v>32851333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1648.58</v>
      </c>
      <c r="D702" s="217">
        <f>(D615/D612)*AK90</f>
        <v>0</v>
      </c>
      <c r="E702" s="219">
        <f>(E623/E612)*SUM(C702:D702)</f>
        <v>84.540064374139035</v>
      </c>
      <c r="F702" s="219">
        <f>(F624/F612)*AK64</f>
        <v>0</v>
      </c>
      <c r="G702" s="217">
        <f>(G625/G612)*AK91</f>
        <v>0</v>
      </c>
      <c r="H702" s="219">
        <f>(H628/H612)*AK60</f>
        <v>0</v>
      </c>
      <c r="I702" s="217">
        <f>(I629/I612)*AK92</f>
        <v>0</v>
      </c>
      <c r="J702" s="217">
        <f>(J630/J612)*AK93</f>
        <v>0</v>
      </c>
      <c r="K702" s="217">
        <f>(K644/K612)*AK89</f>
        <v>0</v>
      </c>
      <c r="L702" s="217">
        <f>(L647/L612)*AK94</f>
        <v>0</v>
      </c>
      <c r="M702" s="202">
        <f t="shared" si="0"/>
        <v>85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>
        <f>(H628/H612)*AL60</f>
        <v>0</v>
      </c>
      <c r="I703" s="217">
        <f>(I629/I612)*AL92</f>
        <v>0</v>
      </c>
      <c r="J703" s="217">
        <f>(J630/J612)*AL93</f>
        <v>0</v>
      </c>
      <c r="K703" s="217">
        <f>(K644/K612)*AL89</f>
        <v>0</v>
      </c>
      <c r="L703" s="217">
        <f>(L647/L612)*AL94</f>
        <v>0</v>
      </c>
      <c r="M703" s="202">
        <f t="shared" si="0"/>
        <v>0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2">
        <f t="shared" si="0"/>
        <v>0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2">
        <f t="shared" si="0"/>
        <v>0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2">
        <f t="shared" si="0"/>
        <v>0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100461129.36000001</v>
      </c>
      <c r="D707" s="217">
        <f>(D615/D612)*AP90</f>
        <v>2362310.6703833509</v>
      </c>
      <c r="E707" s="219">
        <f>(E623/E612)*SUM(C707:D707)</f>
        <v>5272841.0142905014</v>
      </c>
      <c r="F707" s="219">
        <f>(F624/F612)*AP64</f>
        <v>376701.89096221823</v>
      </c>
      <c r="G707" s="217">
        <f>(G625/G612)*AP91</f>
        <v>0</v>
      </c>
      <c r="H707" s="219">
        <f>(H628/H612)*AP60</f>
        <v>4062679.6366416449</v>
      </c>
      <c r="I707" s="217">
        <f>(I629/I612)*AP92</f>
        <v>511270.82374976657</v>
      </c>
      <c r="J707" s="217">
        <f>(J630/J612)*AP93</f>
        <v>0</v>
      </c>
      <c r="K707" s="217">
        <f>(K644/K612)*AP89</f>
        <v>7460875.8266226482</v>
      </c>
      <c r="L707" s="217">
        <f>(L647/L612)*AP94</f>
        <v>232334.69252084932</v>
      </c>
      <c r="M707" s="202">
        <f t="shared" si="0"/>
        <v>20279015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2">
        <f t="shared" si="0"/>
        <v>0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82893899.440000027</v>
      </c>
      <c r="D709" s="217">
        <f>(D615/D612)*AR90</f>
        <v>0</v>
      </c>
      <c r="E709" s="219">
        <f>(E623/E612)*SUM(C709:D709)</f>
        <v>4250843.5107067963</v>
      </c>
      <c r="F709" s="219">
        <f>(F624/F612)*AR64</f>
        <v>137400.2242609908</v>
      </c>
      <c r="G709" s="217">
        <f>(G625/G612)*AR91</f>
        <v>0</v>
      </c>
      <c r="H709" s="219">
        <f>(H628/H612)*AR60</f>
        <v>4809962.9619685914</v>
      </c>
      <c r="I709" s="217">
        <f>(I629/I612)*AR92</f>
        <v>0</v>
      </c>
      <c r="J709" s="217">
        <f>(J630/J612)*AR93</f>
        <v>0</v>
      </c>
      <c r="K709" s="217">
        <f>(K644/K612)*AR89</f>
        <v>7329842.6189559586</v>
      </c>
      <c r="L709" s="217">
        <f>(L647/L612)*AR94</f>
        <v>2232129.5615437631</v>
      </c>
      <c r="M709" s="202">
        <f t="shared" si="0"/>
        <v>18760179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2">
        <f t="shared" si="0"/>
        <v>0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2">
        <f t="shared" si="0"/>
        <v>0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2">
        <f t="shared" si="0"/>
        <v>0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4864121.5900000017</v>
      </c>
      <c r="D713" s="217">
        <f>(D615/D612)*AV90</f>
        <v>675041.34915992944</v>
      </c>
      <c r="E713" s="219">
        <f>(E623/E612)*SUM(C713:D713)</f>
        <v>284051.23891799356</v>
      </c>
      <c r="F713" s="219">
        <f>(F624/F612)*AV64</f>
        <v>482502.06316340197</v>
      </c>
      <c r="G713" s="217">
        <f>(G625/G612)*AV91</f>
        <v>0</v>
      </c>
      <c r="H713" s="219">
        <f>(H628/H612)*AV60</f>
        <v>227688.23888778163</v>
      </c>
      <c r="I713" s="217">
        <f>(I629/I612)*AV92</f>
        <v>146052.11842203257</v>
      </c>
      <c r="J713" s="217">
        <f>(J630/J612)*AV93</f>
        <v>10950.823577889692</v>
      </c>
      <c r="K713" s="217">
        <f>(K644/K612)*AV89</f>
        <v>669644.23327155085</v>
      </c>
      <c r="L713" s="217">
        <f>(L647/L612)*AV94</f>
        <v>830637.84784378309</v>
      </c>
      <c r="M713" s="202">
        <f t="shared" si="0"/>
        <v>3326568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967163244.64999998</v>
      </c>
      <c r="D715" s="202">
        <f>SUM(D616:D647)+SUM(D668:D713)</f>
        <v>47827771.68</v>
      </c>
      <c r="E715" s="202">
        <f>SUM(E624:E647)+SUM(E668:E713)</f>
        <v>47177367.941059917</v>
      </c>
      <c r="F715" s="202">
        <f>SUM(F625:F648)+SUM(F668:F713)</f>
        <v>4839570.7013092041</v>
      </c>
      <c r="G715" s="202">
        <f>SUM(G626:G647)+SUM(G668:G713)</f>
        <v>0</v>
      </c>
      <c r="H715" s="202">
        <f>SUM(H629:H647)+SUM(H668:H713)</f>
        <v>36830403.108259007</v>
      </c>
      <c r="I715" s="202">
        <f>SUM(I630:I647)+SUM(I668:I713)</f>
        <v>9380135.4191641845</v>
      </c>
      <c r="J715" s="202">
        <f>SUM(J631:J647)+SUM(J668:J713)</f>
        <v>724245.21242485964</v>
      </c>
      <c r="K715" s="202">
        <f>SUM(K668:K713)</f>
        <v>115147815.71721998</v>
      </c>
      <c r="L715" s="202">
        <f>SUM(L668:L713)</f>
        <v>13900972.78448352</v>
      </c>
      <c r="M715" s="202">
        <f>SUM(M668:M713)</f>
        <v>249207815</v>
      </c>
      <c r="N715" s="211" t="s">
        <v>693</v>
      </c>
    </row>
    <row r="716" spans="1:14" s="202" customFormat="1" ht="12.6" customHeight="1" x14ac:dyDescent="0.2">
      <c r="C716" s="214">
        <f>CE85</f>
        <v>967163244.64999938</v>
      </c>
      <c r="D716" s="202">
        <f>D615</f>
        <v>47827771.680000007</v>
      </c>
      <c r="E716" s="202">
        <f>E623</f>
        <v>47177367.941059917</v>
      </c>
      <c r="F716" s="202">
        <f>F624</f>
        <v>4839570.701309205</v>
      </c>
      <c r="G716" s="202">
        <f>G625</f>
        <v>0</v>
      </c>
      <c r="H716" s="202">
        <f>H628</f>
        <v>36830403.108258992</v>
      </c>
      <c r="I716" s="202">
        <f>I629</f>
        <v>9380135.4191641863</v>
      </c>
      <c r="J716" s="202">
        <f>J630</f>
        <v>724245.21242485929</v>
      </c>
      <c r="K716" s="202">
        <f>K644</f>
        <v>115147815.71722002</v>
      </c>
      <c r="L716" s="202">
        <f>L647</f>
        <v>13900972.784483522</v>
      </c>
      <c r="M716" s="202">
        <f>C648</f>
        <v>249207815.74000001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  <legacyDrawing r:id="rId1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164</v>
      </c>
      <c r="C2" s="11" t="str">
        <f>SUBSTITUTE(LEFT(data!C98,49),",","")</f>
        <v>EvergreenHealth Kirkland / King Country Public Ho</v>
      </c>
      <c r="D2" s="11" t="str">
        <f>LEFT(data!C99, 49)</f>
        <v>12040 NE 128th Street</v>
      </c>
      <c r="E2" s="11" t="str">
        <f>LEFT(data!C100, 100)</f>
        <v>Kirkland</v>
      </c>
      <c r="F2" s="11" t="str">
        <f>LEFT(data!C101, 2)</f>
        <v>Wa</v>
      </c>
      <c r="G2" s="11" t="str">
        <f>LEFT(data!C102, 100)</f>
        <v>98034</v>
      </c>
      <c r="H2" s="11" t="str">
        <f>LEFT(data!C103, 100)</f>
        <v>King</v>
      </c>
      <c r="I2" s="11" t="str">
        <f>LEFT(data!C104, 49)</f>
        <v>Dr. Ettore Palazzo</v>
      </c>
      <c r="J2" s="11" t="str">
        <f>LEFT(data!C105, 49)</f>
        <v>Bill Howe</v>
      </c>
      <c r="K2" s="11" t="str">
        <f>LEFT(data!C107, 49)</f>
        <v>425-899-1000</v>
      </c>
      <c r="L2" s="11" t="str">
        <f>LEFT(data!C108, 49)</f>
        <v>425-899-1684</v>
      </c>
      <c r="M2" s="11" t="str">
        <f>LEFT(data!C109, 49)</f>
        <v>Justin Gertler</v>
      </c>
      <c r="N2" s="11" t="str">
        <f>LEFT(data!C110, 49)</f>
        <v>jcgertler@evergreenhealthcare.org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164</v>
      </c>
      <c r="B2" s="200" t="str">
        <f>RIGHT(data!C96,4)</f>
        <v>2024</v>
      </c>
      <c r="C2" s="12" t="s">
        <v>1163</v>
      </c>
      <c r="D2" s="199">
        <f>ROUND(N(data!C181),0)</f>
        <v>35956068</v>
      </c>
      <c r="E2" s="199">
        <f>ROUND(N(data!C182),0)</f>
        <v>1110177</v>
      </c>
      <c r="F2" s="199">
        <f>ROUND(N(data!C183),0)</f>
        <v>4302973</v>
      </c>
      <c r="G2" s="199">
        <f>ROUND(N(data!C184),0)</f>
        <v>63567682</v>
      </c>
      <c r="H2" s="199">
        <f>ROUND(N(data!C185),0)</f>
        <v>281814</v>
      </c>
      <c r="I2" s="199">
        <f>ROUND(N(data!C186),0)</f>
        <v>25786849</v>
      </c>
      <c r="J2" s="199">
        <f>ROUND(N(data!C187)+N(data!C188),0)</f>
        <v>4037234</v>
      </c>
      <c r="K2" s="199">
        <f>ROUND(N(data!C191),0)</f>
        <v>4687901</v>
      </c>
      <c r="L2" s="199">
        <f>ROUND(N(data!C192),0)</f>
        <v>2584676</v>
      </c>
      <c r="M2" s="199">
        <f>ROUND(N(data!C195),0)</f>
        <v>3719568</v>
      </c>
      <c r="N2" s="199">
        <f>ROUND(N(data!C196),0)</f>
        <v>2097411</v>
      </c>
      <c r="O2" s="199">
        <f>ROUND(N(data!C199),0)</f>
        <v>494152</v>
      </c>
      <c r="P2" s="199">
        <f>ROUND(N(data!C200),0)</f>
        <v>8131155</v>
      </c>
      <c r="Q2" s="199">
        <f>ROUND(N(data!C201),0)</f>
        <v>0</v>
      </c>
      <c r="R2" s="199">
        <f>ROUND(N(data!C204),0)</f>
        <v>17887782</v>
      </c>
      <c r="S2" s="199">
        <f>ROUND(N(data!C205),0)</f>
        <v>0</v>
      </c>
      <c r="T2" s="199">
        <f>ROUND(N(data!B211),0)</f>
        <v>4913660</v>
      </c>
      <c r="U2" s="199">
        <f>ROUND(N(data!C211),0)</f>
        <v>0</v>
      </c>
      <c r="V2" s="199">
        <f>ROUND(N(data!D211),0)</f>
        <v>0</v>
      </c>
      <c r="W2" s="199">
        <f>ROUND(N(data!B212),0)</f>
        <v>12938483</v>
      </c>
      <c r="X2" s="199">
        <f>ROUND(N(data!C212),0)</f>
        <v>69528</v>
      </c>
      <c r="Y2" s="199">
        <f>ROUND(N(data!D212),0)</f>
        <v>814</v>
      </c>
      <c r="Z2" s="199">
        <f>ROUND(N(data!B213),0)</f>
        <v>380315539</v>
      </c>
      <c r="AA2" s="199">
        <f>ROUND(N(data!C213),0)</f>
        <v>652766</v>
      </c>
      <c r="AB2" s="199">
        <f>ROUND(N(data!D213),0)</f>
        <v>2143</v>
      </c>
      <c r="AC2" s="199">
        <f>ROUND(N(data!B214),0)</f>
        <v>142228526</v>
      </c>
      <c r="AD2" s="199">
        <f>ROUND(N(data!C214),0)</f>
        <v>227639</v>
      </c>
      <c r="AE2" s="199">
        <f>ROUND(N(data!D214),0)</f>
        <v>2375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349524625</v>
      </c>
      <c r="AJ2" s="199">
        <f>ROUND(N(data!C216),0)</f>
        <v>9064938</v>
      </c>
      <c r="AK2" s="199">
        <f>ROUND(N(data!D216),0)</f>
        <v>39333814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46157405</v>
      </c>
      <c r="AP2" s="199">
        <f>ROUND(N(data!C218),0)</f>
        <v>34059</v>
      </c>
      <c r="AQ2" s="199">
        <f>ROUND(N(data!D218),0)</f>
        <v>0</v>
      </c>
      <c r="AR2" s="199">
        <f>ROUND(N(data!B219),0)</f>
        <v>6090321</v>
      </c>
      <c r="AS2" s="199">
        <f>ROUND(N(data!C219),0)</f>
        <v>11797636</v>
      </c>
      <c r="AT2" s="199">
        <f>ROUND(N(data!D219),0)</f>
        <v>10048929</v>
      </c>
      <c r="AU2" s="199">
        <v>0</v>
      </c>
      <c r="AV2" s="199">
        <v>0</v>
      </c>
      <c r="AW2" s="199">
        <v>0</v>
      </c>
      <c r="AX2" s="199">
        <f>ROUND(N(data!B225),0)</f>
        <v>12092374</v>
      </c>
      <c r="AY2" s="199">
        <f>ROUND(N(data!C225),0)</f>
        <v>234501</v>
      </c>
      <c r="AZ2" s="199">
        <f>ROUND(N(data!D225),0)</f>
        <v>814</v>
      </c>
      <c r="BA2" s="199">
        <f>ROUND(N(data!B226),0)</f>
        <v>211301612</v>
      </c>
      <c r="BB2" s="199">
        <f>ROUND(N(data!C226),0)</f>
        <v>13220681</v>
      </c>
      <c r="BC2" s="199">
        <f>ROUND(N(data!D226),0)</f>
        <v>2143</v>
      </c>
      <c r="BD2" s="199">
        <f>ROUND(N(data!B227),0)</f>
        <v>108062963</v>
      </c>
      <c r="BE2" s="199">
        <f>ROUND(N(data!C227),0)</f>
        <v>4672038</v>
      </c>
      <c r="BF2" s="199">
        <f>ROUND(N(data!D227),0)</f>
        <v>2375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239960671</v>
      </c>
      <c r="BK2" s="199">
        <f>ROUND(N(data!C229),0)</f>
        <v>21499836</v>
      </c>
      <c r="BL2" s="199">
        <f>ROUND(N(data!D229),0)</f>
        <v>39333814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31063385</v>
      </c>
      <c r="BQ2" s="199">
        <f>ROUND(N(data!C231),0)</f>
        <v>3053078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913114017</v>
      </c>
      <c r="BW2" s="199">
        <f>ROUND(N(data!C240),0)</f>
        <v>195782279</v>
      </c>
      <c r="BX2" s="199">
        <f>ROUND(N(data!C241),0)</f>
        <v>10298087</v>
      </c>
      <c r="BY2" s="199">
        <f>ROUND(N(data!C242),0)</f>
        <v>16544547</v>
      </c>
      <c r="BZ2" s="199">
        <f>ROUND(N(data!C243),0)</f>
        <v>591237600</v>
      </c>
      <c r="CA2" s="199">
        <f>ROUND(N(data!C244),0)</f>
        <v>1304938</v>
      </c>
      <c r="CB2" s="199">
        <f>ROUND(N(data!C247),0)</f>
        <v>4222</v>
      </c>
      <c r="CC2" s="199">
        <f>ROUND(N(data!C249),0)</f>
        <v>5818513</v>
      </c>
      <c r="CD2" s="199">
        <f>ROUND(N(data!C250),0)</f>
        <v>7907556</v>
      </c>
      <c r="CE2" s="199">
        <f>ROUND(N(data!C254)+N(data!C255),0)</f>
        <v>22486135</v>
      </c>
      <c r="CF2" s="199">
        <f>ROUND(N(data!D237),0)</f>
        <v>28960010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164</v>
      </c>
      <c r="B2" s="12" t="str">
        <f>RIGHT(data!C96,4)</f>
        <v>2024</v>
      </c>
      <c r="C2" s="12" t="s">
        <v>1163</v>
      </c>
      <c r="D2" s="198">
        <f>ROUND(N(data!C127),0)</f>
        <v>17449</v>
      </c>
      <c r="E2" s="198">
        <f>ROUND(N(data!C128),0)</f>
        <v>0</v>
      </c>
      <c r="F2" s="198">
        <f>ROUND(N(data!C129),0)</f>
        <v>0</v>
      </c>
      <c r="G2" s="198">
        <f>ROUND(N(data!C130),0)</f>
        <v>4563</v>
      </c>
      <c r="H2" s="198">
        <f>ROUND(N(data!D127),0)</f>
        <v>76932</v>
      </c>
      <c r="I2" s="198">
        <f>ROUND(N(data!D128),0)</f>
        <v>0</v>
      </c>
      <c r="J2" s="198">
        <f>ROUND(N(data!D129),0)</f>
        <v>0</v>
      </c>
      <c r="K2" s="198">
        <f>ROUND(N(data!D130),0)</f>
        <v>6466</v>
      </c>
      <c r="L2" s="198">
        <f>ROUND(N(data!C132),0)</f>
        <v>20</v>
      </c>
      <c r="M2" s="198">
        <f>ROUND(N(data!C133),0)</f>
        <v>31</v>
      </c>
      <c r="N2" s="198">
        <f>ROUND(N(data!C134),0)</f>
        <v>167</v>
      </c>
      <c r="O2" s="198">
        <f>ROUND(N(data!C135),0)</f>
        <v>8</v>
      </c>
      <c r="P2" s="198">
        <f>ROUND(N(data!C136),0)</f>
        <v>71</v>
      </c>
      <c r="Q2" s="198">
        <f>ROUND(N(data!C137),0)</f>
        <v>14</v>
      </c>
      <c r="R2" s="198">
        <f>ROUND(N(data!C138),0)</f>
        <v>0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43</v>
      </c>
      <c r="W2" s="198">
        <f>ROUND(N(data!C144),0)</f>
        <v>354</v>
      </c>
      <c r="X2" s="198">
        <f>ROUND(N(data!C145),0)</f>
        <v>0</v>
      </c>
      <c r="Y2" s="198">
        <f>ROUND(N(data!B154),0)</f>
        <v>7344</v>
      </c>
      <c r="Z2" s="198">
        <f>ROUND(N(data!B155),0)</f>
        <v>47352</v>
      </c>
      <c r="AA2" s="198">
        <f>ROUND(N(data!B156),0)</f>
        <v>0</v>
      </c>
      <c r="AB2" s="198">
        <f>ROUND(N(data!B157),0)</f>
        <v>582401481</v>
      </c>
      <c r="AC2" s="198">
        <f>ROUND(N(data!B158),0)</f>
        <v>723941129</v>
      </c>
      <c r="AD2" s="198">
        <f>ROUND(N(data!C154),0)</f>
        <v>2579</v>
      </c>
      <c r="AE2" s="198">
        <f>ROUND(N(data!C155),0)</f>
        <v>11228</v>
      </c>
      <c r="AF2" s="198">
        <f>ROUND(N(data!C156),0)</f>
        <v>0</v>
      </c>
      <c r="AG2" s="198">
        <f>ROUND(N(data!C157),0)</f>
        <v>122839953</v>
      </c>
      <c r="AH2" s="198">
        <f>ROUND(N(data!C158),0)</f>
        <v>129159670</v>
      </c>
      <c r="AI2" s="198">
        <f>ROUND(N(data!D154),0)</f>
        <v>7526</v>
      </c>
      <c r="AJ2" s="198">
        <f>ROUND(N(data!D155),0)</f>
        <v>18352</v>
      </c>
      <c r="AK2" s="198">
        <f>ROUND(N(data!D156),0)</f>
        <v>0</v>
      </c>
      <c r="AL2" s="198">
        <f>ROUND(N(data!D157),0)</f>
        <v>387920311</v>
      </c>
      <c r="AM2" s="198">
        <f>ROUND(N(data!D158),0)</f>
        <v>805934443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9552469</v>
      </c>
      <c r="BS2" s="198">
        <f>ROUND(N(data!C173),0)</f>
        <v>22897960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A2" sqref="A2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164</v>
      </c>
      <c r="B2" s="200" t="str">
        <f>RIGHT(data!C96,4)</f>
        <v>2024</v>
      </c>
      <c r="C2" s="12" t="s">
        <v>1163</v>
      </c>
      <c r="D2" s="198">
        <f>ROUND(N(data!C266),0)</f>
        <v>80087108</v>
      </c>
      <c r="E2" s="198">
        <f>ROUND(N(data!C267),0)</f>
        <v>0</v>
      </c>
      <c r="F2" s="198">
        <f>ROUND(N(data!C268),0)</f>
        <v>355114908</v>
      </c>
      <c r="G2" s="198">
        <f>ROUND(N(data!C269),0)</f>
        <v>228663007</v>
      </c>
      <c r="H2" s="198">
        <f>ROUND(N(data!C270),0)</f>
        <v>6028228</v>
      </c>
      <c r="I2" s="198">
        <f>ROUND(N(data!C271),0)</f>
        <v>13917363</v>
      </c>
      <c r="J2" s="198">
        <f>ROUND(N(data!C272),0)</f>
        <v>1110565</v>
      </c>
      <c r="K2" s="198">
        <f>ROUND(N(data!C273),0)</f>
        <v>9201614</v>
      </c>
      <c r="L2" s="198">
        <f>ROUND(N(data!C274),0)</f>
        <v>16622995</v>
      </c>
      <c r="M2" s="198">
        <f>ROUND(N(data!C275),0)</f>
        <v>0</v>
      </c>
      <c r="N2" s="198">
        <f>ROUND(N(data!C278),0)</f>
        <v>178648762</v>
      </c>
      <c r="O2" s="198">
        <f>ROUND(N(data!C279),0)</f>
        <v>0</v>
      </c>
      <c r="P2" s="198">
        <f>ROUND(N(data!C280),0)</f>
        <v>0</v>
      </c>
      <c r="Q2" s="198">
        <f>ROUND(N(data!C283),0)</f>
        <v>4913660</v>
      </c>
      <c r="R2" s="198">
        <f>ROUND(N(data!C284),0)</f>
        <v>13007197</v>
      </c>
      <c r="S2" s="198">
        <f>ROUND(N(data!C285),0)</f>
        <v>380966161</v>
      </c>
      <c r="T2" s="198">
        <f>ROUND(N(data!C286),0)</f>
        <v>142453789</v>
      </c>
      <c r="U2" s="198">
        <f>ROUND(N(data!C287),0)</f>
        <v>0</v>
      </c>
      <c r="V2" s="198">
        <f>ROUND(N(data!C288),0)</f>
        <v>319255749</v>
      </c>
      <c r="W2" s="198">
        <f>ROUND(N(data!C289),0)</f>
        <v>46191464</v>
      </c>
      <c r="X2" s="198">
        <f>ROUND(N(data!C290),0)</f>
        <v>7845636</v>
      </c>
      <c r="Y2" s="198">
        <f>ROUND(N(data!C291),0)</f>
        <v>0</v>
      </c>
      <c r="Z2" s="198">
        <f>ROUND(N(data!C292),0)</f>
        <v>605821993</v>
      </c>
      <c r="AA2" s="198">
        <f>ROUND(N(data!C295),0)</f>
        <v>0</v>
      </c>
      <c r="AB2" s="198">
        <f>ROUND(N(data!C296),0)</f>
        <v>0</v>
      </c>
      <c r="AC2" s="198">
        <f>ROUND(N(data!C297),0)</f>
        <v>5763057</v>
      </c>
      <c r="AD2" s="198">
        <f>ROUND(N(data!C298),0)</f>
        <v>265019281</v>
      </c>
      <c r="AE2" s="198">
        <f>ROUND(N(data!C302),0)</f>
        <v>24613555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43351923</v>
      </c>
      <c r="AK2" s="198">
        <f>ROUND(N(data!C316),0)</f>
        <v>73645752</v>
      </c>
      <c r="AL2" s="198">
        <f>ROUND(N(data!C317),0)</f>
        <v>754385</v>
      </c>
      <c r="AM2" s="198">
        <f>ROUND(N(data!C318),0)</f>
        <v>0</v>
      </c>
      <c r="AN2" s="198">
        <f>ROUND(N(data!C319),0)</f>
        <v>11986377</v>
      </c>
      <c r="AO2" s="198">
        <f>ROUND(N(data!C320),0)</f>
        <v>0</v>
      </c>
      <c r="AP2" s="198">
        <f>ROUND(N(data!C321),0)</f>
        <v>0</v>
      </c>
      <c r="AQ2" s="198">
        <f>ROUND(N(data!C322),0)</f>
        <v>31231863</v>
      </c>
      <c r="AR2" s="198">
        <f>ROUND(N(data!C323),0)</f>
        <v>12828021</v>
      </c>
      <c r="AS2" s="198">
        <f>ROUND(N(data!C326),0)</f>
        <v>0</v>
      </c>
      <c r="AT2" s="198">
        <f>ROUND(N(data!C327),0)</f>
        <v>23425935</v>
      </c>
      <c r="AU2" s="198">
        <f>ROUND(N(data!C328),0)</f>
        <v>105507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243841375</v>
      </c>
      <c r="AZ2" s="198">
        <f>ROUND(N(data!C335),0)</f>
        <v>285832310</v>
      </c>
      <c r="BA2" s="198">
        <f>ROUND(N(data!C336),0)</f>
        <v>0</v>
      </c>
      <c r="BB2" s="198">
        <f>ROUND(N(data!C337),0)</f>
        <v>0</v>
      </c>
      <c r="BC2" s="198">
        <f>ROUND(N(data!C338),0)</f>
        <v>23706828</v>
      </c>
      <c r="BD2" s="198">
        <f>ROUND(N(data!C339),0)</f>
        <v>0</v>
      </c>
      <c r="BE2" s="198">
        <f>ROUND(N(data!C343),0)</f>
        <v>298393837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4262.34</v>
      </c>
      <c r="BL2" s="198">
        <f>ROUND(N(data!C358),0)</f>
        <v>1093161745</v>
      </c>
      <c r="BM2" s="198">
        <f>ROUND(N(data!C359),0)</f>
        <v>1659035242</v>
      </c>
      <c r="BN2" s="198">
        <f>ROUND(N(data!C363),0)</f>
        <v>1728281468</v>
      </c>
      <c r="BO2" s="198">
        <f>ROUND(N(data!C364),0)</f>
        <v>13726070</v>
      </c>
      <c r="BP2" s="198">
        <f>ROUND(N(data!C365),0)</f>
        <v>22486135</v>
      </c>
      <c r="BQ2" s="198">
        <f>ROUND(N(data!D381),0)</f>
        <v>62995329</v>
      </c>
      <c r="BR2" s="198">
        <f>ROUND(N(data!C370),0)</f>
        <v>8337002</v>
      </c>
      <c r="BS2" s="198">
        <f>ROUND(N(data!C371),0)</f>
        <v>0</v>
      </c>
      <c r="BT2" s="198">
        <f>ROUND(N(data!C372),0)</f>
        <v>-1267872</v>
      </c>
      <c r="BU2" s="198">
        <f>ROUND(N(data!C373),0)</f>
        <v>0</v>
      </c>
      <c r="BV2" s="198">
        <f>ROUND(N(data!C374),0)</f>
        <v>16723991</v>
      </c>
      <c r="BW2" s="198">
        <f>ROUND(N(data!C375),0)</f>
        <v>0</v>
      </c>
      <c r="BX2" s="198">
        <f>ROUND(N(data!C376),0)</f>
        <v>5069991</v>
      </c>
      <c r="BY2" s="198">
        <f>ROUND(N(data!C377),0)</f>
        <v>0</v>
      </c>
      <c r="BZ2" s="198">
        <f>ROUND(N(data!C378),0)</f>
        <v>4920451</v>
      </c>
      <c r="CA2" s="198">
        <f>ROUND(N(data!C379),0)</f>
        <v>2228905</v>
      </c>
      <c r="CB2" s="198">
        <f>ROUND(N(data!C380),0)</f>
        <v>26982861</v>
      </c>
      <c r="CC2" s="198">
        <f>ROUND(N(data!C382),0)</f>
        <v>21151027</v>
      </c>
      <c r="CD2" s="198">
        <f>ROUND(N(data!C389),0)</f>
        <v>576513352</v>
      </c>
      <c r="CE2" s="198">
        <f>ROUND(N(data!C390),0)</f>
        <v>135042797</v>
      </c>
      <c r="CF2" s="198">
        <f>ROUND(N(data!C391),0)</f>
        <v>23749959</v>
      </c>
      <c r="CG2" s="198">
        <f>ROUND(N(data!C392),0)</f>
        <v>141511448</v>
      </c>
      <c r="CH2" s="198">
        <f>ROUND(N(data!C393),0)</f>
        <v>8525619</v>
      </c>
      <c r="CI2" s="198">
        <f>ROUND(N(data!C394),0)</f>
        <v>75464186</v>
      </c>
      <c r="CJ2" s="198">
        <f>ROUND(N(data!C395),0)</f>
        <v>61695123</v>
      </c>
      <c r="CK2" s="198">
        <f>ROUND(N(data!C396),0)</f>
        <v>0</v>
      </c>
      <c r="CL2" s="198">
        <f>ROUND(N(data!C397),0)</f>
        <v>0</v>
      </c>
      <c r="CM2" s="198">
        <f>ROUND(N(data!C398),0)</f>
        <v>0</v>
      </c>
      <c r="CN2" s="198">
        <f>ROUND(N(data!C399),0)</f>
        <v>17887782</v>
      </c>
      <c r="CO2" s="198">
        <f>ROUND(N(data!C362),0)</f>
        <v>28960010</v>
      </c>
      <c r="CP2" s="198">
        <f>ROUND(N(data!D415),0)</f>
        <v>28081925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5816979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1539989</v>
      </c>
      <c r="DB2" s="52">
        <f>ROUND(N(data!C412),0)</f>
        <v>8131155</v>
      </c>
      <c r="DC2" s="52">
        <f>ROUND(N(data!C413),0)</f>
        <v>0</v>
      </c>
      <c r="DD2" s="52">
        <f>ROUND(N(data!C414),0)</f>
        <v>12593802</v>
      </c>
      <c r="DE2" s="52">
        <f>ROUND(N(data!C419),0)</f>
        <v>18442039</v>
      </c>
      <c r="DF2" s="198">
        <f>ROUND(N(data!D420),0)</f>
        <v>26792866</v>
      </c>
      <c r="DG2" s="198">
        <f>ROUND(N(data!C422),0)</f>
        <v>0</v>
      </c>
      <c r="DH2" s="198">
        <f>ROUND(N(data!C423),0)</f>
        <v>0</v>
      </c>
    </row>
  </sheetData>
  <sheetProtection algorithmName="SHA-512" hashValue="KISm1PF74eJ75hFSdQOXTi2Kq729bNz9xW9RbB3wvwFBZ+X2qKQuwcuAZ5ljliJ49N85nexUA27WHIAsKxG77g==" saltValue="mwSbDXaYAfK66P0S9jCXF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164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5492</v>
      </c>
      <c r="F2" s="271">
        <f>ROUND(N(data!C60), 2)</f>
        <v>124.56</v>
      </c>
      <c r="G2" s="198">
        <f>ROUND(N(data!C61), 0)</f>
        <v>17584555</v>
      </c>
      <c r="H2" s="198">
        <f>ROUND(N(data!C62), 0)</f>
        <v>4063797</v>
      </c>
      <c r="I2" s="198">
        <f>ROUND(N(data!C63), 0)</f>
        <v>772267</v>
      </c>
      <c r="J2" s="198">
        <f>ROUND(N(data!C64), 0)</f>
        <v>1465169</v>
      </c>
      <c r="K2" s="198">
        <f>ROUND(N(data!C65), 0)</f>
        <v>5447</v>
      </c>
      <c r="L2" s="198">
        <f>ROUND(N(data!C66), 0)</f>
        <v>588337</v>
      </c>
      <c r="M2" s="198">
        <f>ROUND(N(data!C67), 0)</f>
        <v>2664691</v>
      </c>
      <c r="N2" s="198">
        <f>ROUND(N(data!C68), 0)</f>
        <v>1622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27124</v>
      </c>
      <c r="AE2" s="198">
        <f>ROUND(N(data!C89), 0)</f>
        <v>88553357</v>
      </c>
      <c r="AF2" s="198">
        <f>ROUND(N(data!C87), 0)</f>
        <v>88549542</v>
      </c>
      <c r="AG2" s="198">
        <f>ROUND(N(data!C90), 0)</f>
        <v>67134</v>
      </c>
      <c r="AH2" s="198">
        <f>ROUND(N(data!C91), 0)</f>
        <v>11125</v>
      </c>
      <c r="AI2" s="198">
        <f>ROUND(N(data!C92), 0)</f>
        <v>8568</v>
      </c>
      <c r="AJ2" s="198">
        <f>ROUND(N(data!C93), 0)</f>
        <v>0</v>
      </c>
      <c r="AK2" s="271">
        <f>ROUND(N(data!C94), 2)</f>
        <v>95.26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164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10477</v>
      </c>
      <c r="F3" s="271">
        <f>ROUND(N(data!D60), 2)</f>
        <v>73.260000000000005</v>
      </c>
      <c r="G3" s="198">
        <f>ROUND(N(data!D61), 0)</f>
        <v>8974198</v>
      </c>
      <c r="H3" s="198">
        <f>ROUND(N(data!D62), 0)</f>
        <v>2173035</v>
      </c>
      <c r="I3" s="198">
        <f>ROUND(N(data!D63), 0)</f>
        <v>0</v>
      </c>
      <c r="J3" s="198">
        <f>ROUND(N(data!D64), 0)</f>
        <v>752105</v>
      </c>
      <c r="K3" s="198">
        <f>ROUND(N(data!D65), 0)</f>
        <v>0</v>
      </c>
      <c r="L3" s="198">
        <f>ROUND(N(data!D66), 0)</f>
        <v>384176</v>
      </c>
      <c r="M3" s="198">
        <f>ROUND(N(data!D67), 0)</f>
        <v>1378994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209</v>
      </c>
      <c r="AE3" s="198">
        <f>ROUND(N(data!D89), 0)</f>
        <v>58776203</v>
      </c>
      <c r="AF3" s="198">
        <f>ROUND(N(data!D87), 0)</f>
        <v>58029998</v>
      </c>
      <c r="AG3" s="198">
        <f>ROUND(N(data!D90), 0)</f>
        <v>23629</v>
      </c>
      <c r="AH3" s="198">
        <f>ROUND(N(data!D91), 0)</f>
        <v>30522</v>
      </c>
      <c r="AI3" s="198">
        <f>ROUND(N(data!D92), 0)</f>
        <v>3016</v>
      </c>
      <c r="AJ3" s="198">
        <f>ROUND(N(data!D93), 0)</f>
        <v>0</v>
      </c>
      <c r="AK3" s="271">
        <f>ROUND(N(data!D94), 2)</f>
        <v>49.23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164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49862</v>
      </c>
      <c r="F4" s="271">
        <f>ROUND(N(data!E60), 2)</f>
        <v>352.84</v>
      </c>
      <c r="G4" s="198">
        <f>ROUND(N(data!E61), 0)</f>
        <v>40426701</v>
      </c>
      <c r="H4" s="198">
        <f>ROUND(N(data!E62), 0)</f>
        <v>7927686</v>
      </c>
      <c r="I4" s="198">
        <f>ROUND(N(data!E63), 0)</f>
        <v>0</v>
      </c>
      <c r="J4" s="198">
        <f>ROUND(N(data!E64), 0)</f>
        <v>3070562</v>
      </c>
      <c r="K4" s="198">
        <f>ROUND(N(data!E65), 0)</f>
        <v>0</v>
      </c>
      <c r="L4" s="198">
        <f>ROUND(N(data!E66), 0)</f>
        <v>1197942</v>
      </c>
      <c r="M4" s="198">
        <f>ROUND(N(data!E67), 0)</f>
        <v>2088319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7341</v>
      </c>
      <c r="AE4" s="198">
        <f>ROUND(N(data!E89), 0)</f>
        <v>201856153</v>
      </c>
      <c r="AF4" s="198">
        <f>ROUND(N(data!E87), 0)</f>
        <v>198464447</v>
      </c>
      <c r="AG4" s="198">
        <f>ROUND(N(data!E90), 0)</f>
        <v>109117</v>
      </c>
      <c r="AH4" s="198">
        <f>ROUND(N(data!E91), 0)</f>
        <v>145333</v>
      </c>
      <c r="AI4" s="198">
        <f>ROUND(N(data!E92), 0)</f>
        <v>13926</v>
      </c>
      <c r="AJ4" s="198">
        <f>ROUND(N(data!E93), 0)</f>
        <v>0</v>
      </c>
      <c r="AK4" s="271">
        <f>ROUND(N(data!E94), 2)</f>
        <v>235.72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164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164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3878</v>
      </c>
      <c r="F6" s="271">
        <f>ROUND(N(data!G60), 2)</f>
        <v>20.43</v>
      </c>
      <c r="G6" s="198">
        <f>ROUND(N(data!G61), 0)</f>
        <v>2661993</v>
      </c>
      <c r="H6" s="198">
        <f>ROUND(N(data!G62), 0)</f>
        <v>589298</v>
      </c>
      <c r="I6" s="198">
        <f>ROUND(N(data!G63), 0)</f>
        <v>0</v>
      </c>
      <c r="J6" s="198">
        <f>ROUND(N(data!G64), 0)</f>
        <v>97124</v>
      </c>
      <c r="K6" s="198">
        <f>ROUND(N(data!G65), 0)</f>
        <v>0</v>
      </c>
      <c r="L6" s="198">
        <f>ROUND(N(data!G66), 0)</f>
        <v>57635</v>
      </c>
      <c r="M6" s="198">
        <f>ROUND(N(data!G67), 0)</f>
        <v>70614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18469</v>
      </c>
      <c r="AE6" s="198">
        <f>ROUND(N(data!G89), 0)</f>
        <v>18212271</v>
      </c>
      <c r="AF6" s="198">
        <f>ROUND(N(data!G87), 0)</f>
        <v>18212271</v>
      </c>
      <c r="AG6" s="198">
        <f>ROUND(N(data!G90), 0)</f>
        <v>8959</v>
      </c>
      <c r="AH6" s="198">
        <f>ROUND(N(data!G91), 0)</f>
        <v>11339</v>
      </c>
      <c r="AI6" s="198">
        <f>ROUND(N(data!G92), 0)</f>
        <v>1143</v>
      </c>
      <c r="AJ6" s="198">
        <f>ROUND(N(data!G93), 0)</f>
        <v>0</v>
      </c>
      <c r="AK6" s="271">
        <f>ROUND(N(data!G94), 2)</f>
        <v>12.66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164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0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0</v>
      </c>
      <c r="K7" s="198">
        <f>ROUND(N(data!H65), 0)</f>
        <v>0</v>
      </c>
      <c r="L7" s="198">
        <f>ROUND(N(data!H66), 0)</f>
        <v>0</v>
      </c>
      <c r="M7" s="198">
        <f>ROUND(N(data!H67), 0)</f>
        <v>0</v>
      </c>
      <c r="N7" s="198">
        <f>ROUND(N(data!H68), 0)</f>
        <v>0</v>
      </c>
      <c r="O7" s="198">
        <f>ROUND(N(data!H69), 0)</f>
        <v>0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0</v>
      </c>
      <c r="AD7" s="198">
        <f>ROUND(N(data!H84), 0)</f>
        <v>0</v>
      </c>
      <c r="AE7" s="198">
        <f>ROUND(N(data!H89), 0)</f>
        <v>0</v>
      </c>
      <c r="AF7" s="198">
        <f>ROUND(N(data!H87), 0)</f>
        <v>0</v>
      </c>
      <c r="AG7" s="198">
        <f>ROUND(N(data!H90), 0)</f>
        <v>0</v>
      </c>
      <c r="AH7" s="198">
        <f>ROUND(N(data!H91), 0)</f>
        <v>0</v>
      </c>
      <c r="AI7" s="198">
        <f>ROUND(N(data!H92), 0)</f>
        <v>0</v>
      </c>
      <c r="AJ7" s="198">
        <f>ROUND(N(data!H93), 0)</f>
        <v>0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164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1000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164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164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164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164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3603</v>
      </c>
      <c r="F12" s="271">
        <f>ROUND(N(data!M60), 2)</f>
        <v>49.63</v>
      </c>
      <c r="G12" s="198">
        <f>ROUND(N(data!M61), 0)</f>
        <v>6506509</v>
      </c>
      <c r="H12" s="198">
        <f>ROUND(N(data!M62), 0)</f>
        <v>1481195</v>
      </c>
      <c r="I12" s="198">
        <f>ROUND(N(data!M63), 0)</f>
        <v>-1000</v>
      </c>
      <c r="J12" s="198">
        <f>ROUND(N(data!M64), 0)</f>
        <v>201555</v>
      </c>
      <c r="K12" s="198">
        <f>ROUND(N(data!M65), 0)</f>
        <v>11915</v>
      </c>
      <c r="L12" s="198">
        <f>ROUND(N(data!M66), 0)</f>
        <v>148030</v>
      </c>
      <c r="M12" s="198">
        <f>ROUND(N(data!M67), 0)</f>
        <v>242425</v>
      </c>
      <c r="N12" s="198">
        <f>ROUND(N(data!M68), 0)</f>
        <v>33178</v>
      </c>
      <c r="O12" s="198">
        <f>ROUND(N(data!M69), 0)</f>
        <v>13855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13855</v>
      </c>
      <c r="AB12" s="198">
        <f>ROUND(N(data!M82), 0)</f>
        <v>0</v>
      </c>
      <c r="AC12" s="198">
        <f>ROUND(N(data!M83), 0)</f>
        <v>0</v>
      </c>
      <c r="AD12" s="198">
        <f>ROUND(N(data!M84), 0)</f>
        <v>43203</v>
      </c>
      <c r="AE12" s="198">
        <f>ROUND(N(data!M89), 0)</f>
        <v>9167109</v>
      </c>
      <c r="AF12" s="198">
        <f>ROUND(N(data!M87), 0)</f>
        <v>8738543</v>
      </c>
      <c r="AG12" s="198">
        <f>ROUND(N(data!M90), 0)</f>
        <v>20835</v>
      </c>
      <c r="AH12" s="198">
        <f>ROUND(N(data!M91), 0)</f>
        <v>4914</v>
      </c>
      <c r="AI12" s="198">
        <f>ROUND(N(data!M92), 0)</f>
        <v>2659</v>
      </c>
      <c r="AJ12" s="198">
        <f>ROUND(N(data!M93), 0)</f>
        <v>0</v>
      </c>
      <c r="AK12" s="271">
        <f>ROUND(N(data!M94), 2)</f>
        <v>18.36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164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66.849999999999994</v>
      </c>
      <c r="G13" s="198">
        <f>ROUND(N(data!N61), 0)</f>
        <v>24210346</v>
      </c>
      <c r="H13" s="198">
        <f>ROUND(N(data!N62), 0)</f>
        <v>4205052</v>
      </c>
      <c r="I13" s="198">
        <f>ROUND(N(data!N63), 0)</f>
        <v>726446</v>
      </c>
      <c r="J13" s="198">
        <f>ROUND(N(data!N64), 0)</f>
        <v>25434</v>
      </c>
      <c r="K13" s="198">
        <f>ROUND(N(data!N65), 0)</f>
        <v>30203</v>
      </c>
      <c r="L13" s="198">
        <f>ROUND(N(data!N66), 0)</f>
        <v>103091</v>
      </c>
      <c r="M13" s="198">
        <f>ROUND(N(data!N67), 0)</f>
        <v>2518</v>
      </c>
      <c r="N13" s="198">
        <f>ROUND(N(data!N68), 0)</f>
        <v>0</v>
      </c>
      <c r="O13" s="198">
        <f>ROUND(N(data!N69), 0)</f>
        <v>43892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43892</v>
      </c>
      <c r="AB13" s="198">
        <f>ROUND(N(data!N82), 0)</f>
        <v>0</v>
      </c>
      <c r="AC13" s="198">
        <f>ROUND(N(data!N83), 0)</f>
        <v>0</v>
      </c>
      <c r="AD13" s="198">
        <f>ROUND(N(data!N84), 0)</f>
        <v>300449</v>
      </c>
      <c r="AE13" s="198">
        <f>ROUND(N(data!N89), 0)</f>
        <v>26168923</v>
      </c>
      <c r="AF13" s="198">
        <f>ROUND(N(data!N87), 0)</f>
        <v>24354636</v>
      </c>
      <c r="AG13" s="198">
        <f>ROUND(N(data!N90), 0)</f>
        <v>1583</v>
      </c>
      <c r="AH13" s="198">
        <f>ROUND(N(data!N91), 0)</f>
        <v>0</v>
      </c>
      <c r="AI13" s="198">
        <f>ROUND(N(data!N92), 0)</f>
        <v>202</v>
      </c>
      <c r="AJ13" s="198">
        <f>ROUND(N(data!N93), 0)</f>
        <v>0</v>
      </c>
      <c r="AK13" s="271">
        <f>ROUND(N(data!N94), 2)</f>
        <v>2.15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164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4544</v>
      </c>
      <c r="F14" s="271">
        <f>ROUND(N(data!O60), 2)</f>
        <v>191.27</v>
      </c>
      <c r="G14" s="198">
        <f>ROUND(N(data!O61), 0)</f>
        <v>27640234</v>
      </c>
      <c r="H14" s="198">
        <f>ROUND(N(data!O62), 0)</f>
        <v>5673365</v>
      </c>
      <c r="I14" s="198">
        <f>ROUND(N(data!O63), 0)</f>
        <v>1916161</v>
      </c>
      <c r="J14" s="198">
        <f>ROUND(N(data!O64), 0)</f>
        <v>2812014</v>
      </c>
      <c r="K14" s="198">
        <f>ROUND(N(data!O65), 0)</f>
        <v>1145</v>
      </c>
      <c r="L14" s="198">
        <f>ROUND(N(data!O66), 0)</f>
        <v>343623</v>
      </c>
      <c r="M14" s="198">
        <f>ROUND(N(data!O67), 0)</f>
        <v>3540791</v>
      </c>
      <c r="N14" s="198">
        <f>ROUND(N(data!O68), 0)</f>
        <v>1085</v>
      </c>
      <c r="O14" s="198">
        <f>ROUND(N(data!O69), 0)</f>
        <v>381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381</v>
      </c>
      <c r="AB14" s="198">
        <f>ROUND(N(data!O82), 0)</f>
        <v>0</v>
      </c>
      <c r="AC14" s="198">
        <f>ROUND(N(data!O83), 0)</f>
        <v>0</v>
      </c>
      <c r="AD14" s="198">
        <f>ROUND(N(data!O84), 0)</f>
        <v>61951</v>
      </c>
      <c r="AE14" s="198">
        <f>ROUND(N(data!O89), 0)</f>
        <v>137340483</v>
      </c>
      <c r="AF14" s="198">
        <f>ROUND(N(data!O87), 0)</f>
        <v>131695911</v>
      </c>
      <c r="AG14" s="198">
        <f>ROUND(N(data!O90), 0)</f>
        <v>59054</v>
      </c>
      <c r="AH14" s="198">
        <f>ROUND(N(data!O91), 0)</f>
        <v>35179</v>
      </c>
      <c r="AI14" s="198">
        <f>ROUND(N(data!O92), 0)</f>
        <v>7537</v>
      </c>
      <c r="AJ14" s="198">
        <f>ROUND(N(data!O93), 0)</f>
        <v>0</v>
      </c>
      <c r="AK14" s="271">
        <f>ROUND(N(data!O94), 2)</f>
        <v>137.68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164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808903</v>
      </c>
      <c r="F15" s="271">
        <f>ROUND(N(data!P60), 2)</f>
        <v>107.69</v>
      </c>
      <c r="G15" s="198">
        <f>ROUND(N(data!P61), 0)</f>
        <v>13411764</v>
      </c>
      <c r="H15" s="198">
        <f>ROUND(N(data!P62), 0)</f>
        <v>2697327</v>
      </c>
      <c r="I15" s="198">
        <f>ROUND(N(data!P63), 0)</f>
        <v>0</v>
      </c>
      <c r="J15" s="198">
        <f>ROUND(N(data!P64), 0)</f>
        <v>41886274</v>
      </c>
      <c r="K15" s="198">
        <f>ROUND(N(data!P65), 0)</f>
        <v>1001</v>
      </c>
      <c r="L15" s="198">
        <f>ROUND(N(data!P66), 0)</f>
        <v>2739605</v>
      </c>
      <c r="M15" s="198">
        <f>ROUND(N(data!P67), 0)</f>
        <v>3606309</v>
      </c>
      <c r="N15" s="198">
        <f>ROUND(N(data!P68), 0)</f>
        <v>53423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20480</v>
      </c>
      <c r="AE15" s="198">
        <f>ROUND(N(data!P89), 0)</f>
        <v>331875825</v>
      </c>
      <c r="AF15" s="198">
        <f>ROUND(N(data!P87), 0)</f>
        <v>90707005</v>
      </c>
      <c r="AG15" s="198">
        <f>ROUND(N(data!P90), 0)</f>
        <v>73751</v>
      </c>
      <c r="AH15" s="198">
        <f>ROUND(N(data!P91), 0)</f>
        <v>0</v>
      </c>
      <c r="AI15" s="198">
        <f>ROUND(N(data!P92), 0)</f>
        <v>9413</v>
      </c>
      <c r="AJ15" s="198">
        <f>ROUND(N(data!P93), 0)</f>
        <v>0</v>
      </c>
      <c r="AK15" s="271">
        <f>ROUND(N(data!P94), 2)</f>
        <v>50.24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164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1693248</v>
      </c>
      <c r="F16" s="271">
        <f>ROUND(N(data!Q60), 2)</f>
        <v>64.97</v>
      </c>
      <c r="G16" s="198">
        <f>ROUND(N(data!Q61), 0)</f>
        <v>9653683</v>
      </c>
      <c r="H16" s="198">
        <f>ROUND(N(data!Q62), 0)</f>
        <v>1788783</v>
      </c>
      <c r="I16" s="198">
        <f>ROUND(N(data!Q63), 0)</f>
        <v>0</v>
      </c>
      <c r="J16" s="198">
        <f>ROUND(N(data!Q64), 0)</f>
        <v>425139</v>
      </c>
      <c r="K16" s="198">
        <f>ROUND(N(data!Q65), 0)</f>
        <v>0</v>
      </c>
      <c r="L16" s="198">
        <f>ROUND(N(data!Q66), 0)</f>
        <v>62710</v>
      </c>
      <c r="M16" s="198">
        <f>ROUND(N(data!Q67), 0)</f>
        <v>174809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4052</v>
      </c>
      <c r="AE16" s="198">
        <f>ROUND(N(data!Q89), 0)</f>
        <v>31272075</v>
      </c>
      <c r="AF16" s="198">
        <f>ROUND(N(data!Q87), 0)</f>
        <v>6251315</v>
      </c>
      <c r="AG16" s="198">
        <f>ROUND(N(data!Q90), 0)</f>
        <v>5124</v>
      </c>
      <c r="AH16" s="198">
        <f>ROUND(N(data!Q91), 0)</f>
        <v>0</v>
      </c>
      <c r="AI16" s="198">
        <f>ROUND(N(data!Q92), 0)</f>
        <v>654</v>
      </c>
      <c r="AJ16" s="198">
        <f>ROUND(N(data!Q93), 0)</f>
        <v>0</v>
      </c>
      <c r="AK16" s="271">
        <f>ROUND(N(data!Q94), 2)</f>
        <v>51.87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164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1630374</v>
      </c>
      <c r="F17" s="271">
        <f>ROUND(N(data!R60), 2)</f>
        <v>7.18</v>
      </c>
      <c r="G17" s="198">
        <f>ROUND(N(data!R61), 0)</f>
        <v>670285</v>
      </c>
      <c r="H17" s="198">
        <f>ROUND(N(data!R62), 0)</f>
        <v>150595</v>
      </c>
      <c r="I17" s="198">
        <f>ROUND(N(data!R63), 0)</f>
        <v>750000</v>
      </c>
      <c r="J17" s="198">
        <f>ROUND(N(data!R64), 0)</f>
        <v>553221</v>
      </c>
      <c r="K17" s="198">
        <f>ROUND(N(data!R65), 0)</f>
        <v>0</v>
      </c>
      <c r="L17" s="198">
        <f>ROUND(N(data!R66), 0)</f>
        <v>76647</v>
      </c>
      <c r="M17" s="198">
        <f>ROUND(N(data!R67), 0)</f>
        <v>131540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955</v>
      </c>
      <c r="AE17" s="198">
        <f>ROUND(N(data!R89), 0)</f>
        <v>55755182</v>
      </c>
      <c r="AF17" s="198">
        <f>ROUND(N(data!R87), 0)</f>
        <v>14900718</v>
      </c>
      <c r="AG17" s="198">
        <f>ROUND(N(data!R90), 0)</f>
        <v>652</v>
      </c>
      <c r="AH17" s="198">
        <f>ROUND(N(data!R91), 0)</f>
        <v>0</v>
      </c>
      <c r="AI17" s="198">
        <f>ROUND(N(data!R92), 0)</f>
        <v>83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164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26.87</v>
      </c>
      <c r="G18" s="198">
        <f>ROUND(N(data!S61), 0)</f>
        <v>2186021</v>
      </c>
      <c r="H18" s="198">
        <f>ROUND(N(data!S62), 0)</f>
        <v>569575</v>
      </c>
      <c r="I18" s="198">
        <f>ROUND(N(data!S63), 0)</f>
        <v>0</v>
      </c>
      <c r="J18" s="198">
        <f>ROUND(N(data!S64), 0)</f>
        <v>828496</v>
      </c>
      <c r="K18" s="198">
        <f>ROUND(N(data!S65), 0)</f>
        <v>0</v>
      </c>
      <c r="L18" s="198">
        <f>ROUND(N(data!S66), 0)</f>
        <v>208993</v>
      </c>
      <c r="M18" s="198">
        <f>ROUND(N(data!S67), 0)</f>
        <v>226071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2107</v>
      </c>
      <c r="AE18" s="198">
        <f>ROUND(N(data!S89), 0)</f>
        <v>0</v>
      </c>
      <c r="AF18" s="198">
        <f>ROUND(N(data!S87), 0)</f>
        <v>0</v>
      </c>
      <c r="AG18" s="198">
        <f>ROUND(N(data!S90), 0)</f>
        <v>10155</v>
      </c>
      <c r="AH18" s="198">
        <f>ROUND(N(data!S91), 0)</f>
        <v>0</v>
      </c>
      <c r="AI18" s="198">
        <f>ROUND(N(data!S92), 0)</f>
        <v>1296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164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164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2277784</v>
      </c>
      <c r="F20" s="271">
        <f>ROUND(N(data!U60), 2)</f>
        <v>113.47</v>
      </c>
      <c r="G20" s="198">
        <f>ROUND(N(data!U61), 0)</f>
        <v>10435776</v>
      </c>
      <c r="H20" s="198">
        <f>ROUND(N(data!U62), 0)</f>
        <v>2518004</v>
      </c>
      <c r="I20" s="198">
        <f>ROUND(N(data!U63), 0)</f>
        <v>199483</v>
      </c>
      <c r="J20" s="198">
        <f>ROUND(N(data!U64), 0)</f>
        <v>9113241</v>
      </c>
      <c r="K20" s="198">
        <f>ROUND(N(data!U65), 0)</f>
        <v>8498</v>
      </c>
      <c r="L20" s="198">
        <f>ROUND(N(data!U66), 0)</f>
        <v>11611298</v>
      </c>
      <c r="M20" s="198">
        <f>ROUND(N(data!U67), 0)</f>
        <v>551515</v>
      </c>
      <c r="N20" s="198">
        <f>ROUND(N(data!U68), 0)</f>
        <v>53530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70027</v>
      </c>
      <c r="AE20" s="198">
        <f>ROUND(N(data!U89), 0)</f>
        <v>245725212</v>
      </c>
      <c r="AF20" s="198">
        <f>ROUND(N(data!U87), 0)</f>
        <v>114187014</v>
      </c>
      <c r="AG20" s="198">
        <f>ROUND(N(data!U90), 0)</f>
        <v>15616</v>
      </c>
      <c r="AH20" s="198">
        <f>ROUND(N(data!U91), 0)</f>
        <v>0</v>
      </c>
      <c r="AI20" s="198">
        <f>ROUND(N(data!U92), 0)</f>
        <v>1993</v>
      </c>
      <c r="AJ20" s="198">
        <f>ROUND(N(data!U93), 0)</f>
        <v>0</v>
      </c>
      <c r="AK20" s="271">
        <f>ROUND(N(data!U94), 2)</f>
        <v>0.31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164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2.69</v>
      </c>
      <c r="G21" s="198">
        <f>ROUND(N(data!V61), 0)</f>
        <v>244541</v>
      </c>
      <c r="H21" s="198">
        <f>ROUND(N(data!V62), 0)</f>
        <v>56071</v>
      </c>
      <c r="I21" s="198">
        <f>ROUND(N(data!V63), 0)</f>
        <v>950</v>
      </c>
      <c r="J21" s="198">
        <f>ROUND(N(data!V64), 0)</f>
        <v>73790</v>
      </c>
      <c r="K21" s="198">
        <f>ROUND(N(data!V65), 0)</f>
        <v>0</v>
      </c>
      <c r="L21" s="198">
        <f>ROUND(N(data!V66), 0)</f>
        <v>0</v>
      </c>
      <c r="M21" s="198">
        <f>ROUND(N(data!V67), 0)</f>
        <v>4068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2792658</v>
      </c>
      <c r="AF21" s="198">
        <f>ROUND(N(data!V87), 0)</f>
        <v>2149922</v>
      </c>
      <c r="AG21" s="198">
        <f>ROUND(N(data!V90), 0)</f>
        <v>298</v>
      </c>
      <c r="AH21" s="198">
        <f>ROUND(N(data!V91), 0)</f>
        <v>0</v>
      </c>
      <c r="AI21" s="198">
        <f>ROUND(N(data!V92), 0)</f>
        <v>38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164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28888</v>
      </c>
      <c r="F22" s="271">
        <f>ROUND(N(data!W60), 2)</f>
        <v>7.44</v>
      </c>
      <c r="G22" s="198">
        <f>ROUND(N(data!W61), 0)</f>
        <v>1453792</v>
      </c>
      <c r="H22" s="198">
        <f>ROUND(N(data!W62), 0)</f>
        <v>134604</v>
      </c>
      <c r="I22" s="198">
        <f>ROUND(N(data!W63), 0)</f>
        <v>0</v>
      </c>
      <c r="J22" s="198">
        <f>ROUND(N(data!W64), 0)</f>
        <v>212370</v>
      </c>
      <c r="K22" s="198">
        <f>ROUND(N(data!W65), 0)</f>
        <v>0</v>
      </c>
      <c r="L22" s="198">
        <f>ROUND(N(data!W66), 0)</f>
        <v>292257</v>
      </c>
      <c r="M22" s="198">
        <f>ROUND(N(data!W67), 0)</f>
        <v>42431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14371</v>
      </c>
      <c r="AE22" s="198">
        <f>ROUND(N(data!W89), 0)</f>
        <v>19538220</v>
      </c>
      <c r="AF22" s="198">
        <f>ROUND(N(data!W87), 0)</f>
        <v>7936429</v>
      </c>
      <c r="AG22" s="198">
        <f>ROUND(N(data!W90), 0)</f>
        <v>3046</v>
      </c>
      <c r="AH22" s="198">
        <f>ROUND(N(data!W91), 0)</f>
        <v>0</v>
      </c>
      <c r="AI22" s="198">
        <f>ROUND(N(data!W92), 0)</f>
        <v>389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164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212014</v>
      </c>
      <c r="F23" s="271">
        <f>ROUND(N(data!X60), 2)</f>
        <v>14.87</v>
      </c>
      <c r="G23" s="198">
        <f>ROUND(N(data!X61), 0)</f>
        <v>3110248</v>
      </c>
      <c r="H23" s="198">
        <f>ROUND(N(data!X62), 0)</f>
        <v>215305</v>
      </c>
      <c r="I23" s="198">
        <f>ROUND(N(data!X63), 0)</f>
        <v>0</v>
      </c>
      <c r="J23" s="198">
        <f>ROUND(N(data!X64), 0)</f>
        <v>728983</v>
      </c>
      <c r="K23" s="198">
        <f>ROUND(N(data!X65), 0)</f>
        <v>0</v>
      </c>
      <c r="L23" s="198">
        <f>ROUND(N(data!X66), 0)</f>
        <v>571250</v>
      </c>
      <c r="M23" s="198">
        <f>ROUND(N(data!X67), 0)</f>
        <v>141581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2865</v>
      </c>
      <c r="AE23" s="198">
        <f>ROUND(N(data!X89), 0)</f>
        <v>105522612</v>
      </c>
      <c r="AF23" s="198">
        <f>ROUND(N(data!X87), 0)</f>
        <v>41214427</v>
      </c>
      <c r="AG23" s="198">
        <f>ROUND(N(data!X90), 0)</f>
        <v>3173</v>
      </c>
      <c r="AH23" s="198">
        <f>ROUND(N(data!X91), 0)</f>
        <v>0</v>
      </c>
      <c r="AI23" s="198">
        <f>ROUND(N(data!X92), 0)</f>
        <v>405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164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410167</v>
      </c>
      <c r="F24" s="271">
        <f>ROUND(N(data!Y60), 2)</f>
        <v>160.84</v>
      </c>
      <c r="G24" s="198">
        <f>ROUND(N(data!Y61), 0)</f>
        <v>21882525</v>
      </c>
      <c r="H24" s="198">
        <f>ROUND(N(data!Y62), 0)</f>
        <v>4280645</v>
      </c>
      <c r="I24" s="198">
        <f>ROUND(N(data!Y63), 0)</f>
        <v>108971</v>
      </c>
      <c r="J24" s="198">
        <f>ROUND(N(data!Y64), 0)</f>
        <v>8828508</v>
      </c>
      <c r="K24" s="198">
        <f>ROUND(N(data!Y65), 0)</f>
        <v>14784</v>
      </c>
      <c r="L24" s="198">
        <f>ROUND(N(data!Y66), 0)</f>
        <v>6382731</v>
      </c>
      <c r="M24" s="198">
        <f>ROUND(N(data!Y67), 0)</f>
        <v>3009530</v>
      </c>
      <c r="N24" s="198">
        <f>ROUND(N(data!Y68), 0)</f>
        <v>94785</v>
      </c>
      <c r="O24" s="198">
        <f>ROUND(N(data!Y69), 0)</f>
        <v>22331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22331</v>
      </c>
      <c r="AB24" s="198">
        <f>ROUND(N(data!Y82), 0)</f>
        <v>0</v>
      </c>
      <c r="AC24" s="198">
        <f>ROUND(N(data!Y83), 0)</f>
        <v>0</v>
      </c>
      <c r="AD24" s="198">
        <f>ROUND(N(data!Y84), 0)</f>
        <v>57221</v>
      </c>
      <c r="AE24" s="198">
        <f>ROUND(N(data!Y89), 0)</f>
        <v>227125216</v>
      </c>
      <c r="AF24" s="198">
        <f>ROUND(N(data!Y87), 0)</f>
        <v>66620140</v>
      </c>
      <c r="AG24" s="198">
        <f>ROUND(N(data!Y90), 0)</f>
        <v>50079</v>
      </c>
      <c r="AH24" s="198">
        <f>ROUND(N(data!Y91), 0)</f>
        <v>23</v>
      </c>
      <c r="AI24" s="198">
        <f>ROUND(N(data!Y92), 0)</f>
        <v>6392</v>
      </c>
      <c r="AJ24" s="198">
        <f>ROUND(N(data!Y93), 0)</f>
        <v>0</v>
      </c>
      <c r="AK24" s="271">
        <f>ROUND(N(data!Y94), 2)</f>
        <v>33.33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164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70121</v>
      </c>
      <c r="F25" s="271">
        <f>ROUND(N(data!Z60), 2)</f>
        <v>23.02</v>
      </c>
      <c r="G25" s="198">
        <f>ROUND(N(data!Z61), 0)</f>
        <v>5349401</v>
      </c>
      <c r="H25" s="198">
        <f>ROUND(N(data!Z62), 0)</f>
        <v>956818</v>
      </c>
      <c r="I25" s="198">
        <f>ROUND(N(data!Z63), 0)</f>
        <v>0</v>
      </c>
      <c r="J25" s="198">
        <f>ROUND(N(data!Z64), 0)</f>
        <v>374202</v>
      </c>
      <c r="K25" s="198">
        <f>ROUND(N(data!Z65), 0)</f>
        <v>2306</v>
      </c>
      <c r="L25" s="198">
        <f>ROUND(N(data!Z66), 0)</f>
        <v>1084204</v>
      </c>
      <c r="M25" s="198">
        <f>ROUND(N(data!Z67), 0)</f>
        <v>1102833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29896</v>
      </c>
      <c r="AE25" s="198">
        <f>ROUND(N(data!Z89), 0)</f>
        <v>49023569</v>
      </c>
      <c r="AF25" s="198">
        <f>ROUND(N(data!Z87), 0)</f>
        <v>1118300</v>
      </c>
      <c r="AG25" s="198">
        <f>ROUND(N(data!Z90), 0)</f>
        <v>16493</v>
      </c>
      <c r="AH25" s="198">
        <f>ROUND(N(data!Z91), 0)</f>
        <v>0</v>
      </c>
      <c r="AI25" s="198">
        <f>ROUND(N(data!Z92), 0)</f>
        <v>2105</v>
      </c>
      <c r="AJ25" s="198">
        <f>ROUND(N(data!Z93), 0)</f>
        <v>0</v>
      </c>
      <c r="AK25" s="271">
        <f>ROUND(N(data!Z94), 2)</f>
        <v>4.37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164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16790</v>
      </c>
      <c r="F26" s="271">
        <f>ROUND(N(data!AA60), 2)</f>
        <v>3.3</v>
      </c>
      <c r="G26" s="198">
        <f>ROUND(N(data!AA61), 0)</f>
        <v>511228</v>
      </c>
      <c r="H26" s="198">
        <f>ROUND(N(data!AA62), 0)</f>
        <v>90471</v>
      </c>
      <c r="I26" s="198">
        <f>ROUND(N(data!AA63), 0)</f>
        <v>0</v>
      </c>
      <c r="J26" s="198">
        <f>ROUND(N(data!AA64), 0)</f>
        <v>559720</v>
      </c>
      <c r="K26" s="198">
        <f>ROUND(N(data!AA65), 0)</f>
        <v>0</v>
      </c>
      <c r="L26" s="198">
        <f>ROUND(N(data!AA66), 0)</f>
        <v>109681</v>
      </c>
      <c r="M26" s="198">
        <f>ROUND(N(data!AA67), 0)</f>
        <v>171632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523</v>
      </c>
      <c r="AE26" s="198">
        <f>ROUND(N(data!AA89), 0)</f>
        <v>7348197</v>
      </c>
      <c r="AF26" s="198">
        <f>ROUND(N(data!AA87), 0)</f>
        <v>1886014</v>
      </c>
      <c r="AG26" s="198">
        <f>ROUND(N(data!AA90), 0)</f>
        <v>1133</v>
      </c>
      <c r="AH26" s="198">
        <f>ROUND(N(data!AA91), 0)</f>
        <v>0</v>
      </c>
      <c r="AI26" s="198">
        <f>ROUND(N(data!AA92), 0)</f>
        <v>145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164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67.12</v>
      </c>
      <c r="G27" s="198">
        <f>ROUND(N(data!AB61), 0)</f>
        <v>9359676</v>
      </c>
      <c r="H27" s="198">
        <f>ROUND(N(data!AB62), 0)</f>
        <v>2018629</v>
      </c>
      <c r="I27" s="198">
        <f>ROUND(N(data!AB63), 0)</f>
        <v>0</v>
      </c>
      <c r="J27" s="198">
        <f>ROUND(N(data!AB64), 0)</f>
        <v>22326466</v>
      </c>
      <c r="K27" s="198">
        <f>ROUND(N(data!AB65), 0)</f>
        <v>0</v>
      </c>
      <c r="L27" s="198">
        <f>ROUND(N(data!AB66), 0)</f>
        <v>308159</v>
      </c>
      <c r="M27" s="198">
        <f>ROUND(N(data!AB67), 0)</f>
        <v>609579</v>
      </c>
      <c r="N27" s="198">
        <f>ROUND(N(data!AB68), 0)</f>
        <v>287685</v>
      </c>
      <c r="O27" s="198">
        <f>ROUND(N(data!AB69), 0)</f>
        <v>0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0</v>
      </c>
      <c r="AD27" s="198">
        <f>ROUND(N(data!AB84), 0)</f>
        <v>23554</v>
      </c>
      <c r="AE27" s="198">
        <f>ROUND(N(data!AB89), 0)</f>
        <v>191320819</v>
      </c>
      <c r="AF27" s="198">
        <f>ROUND(N(data!AB87), 0)</f>
        <v>82986629</v>
      </c>
      <c r="AG27" s="198">
        <f>ROUND(N(data!AB90), 0)</f>
        <v>10551</v>
      </c>
      <c r="AH27" s="198">
        <f>ROUND(N(data!AB91), 0)</f>
        <v>0</v>
      </c>
      <c r="AI27" s="198">
        <f>ROUND(N(data!AB92), 0)</f>
        <v>1347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164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28.72</v>
      </c>
      <c r="G28" s="198">
        <f>ROUND(N(data!AC61), 0)</f>
        <v>4043016</v>
      </c>
      <c r="H28" s="198">
        <f>ROUND(N(data!AC62), 0)</f>
        <v>802226</v>
      </c>
      <c r="I28" s="198">
        <f>ROUND(N(data!AC63), 0)</f>
        <v>0</v>
      </c>
      <c r="J28" s="198">
        <f>ROUND(N(data!AC64), 0)</f>
        <v>330836</v>
      </c>
      <c r="K28" s="198">
        <f>ROUND(N(data!AC65), 0)</f>
        <v>0</v>
      </c>
      <c r="L28" s="198">
        <f>ROUND(N(data!AC66), 0)</f>
        <v>87050</v>
      </c>
      <c r="M28" s="198">
        <f>ROUND(N(data!AC67), 0)</f>
        <v>30073</v>
      </c>
      <c r="N28" s="198">
        <f>ROUND(N(data!AC68), 0)</f>
        <v>24410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3851</v>
      </c>
      <c r="AE28" s="198">
        <f>ROUND(N(data!AC89), 0)</f>
        <v>13513801</v>
      </c>
      <c r="AF28" s="198">
        <f>ROUND(N(data!AC87), 0)</f>
        <v>13181590</v>
      </c>
      <c r="AG28" s="198">
        <f>ROUND(N(data!AC90), 0)</f>
        <v>2469</v>
      </c>
      <c r="AH28" s="198">
        <f>ROUND(N(data!AC91), 0)</f>
        <v>0</v>
      </c>
      <c r="AI28" s="198">
        <f>ROUND(N(data!AC92), 0)</f>
        <v>315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164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164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13636</v>
      </c>
      <c r="F30" s="271">
        <f>ROUND(N(data!AE60), 2)</f>
        <v>70.28</v>
      </c>
      <c r="G30" s="198">
        <f>ROUND(N(data!AE61), 0)</f>
        <v>7403323</v>
      </c>
      <c r="H30" s="198">
        <f>ROUND(N(data!AE62), 0)</f>
        <v>1774963</v>
      </c>
      <c r="I30" s="198">
        <f>ROUND(N(data!AE63), 0)</f>
        <v>0</v>
      </c>
      <c r="J30" s="198">
        <f>ROUND(N(data!AE64), 0)</f>
        <v>236434</v>
      </c>
      <c r="K30" s="198">
        <f>ROUND(N(data!AE65), 0)</f>
        <v>6074</v>
      </c>
      <c r="L30" s="198">
        <f>ROUND(N(data!AE66), 0)</f>
        <v>1818913</v>
      </c>
      <c r="M30" s="198">
        <f>ROUND(N(data!AE67), 0)</f>
        <v>270375</v>
      </c>
      <c r="N30" s="198">
        <f>ROUND(N(data!AE68), 0)</f>
        <v>35802</v>
      </c>
      <c r="O30" s="198">
        <f>ROUND(N(data!AE69), 0)</f>
        <v>27633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27633</v>
      </c>
      <c r="AB30" s="198">
        <f>ROUND(N(data!AE82), 0)</f>
        <v>0</v>
      </c>
      <c r="AC30" s="198">
        <f>ROUND(N(data!AE83), 0)</f>
        <v>0</v>
      </c>
      <c r="AD30" s="198">
        <f>ROUND(N(data!AE84), 0)</f>
        <v>28277</v>
      </c>
      <c r="AE30" s="198">
        <f>ROUND(N(data!AE89), 0)</f>
        <v>44444265</v>
      </c>
      <c r="AF30" s="198">
        <f>ROUND(N(data!AE87), 0)</f>
        <v>17350697</v>
      </c>
      <c r="AG30" s="198">
        <f>ROUND(N(data!AE90), 0)</f>
        <v>18417</v>
      </c>
      <c r="AH30" s="198">
        <f>ROUND(N(data!AE91), 0)</f>
        <v>0</v>
      </c>
      <c r="AI30" s="198">
        <f>ROUND(N(data!AE92), 0)</f>
        <v>2351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164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164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122728</v>
      </c>
      <c r="F32" s="271">
        <f>ROUND(N(data!AG60), 2)</f>
        <v>114.03</v>
      </c>
      <c r="G32" s="198">
        <f>ROUND(N(data!AG61), 0)</f>
        <v>14464305</v>
      </c>
      <c r="H32" s="198">
        <f>ROUND(N(data!AG62), 0)</f>
        <v>3029548</v>
      </c>
      <c r="I32" s="198">
        <f>ROUND(N(data!AG63), 0)</f>
        <v>312506</v>
      </c>
      <c r="J32" s="198">
        <f>ROUND(N(data!AG64), 0)</f>
        <v>1792989</v>
      </c>
      <c r="K32" s="198">
        <f>ROUND(N(data!AG65), 0)</f>
        <v>1065</v>
      </c>
      <c r="L32" s="198">
        <f>ROUND(N(data!AG66), 0)</f>
        <v>361423</v>
      </c>
      <c r="M32" s="198">
        <f>ROUND(N(data!AG67), 0)</f>
        <v>1728167</v>
      </c>
      <c r="N32" s="198">
        <f>ROUND(N(data!AG68), 0)</f>
        <v>63321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6502</v>
      </c>
      <c r="AE32" s="198">
        <f>ROUND(N(data!AG89), 0)</f>
        <v>215316006</v>
      </c>
      <c r="AF32" s="198">
        <f>ROUND(N(data!AG87), 0)</f>
        <v>58807518</v>
      </c>
      <c r="AG32" s="198">
        <f>ROUND(N(data!AG90), 0)</f>
        <v>55397</v>
      </c>
      <c r="AH32" s="198">
        <f>ROUND(N(data!AG91), 0)</f>
        <v>3882</v>
      </c>
      <c r="AI32" s="198">
        <f>ROUND(N(data!AG92), 0)</f>
        <v>7070</v>
      </c>
      <c r="AJ32" s="198">
        <f>ROUND(N(data!AG93), 0)</f>
        <v>0</v>
      </c>
      <c r="AK32" s="271">
        <f>ROUND(N(data!AG94), 2)</f>
        <v>71.010000000000005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164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164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164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287736</v>
      </c>
      <c r="F35" s="271">
        <f>ROUND(N(data!AJ60), 2)</f>
        <v>529.80999999999995</v>
      </c>
      <c r="G35" s="198">
        <f>ROUND(N(data!AJ61), 0)</f>
        <v>99732952</v>
      </c>
      <c r="H35" s="198">
        <f>ROUND(N(data!AJ62), 0)</f>
        <v>17621748</v>
      </c>
      <c r="I35" s="198">
        <f>ROUND(N(data!AJ63), 0)</f>
        <v>1148436</v>
      </c>
      <c r="J35" s="198">
        <f>ROUND(N(data!AJ64), 0)</f>
        <v>7409966</v>
      </c>
      <c r="K35" s="198">
        <f>ROUND(N(data!AJ65), 0)</f>
        <v>163258</v>
      </c>
      <c r="L35" s="198">
        <f>ROUND(N(data!AJ66), 0)</f>
        <v>1206477</v>
      </c>
      <c r="M35" s="198">
        <f>ROUND(N(data!AJ67), 0)</f>
        <v>3045720</v>
      </c>
      <c r="N35" s="198">
        <f>ROUND(N(data!AJ68), 0)</f>
        <v>244821</v>
      </c>
      <c r="O35" s="198">
        <f>ROUND(N(data!AJ69), 0)</f>
        <v>815710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815710</v>
      </c>
      <c r="AB35" s="198">
        <f>ROUND(N(data!AJ82), 0)</f>
        <v>0</v>
      </c>
      <c r="AC35" s="198">
        <f>ROUND(N(data!AJ83), 0)</f>
        <v>0</v>
      </c>
      <c r="AD35" s="198">
        <f>ROUND(N(data!AJ84), 0)</f>
        <v>800463</v>
      </c>
      <c r="AE35" s="198">
        <f>ROUND(N(data!AJ89), 0)</f>
        <v>295058173</v>
      </c>
      <c r="AF35" s="198">
        <f>ROUND(N(data!AJ87), 0)</f>
        <v>35415968</v>
      </c>
      <c r="AG35" s="198">
        <f>ROUND(N(data!AJ90), 0)</f>
        <v>157172</v>
      </c>
      <c r="AH35" s="198">
        <f>ROUND(N(data!AJ91), 0)</f>
        <v>0</v>
      </c>
      <c r="AI35" s="198">
        <f>ROUND(N(data!AJ92), 0)</f>
        <v>20060</v>
      </c>
      <c r="AJ35" s="198">
        <f>ROUND(N(data!AJ93), 0)</f>
        <v>0</v>
      </c>
      <c r="AK35" s="271">
        <f>ROUND(N(data!AJ94), 2)</f>
        <v>60.58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164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756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164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164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164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164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164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403281</v>
      </c>
      <c r="F41" s="271">
        <f>ROUND(N(data!AP60), 2)</f>
        <v>405.4</v>
      </c>
      <c r="G41" s="198">
        <f>ROUND(N(data!AP61), 0)</f>
        <v>60811198</v>
      </c>
      <c r="H41" s="198">
        <f>ROUND(N(data!AP62), 0)</f>
        <v>12137748</v>
      </c>
      <c r="I41" s="198">
        <f>ROUND(N(data!AP63), 0)</f>
        <v>7776525</v>
      </c>
      <c r="J41" s="198">
        <f>ROUND(N(data!AP64), 0)</f>
        <v>10211428</v>
      </c>
      <c r="K41" s="198">
        <f>ROUND(N(data!AP65), 0)</f>
        <v>182000</v>
      </c>
      <c r="L41" s="198">
        <f>ROUND(N(data!AP66), 0)</f>
        <v>1690429</v>
      </c>
      <c r="M41" s="198">
        <f>ROUND(N(data!AP67), 0)</f>
        <v>7717249</v>
      </c>
      <c r="N41" s="198">
        <f>ROUND(N(data!AP68), 0)</f>
        <v>2363414</v>
      </c>
      <c r="O41" s="198">
        <f>ROUND(N(data!AP69), 0)</f>
        <v>1079277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1079277</v>
      </c>
      <c r="AB41" s="198">
        <f>ROUND(N(data!AP82), 0)</f>
        <v>0</v>
      </c>
      <c r="AC41" s="198">
        <f>ROUND(N(data!AP83), 0)</f>
        <v>0</v>
      </c>
      <c r="AD41" s="198">
        <f>ROUND(N(data!AP84), 0)</f>
        <v>582996</v>
      </c>
      <c r="AE41" s="198">
        <f>ROUND(N(data!AP89), 0)</f>
        <v>178039473</v>
      </c>
      <c r="AF41" s="198">
        <f>ROUND(N(data!AP87), 0)</f>
        <v>5103914</v>
      </c>
      <c r="AG41" s="198">
        <f>ROUND(N(data!AP90), 0)</f>
        <v>46010</v>
      </c>
      <c r="AH41" s="198">
        <f>ROUND(N(data!AP91), 0)</f>
        <v>0</v>
      </c>
      <c r="AI41" s="198">
        <f>ROUND(N(data!AP92), 0)</f>
        <v>5872</v>
      </c>
      <c r="AJ41" s="198">
        <f>ROUND(N(data!AP93), 0)</f>
        <v>0</v>
      </c>
      <c r="AK41" s="271">
        <f>ROUND(N(data!AP94), 2)</f>
        <v>18.420000000000002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164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164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338462</v>
      </c>
      <c r="F43" s="271">
        <f>ROUND(N(data!AR60), 2)</f>
        <v>486.11</v>
      </c>
      <c r="G43" s="198">
        <f>ROUND(N(data!AR61), 0)</f>
        <v>61262478</v>
      </c>
      <c r="H43" s="198">
        <f>ROUND(N(data!AR62), 0)</f>
        <v>14496222</v>
      </c>
      <c r="I43" s="198">
        <f>ROUND(N(data!AR63), 0)</f>
        <v>19520</v>
      </c>
      <c r="J43" s="198">
        <f>ROUND(N(data!AR64), 0)</f>
        <v>3655066</v>
      </c>
      <c r="K43" s="198">
        <f>ROUND(N(data!AR65), 0)</f>
        <v>254601</v>
      </c>
      <c r="L43" s="198">
        <f>ROUND(N(data!AR66), 0)</f>
        <v>2773188</v>
      </c>
      <c r="M43" s="198">
        <f>ROUND(N(data!AR67), 0)</f>
        <v>544058</v>
      </c>
      <c r="N43" s="198">
        <f>ROUND(N(data!AR68), 0)</f>
        <v>1024094</v>
      </c>
      <c r="O43" s="198">
        <f>ROUND(N(data!AR69), 0)</f>
        <v>69087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69087</v>
      </c>
      <c r="AB43" s="198">
        <f>ROUND(N(data!AR82), 0)</f>
        <v>0</v>
      </c>
      <c r="AC43" s="198">
        <f>ROUND(N(data!AR83), 0)</f>
        <v>0</v>
      </c>
      <c r="AD43" s="198">
        <f>ROUND(N(data!AR84), 0)</f>
        <v>1251519</v>
      </c>
      <c r="AE43" s="198">
        <f>ROUND(N(data!AR89), 0)</f>
        <v>171359390</v>
      </c>
      <c r="AF43" s="198">
        <f>ROUND(N(data!AR87), 0)</f>
        <v>-6853</v>
      </c>
      <c r="AG43" s="198">
        <f>ROUND(N(data!AR90), 0)</f>
        <v>295</v>
      </c>
      <c r="AH43" s="198">
        <f>ROUND(N(data!AR91), 0)</f>
        <v>0</v>
      </c>
      <c r="AI43" s="198">
        <f>ROUND(N(data!AR92), 0)</f>
        <v>38</v>
      </c>
      <c r="AJ43" s="198">
        <f>ROUND(N(data!AR93), 0)</f>
        <v>0</v>
      </c>
      <c r="AK43" s="271">
        <f>ROUND(N(data!AR94), 2)</f>
        <v>171.28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164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164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164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164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26</v>
      </c>
      <c r="G47" s="198">
        <f>ROUND(N(data!AV61), 0)</f>
        <v>3771554</v>
      </c>
      <c r="H47" s="198">
        <f>ROUND(N(data!AV62), 0)</f>
        <v>808522</v>
      </c>
      <c r="I47" s="198">
        <f>ROUND(N(data!AV63), 0)</f>
        <v>0</v>
      </c>
      <c r="J47" s="198">
        <f>ROUND(N(data!AV64), 0)</f>
        <v>18220031</v>
      </c>
      <c r="K47" s="198">
        <f>ROUND(N(data!AV65), 0)</f>
        <v>2618</v>
      </c>
      <c r="L47" s="198">
        <f>ROUND(N(data!AV66), 0)</f>
        <v>450575</v>
      </c>
      <c r="M47" s="198">
        <f>ROUND(N(data!AV67), 0)</f>
        <v>238668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6831</v>
      </c>
      <c r="AE47" s="198">
        <f>ROUND(N(data!AV89), 0)</f>
        <v>27091796</v>
      </c>
      <c r="AF47" s="198">
        <f>ROUND(N(data!AV87), 0)</f>
        <v>5305651</v>
      </c>
      <c r="AG47" s="198">
        <f>ROUND(N(data!AV90), 0)</f>
        <v>13159</v>
      </c>
      <c r="AH47" s="198">
        <f>ROUND(N(data!AV91), 0)</f>
        <v>0</v>
      </c>
      <c r="AI47" s="198">
        <f>ROUND(N(data!AV92), 0)</f>
        <v>1680</v>
      </c>
      <c r="AJ47" s="198">
        <f>ROUND(N(data!AV93), 0)</f>
        <v>0</v>
      </c>
      <c r="AK47" s="271">
        <f>ROUND(N(data!AV94), 2)</f>
        <v>52.86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164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20.36</v>
      </c>
      <c r="G48" s="198">
        <f>ROUND(N(data!AW61), 0)</f>
        <v>2048392</v>
      </c>
      <c r="H48" s="198">
        <f>ROUND(N(data!AW62), 0)</f>
        <v>483064</v>
      </c>
      <c r="I48" s="198">
        <f>ROUND(N(data!AW63), 0)</f>
        <v>368408</v>
      </c>
      <c r="J48" s="198">
        <f>ROUND(N(data!AW64), 0)</f>
        <v>56772</v>
      </c>
      <c r="K48" s="198">
        <f>ROUND(N(data!AW65), 0)</f>
        <v>1594</v>
      </c>
      <c r="L48" s="198">
        <f>ROUND(N(data!AW66), 0)</f>
        <v>124472</v>
      </c>
      <c r="M48" s="198">
        <f>ROUND(N(data!AW67), 0)</f>
        <v>22807</v>
      </c>
      <c r="N48" s="198">
        <f>ROUND(N(data!AW68), 0)</f>
        <v>0</v>
      </c>
      <c r="O48" s="198">
        <f>ROUND(N(data!AW69), 0)</f>
        <v>-598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-598</v>
      </c>
      <c r="AB48" s="198">
        <f>ROUND(N(data!AW82), 0)</f>
        <v>0</v>
      </c>
      <c r="AC48" s="198">
        <f>ROUND(N(data!AW83), 0)</f>
        <v>0</v>
      </c>
      <c r="AD48" s="198">
        <f>ROUND(N(data!AW84), 0)</f>
        <v>35181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164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231311</v>
      </c>
      <c r="K49" s="198">
        <f>ROUND(N(data!AX65), 0)</f>
        <v>5201</v>
      </c>
      <c r="L49" s="198">
        <f>ROUND(N(data!AX66), 0)</f>
        <v>991750</v>
      </c>
      <c r="M49" s="198">
        <f>ROUND(N(data!AX67), 0)</f>
        <v>337100</v>
      </c>
      <c r="N49" s="198">
        <f>ROUND(N(data!AX68), 0)</f>
        <v>1222494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35643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164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0</v>
      </c>
      <c r="F50" s="271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0</v>
      </c>
      <c r="K50" s="198">
        <f>ROUND(N(data!AY65), 0)</f>
        <v>0</v>
      </c>
      <c r="L50" s="198">
        <f>ROUND(N(data!AY66), 0)</f>
        <v>0</v>
      </c>
      <c r="M50" s="198">
        <f>ROUND(N(data!AY67), 0)</f>
        <v>0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164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820142</v>
      </c>
      <c r="F51" s="271">
        <f>ROUND(N(data!AZ60), 2)</f>
        <v>65.37</v>
      </c>
      <c r="G51" s="198">
        <f>ROUND(N(data!AZ61), 0)</f>
        <v>4205035</v>
      </c>
      <c r="H51" s="198">
        <f>ROUND(N(data!AZ62), 0)</f>
        <v>1305274</v>
      </c>
      <c r="I51" s="198">
        <f>ROUND(N(data!AZ63), 0)</f>
        <v>51</v>
      </c>
      <c r="J51" s="198">
        <f>ROUND(N(data!AZ64), 0)</f>
        <v>2110796</v>
      </c>
      <c r="K51" s="198">
        <f>ROUND(N(data!AZ65), 0)</f>
        <v>0</v>
      </c>
      <c r="L51" s="198">
        <f>ROUND(N(data!AZ66), 0)</f>
        <v>464247</v>
      </c>
      <c r="M51" s="198">
        <f>ROUND(N(data!AZ67), 0)</f>
        <v>717308</v>
      </c>
      <c r="N51" s="198">
        <f>ROUND(N(data!AZ68), 0)</f>
        <v>12306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-28</v>
      </c>
      <c r="AE51" s="198">
        <f>ROUND(N(data!AZ89), 0)</f>
        <v>0</v>
      </c>
      <c r="AF51" s="198">
        <f>ROUND(N(data!AZ87), 0)</f>
        <v>0</v>
      </c>
      <c r="AG51" s="198">
        <f>ROUND(N(data!AZ90), 0)</f>
        <v>19828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164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4.4400000000000004</v>
      </c>
      <c r="G52" s="198">
        <f>ROUND(N(data!BA61), 0)</f>
        <v>269100</v>
      </c>
      <c r="H52" s="198">
        <f>ROUND(N(data!BA62), 0)</f>
        <v>94689</v>
      </c>
      <c r="I52" s="198">
        <f>ROUND(N(data!BA63), 0)</f>
        <v>0</v>
      </c>
      <c r="J52" s="198">
        <f>ROUND(N(data!BA64), 0)</f>
        <v>4443</v>
      </c>
      <c r="K52" s="198">
        <f>ROUND(N(data!BA65), 0)</f>
        <v>0</v>
      </c>
      <c r="L52" s="198">
        <f>ROUND(N(data!BA66), 0)</f>
        <v>0</v>
      </c>
      <c r="M52" s="198">
        <f>ROUND(N(data!BA67), 0)</f>
        <v>4152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1010</v>
      </c>
      <c r="AH52" s="198">
        <f>ROUND(N(data!BA91), 0)</f>
        <v>0</v>
      </c>
      <c r="AI52" s="198">
        <f>ROUND(N(data!BA92), 0)</f>
        <v>129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164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0.26</v>
      </c>
      <c r="G53" s="198">
        <f>ROUND(N(data!BB61), 0)</f>
        <v>42703</v>
      </c>
      <c r="H53" s="198">
        <f>ROUND(N(data!BB62), 0)</f>
        <v>213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615516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164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8.17</v>
      </c>
      <c r="G54" s="198">
        <f>ROUND(N(data!BC61), 0)</f>
        <v>442483</v>
      </c>
      <c r="H54" s="198">
        <f>ROUND(N(data!BC62), 0)</f>
        <v>86270</v>
      </c>
      <c r="I54" s="198">
        <f>ROUND(N(data!BC63), 0)</f>
        <v>0</v>
      </c>
      <c r="J54" s="198">
        <f>ROUND(N(data!BC64), 0)</f>
        <v>5841</v>
      </c>
      <c r="K54" s="198">
        <f>ROUND(N(data!BC65), 0)</f>
        <v>0</v>
      </c>
      <c r="L54" s="198">
        <f>ROUND(N(data!BC66), 0)</f>
        <v>29</v>
      </c>
      <c r="M54" s="198">
        <f>ROUND(N(data!BC67), 0)</f>
        <v>6854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164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38.729999999999997</v>
      </c>
      <c r="G55" s="198">
        <f>ROUND(N(data!BD61), 0)</f>
        <v>2980690</v>
      </c>
      <c r="H55" s="198">
        <f>ROUND(N(data!BD62), 0)</f>
        <v>883804</v>
      </c>
      <c r="I55" s="198">
        <f>ROUND(N(data!BD63), 0)</f>
        <v>0</v>
      </c>
      <c r="J55" s="198">
        <f>ROUND(N(data!BD64), 0)</f>
        <v>20863</v>
      </c>
      <c r="K55" s="198">
        <f>ROUND(N(data!BD65), 0)</f>
        <v>981</v>
      </c>
      <c r="L55" s="198">
        <f>ROUND(N(data!BD66), 0)</f>
        <v>-46911</v>
      </c>
      <c r="M55" s="198">
        <f>ROUND(N(data!BD67), 0)</f>
        <v>256353</v>
      </c>
      <c r="N55" s="198">
        <f>ROUND(N(data!BD68), 0)</f>
        <v>10995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111061</v>
      </c>
      <c r="AE55" s="198">
        <f>ROUND(N(data!BD89), 0)</f>
        <v>0</v>
      </c>
      <c r="AF55" s="198">
        <f>ROUND(N(data!BD87), 0)</f>
        <v>0</v>
      </c>
      <c r="AG55" s="198">
        <f>ROUND(N(data!BD90), 0)</f>
        <v>7426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164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642562</v>
      </c>
      <c r="F56" s="271">
        <f>ROUND(N(data!BE60), 2)</f>
        <v>52.83</v>
      </c>
      <c r="G56" s="198">
        <f>ROUND(N(data!BE61), 0)</f>
        <v>4521634</v>
      </c>
      <c r="H56" s="198">
        <f>ROUND(N(data!BE62), 0)</f>
        <v>1267303</v>
      </c>
      <c r="I56" s="198">
        <f>ROUND(N(data!BE63), 0)</f>
        <v>11421</v>
      </c>
      <c r="J56" s="198">
        <f>ROUND(N(data!BE64), 0)</f>
        <v>706522</v>
      </c>
      <c r="K56" s="198">
        <f>ROUND(N(data!BE65), 0)</f>
        <v>5209900</v>
      </c>
      <c r="L56" s="198">
        <f>ROUND(N(data!BE66), 0)</f>
        <v>3102907</v>
      </c>
      <c r="M56" s="198">
        <f>ROUND(N(data!BE67), 0)</f>
        <v>8065460</v>
      </c>
      <c r="N56" s="198">
        <f>ROUND(N(data!BE68), 0)</f>
        <v>1288505</v>
      </c>
      <c r="O56" s="198">
        <f>ROUND(N(data!BE69), 0)</f>
        <v>146683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146683</v>
      </c>
      <c r="AB56" s="198">
        <f>ROUND(N(data!BE82), 0)</f>
        <v>0</v>
      </c>
      <c r="AC56" s="198">
        <f>ROUND(N(data!BE83), 0)</f>
        <v>0</v>
      </c>
      <c r="AD56" s="198">
        <f>ROUND(N(data!BE84), 0)</f>
        <v>33711</v>
      </c>
      <c r="AE56" s="198">
        <f>ROUND(N(data!BE89), 0)</f>
        <v>0</v>
      </c>
      <c r="AF56" s="198">
        <f>ROUND(N(data!BE87), 0)</f>
        <v>0</v>
      </c>
      <c r="AG56" s="198">
        <f>ROUND(N(data!BE90), 0)</f>
        <v>642562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164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97.87</v>
      </c>
      <c r="G57" s="198">
        <f>ROUND(N(data!BF61), 0)</f>
        <v>6000283</v>
      </c>
      <c r="H57" s="198">
        <f>ROUND(N(data!BF62), 0)</f>
        <v>1991486</v>
      </c>
      <c r="I57" s="198">
        <f>ROUND(N(data!BF63), 0)</f>
        <v>0</v>
      </c>
      <c r="J57" s="198">
        <f>ROUND(N(data!BF64), 0)</f>
        <v>440446</v>
      </c>
      <c r="K57" s="198">
        <f>ROUND(N(data!BF65), 0)</f>
        <v>764114</v>
      </c>
      <c r="L57" s="198">
        <f>ROUND(N(data!BF66), 0)</f>
        <v>-1178762</v>
      </c>
      <c r="M57" s="198">
        <f>ROUND(N(data!BF67), 0)</f>
        <v>53412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165</v>
      </c>
      <c r="AE57" s="198">
        <f>ROUND(N(data!BF89), 0)</f>
        <v>0</v>
      </c>
      <c r="AF57" s="198">
        <f>ROUND(N(data!BF87), 0)</f>
        <v>0</v>
      </c>
      <c r="AG57" s="198">
        <f>ROUND(N(data!BF90), 0)</f>
        <v>9869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164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65.33</v>
      </c>
      <c r="G58" s="198">
        <f>ROUND(N(data!BG61), 0)</f>
        <v>6326634</v>
      </c>
      <c r="H58" s="198">
        <f>ROUND(N(data!BG62), 0)</f>
        <v>1549445</v>
      </c>
      <c r="I58" s="198">
        <f>ROUND(N(data!BG63), 0)</f>
        <v>0</v>
      </c>
      <c r="J58" s="198">
        <f>ROUND(N(data!BG64), 0)</f>
        <v>1870697</v>
      </c>
      <c r="K58" s="198">
        <f>ROUND(N(data!BG65), 0)</f>
        <v>1842632</v>
      </c>
      <c r="L58" s="198">
        <f>ROUND(N(data!BG66), 0)</f>
        <v>3671300</v>
      </c>
      <c r="M58" s="198">
        <f>ROUND(N(data!BG67), 0)</f>
        <v>2075184</v>
      </c>
      <c r="N58" s="198">
        <f>ROUND(N(data!BG68), 0)</f>
        <v>14132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46705</v>
      </c>
      <c r="AE58" s="198">
        <f>ROUND(N(data!BG89), 0)</f>
        <v>0</v>
      </c>
      <c r="AF58" s="198">
        <f>ROUND(N(data!BG87), 0)</f>
        <v>0</v>
      </c>
      <c r="AG58" s="198">
        <f>ROUND(N(data!BG90), 0)</f>
        <v>5123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164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113.53</v>
      </c>
      <c r="G59" s="198">
        <f>ROUND(N(data!BH61), 0)</f>
        <v>16466713</v>
      </c>
      <c r="H59" s="198">
        <f>ROUND(N(data!BH62), 0)</f>
        <v>3612985</v>
      </c>
      <c r="I59" s="198">
        <f>ROUND(N(data!BH63), 0)</f>
        <v>0</v>
      </c>
      <c r="J59" s="198">
        <f>ROUND(N(data!BH64), 0)</f>
        <v>179691</v>
      </c>
      <c r="K59" s="198">
        <f>ROUND(N(data!BH65), 0)</f>
        <v>5663</v>
      </c>
      <c r="L59" s="198">
        <f>ROUND(N(data!BH66), 0)</f>
        <v>13125491</v>
      </c>
      <c r="M59" s="198">
        <f>ROUND(N(data!BH67), 0)</f>
        <v>13951701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102620</v>
      </c>
      <c r="AE59" s="198">
        <f>ROUND(N(data!BH89), 0)</f>
        <v>0</v>
      </c>
      <c r="AF59" s="198">
        <f>ROUND(N(data!BH87), 0)</f>
        <v>0</v>
      </c>
      <c r="AG59" s="198">
        <f>ROUND(N(data!BH90), 0)</f>
        <v>22722</v>
      </c>
      <c r="AH59" s="198">
        <f>ROUND(N(data!BH91), 0)</f>
        <v>0</v>
      </c>
      <c r="AI59" s="198">
        <f>ROUND(N(data!BH92), 0)</f>
        <v>2900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164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16.809999999999999</v>
      </c>
      <c r="G60" s="198">
        <f>ROUND(N(data!BI61), 0)</f>
        <v>2182716</v>
      </c>
      <c r="H60" s="198">
        <f>ROUND(N(data!BI62), 0)</f>
        <v>504935</v>
      </c>
      <c r="I60" s="198">
        <f>ROUND(N(data!BI63), 0)</f>
        <v>441857</v>
      </c>
      <c r="J60" s="198">
        <f>ROUND(N(data!BI64), 0)</f>
        <v>16616</v>
      </c>
      <c r="K60" s="198">
        <f>ROUND(N(data!BI65), 0)</f>
        <v>1523</v>
      </c>
      <c r="L60" s="198">
        <f>ROUND(N(data!BI66), 0)</f>
        <v>388431</v>
      </c>
      <c r="M60" s="198">
        <f>ROUND(N(data!BI67), 0)</f>
        <v>882247</v>
      </c>
      <c r="N60" s="198">
        <f>ROUND(N(data!BI68), 0)</f>
        <v>361595</v>
      </c>
      <c r="O60" s="198">
        <f>ROUND(N(data!BI69), 0)</f>
        <v>424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424</v>
      </c>
      <c r="AB60" s="198">
        <f>ROUND(N(data!BI82), 0)</f>
        <v>0</v>
      </c>
      <c r="AC60" s="198">
        <f>ROUND(N(data!BI83), 0)</f>
        <v>0</v>
      </c>
      <c r="AD60" s="198">
        <f>ROUND(N(data!BI84), 0)</f>
        <v>21825</v>
      </c>
      <c r="AE60" s="198">
        <f>ROUND(N(data!BI89), 0)</f>
        <v>0</v>
      </c>
      <c r="AF60" s="198">
        <f>ROUND(N(data!BI87), 0)</f>
        <v>0</v>
      </c>
      <c r="AG60" s="198">
        <f>ROUND(N(data!BI90), 0)</f>
        <v>25566</v>
      </c>
      <c r="AH60" s="198">
        <f>ROUND(N(data!BI91), 0)</f>
        <v>0</v>
      </c>
      <c r="AI60" s="198">
        <f>ROUND(N(data!BI92), 0)</f>
        <v>3263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164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21.02</v>
      </c>
      <c r="G61" s="198">
        <f>ROUND(N(data!BJ61), 0)</f>
        <v>2108364</v>
      </c>
      <c r="H61" s="198">
        <f>ROUND(N(data!BJ62), 0)</f>
        <v>545857</v>
      </c>
      <c r="I61" s="198">
        <f>ROUND(N(data!BJ63), 0)</f>
        <v>367031</v>
      </c>
      <c r="J61" s="198">
        <f>ROUND(N(data!BJ64), 0)</f>
        <v>14688</v>
      </c>
      <c r="K61" s="198">
        <f>ROUND(N(data!BJ65), 0)</f>
        <v>76</v>
      </c>
      <c r="L61" s="198">
        <f>ROUND(N(data!BJ66), 0)</f>
        <v>60812</v>
      </c>
      <c r="M61" s="198">
        <f>ROUND(N(data!BJ67), 0)</f>
        <v>32107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2040</v>
      </c>
      <c r="AE61" s="198">
        <f>ROUND(N(data!BJ89), 0)</f>
        <v>0</v>
      </c>
      <c r="AF61" s="198">
        <f>ROUND(N(data!BJ87), 0)</f>
        <v>0</v>
      </c>
      <c r="AG61" s="198">
        <f>ROUND(N(data!BJ90), 0)</f>
        <v>4555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164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71.91</v>
      </c>
      <c r="G62" s="198">
        <f>ROUND(N(data!BK61), 0)</f>
        <v>5123113</v>
      </c>
      <c r="H62" s="198">
        <f>ROUND(N(data!BK62), 0)</f>
        <v>1555180</v>
      </c>
      <c r="I62" s="198">
        <f>ROUND(N(data!BK63), 0)</f>
        <v>134821</v>
      </c>
      <c r="J62" s="198">
        <f>ROUND(N(data!BK64), 0)</f>
        <v>17360</v>
      </c>
      <c r="K62" s="198">
        <f>ROUND(N(data!BK65), 0)</f>
        <v>0</v>
      </c>
      <c r="L62" s="198">
        <f>ROUND(N(data!BK66), 0)</f>
        <v>4985044</v>
      </c>
      <c r="M62" s="198">
        <f>ROUND(N(data!BK67), 0)</f>
        <v>23487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674</v>
      </c>
      <c r="AE62" s="198">
        <f>ROUND(N(data!BK89), 0)</f>
        <v>0</v>
      </c>
      <c r="AF62" s="198">
        <f>ROUND(N(data!BK87), 0)</f>
        <v>0</v>
      </c>
      <c r="AG62" s="198">
        <f>ROUND(N(data!BK90), 0)</f>
        <v>14669</v>
      </c>
      <c r="AH62" s="198">
        <f>ROUND(N(data!BK91), 0)</f>
        <v>0</v>
      </c>
      <c r="AI62" s="198">
        <f>ROUND(N(data!BK92), 0)</f>
        <v>1872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164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104.32</v>
      </c>
      <c r="G63" s="198">
        <f>ROUND(N(data!BL61), 0)</f>
        <v>7223495</v>
      </c>
      <c r="H63" s="198">
        <f>ROUND(N(data!BL62), 0)</f>
        <v>2180502</v>
      </c>
      <c r="I63" s="198">
        <f>ROUND(N(data!BL63), 0)</f>
        <v>0</v>
      </c>
      <c r="J63" s="198">
        <f>ROUND(N(data!BL64), 0)</f>
        <v>68199</v>
      </c>
      <c r="K63" s="198">
        <f>ROUND(N(data!BL65), 0)</f>
        <v>478</v>
      </c>
      <c r="L63" s="198">
        <f>ROUND(N(data!BL66), 0)</f>
        <v>214520</v>
      </c>
      <c r="M63" s="198">
        <f>ROUND(N(data!BL67), 0)</f>
        <v>23798</v>
      </c>
      <c r="N63" s="198">
        <f>ROUND(N(data!BL68), 0)</f>
        <v>1656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1467</v>
      </c>
      <c r="AE63" s="198">
        <f>ROUND(N(data!BL89), 0)</f>
        <v>0</v>
      </c>
      <c r="AF63" s="198">
        <f>ROUND(N(data!BL87), 0)</f>
        <v>0</v>
      </c>
      <c r="AG63" s="198">
        <f>ROUND(N(data!BL90), 0)</f>
        <v>5222</v>
      </c>
      <c r="AH63" s="198">
        <f>ROUND(N(data!BL91), 0)</f>
        <v>0</v>
      </c>
      <c r="AI63" s="198">
        <f>ROUND(N(data!BL92), 0)</f>
        <v>666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164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48.63</v>
      </c>
      <c r="G64" s="198">
        <f>ROUND(N(data!BM61), 0)</f>
        <v>4659924</v>
      </c>
      <c r="H64" s="198">
        <f>ROUND(N(data!BM62), 0)</f>
        <v>1277298</v>
      </c>
      <c r="I64" s="198">
        <f>ROUND(N(data!BM63), 0)</f>
        <v>269142</v>
      </c>
      <c r="J64" s="198">
        <f>ROUND(N(data!BM64), 0)</f>
        <v>13020</v>
      </c>
      <c r="K64" s="198">
        <f>ROUND(N(data!BM65), 0)</f>
        <v>50</v>
      </c>
      <c r="L64" s="198">
        <f>ROUND(N(data!BM66), 0)</f>
        <v>1207305</v>
      </c>
      <c r="M64" s="198">
        <f>ROUND(N(data!BM67), 0)</f>
        <v>4947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52318</v>
      </c>
      <c r="AE64" s="198">
        <f>ROUND(N(data!BM89), 0)</f>
        <v>0</v>
      </c>
      <c r="AF64" s="198">
        <f>ROUND(N(data!BM87), 0)</f>
        <v>0</v>
      </c>
      <c r="AG64" s="198">
        <f>ROUND(N(data!BM90), 0)</f>
        <v>5020</v>
      </c>
      <c r="AH64" s="198">
        <f>ROUND(N(data!BM91), 0)</f>
        <v>0</v>
      </c>
      <c r="AI64" s="198">
        <f>ROUND(N(data!BM92), 0)</f>
        <v>641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164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23.04</v>
      </c>
      <c r="G65" s="198">
        <f>ROUND(N(data!BN61), 0)</f>
        <v>6342713</v>
      </c>
      <c r="H65" s="198">
        <f>ROUND(N(data!BN62), 0)</f>
        <v>1444725</v>
      </c>
      <c r="I65" s="198">
        <f>ROUND(N(data!BN63), 0)</f>
        <v>1746059</v>
      </c>
      <c r="J65" s="198">
        <f>ROUND(N(data!BN64), 0)</f>
        <v>14908</v>
      </c>
      <c r="K65" s="198">
        <f>ROUND(N(data!BN65), 0)</f>
        <v>0</v>
      </c>
      <c r="L65" s="198">
        <f>ROUND(N(data!BN66), 0)</f>
        <v>122488</v>
      </c>
      <c r="M65" s="198">
        <f>ROUND(N(data!BN67), 0)</f>
        <v>295008</v>
      </c>
      <c r="N65" s="198">
        <f>ROUND(N(data!BN68), 0)</f>
        <v>0</v>
      </c>
      <c r="O65" s="198">
        <f>ROUND(N(data!BN69), 0)</f>
        <v>0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0</v>
      </c>
      <c r="AD65" s="198">
        <f>ROUND(N(data!BN84), 0)</f>
        <v>847218</v>
      </c>
      <c r="AE65" s="198">
        <f>ROUND(N(data!BN89), 0)</f>
        <v>0</v>
      </c>
      <c r="AF65" s="198">
        <f>ROUND(N(data!BN87), 0)</f>
        <v>0</v>
      </c>
      <c r="AG65" s="198">
        <f>ROUND(N(data!BN90), 0)</f>
        <v>13641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164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10.17</v>
      </c>
      <c r="G66" s="198">
        <f>ROUND(N(data!BO61), 0)</f>
        <v>1383923</v>
      </c>
      <c r="H66" s="198">
        <f>ROUND(N(data!BO62), 0)</f>
        <v>316486</v>
      </c>
      <c r="I66" s="198">
        <f>ROUND(N(data!BO63), 0)</f>
        <v>70</v>
      </c>
      <c r="J66" s="198">
        <f>ROUND(N(data!BO64), 0)</f>
        <v>170220</v>
      </c>
      <c r="K66" s="198">
        <f>ROUND(N(data!BO65), 0)</f>
        <v>0</v>
      </c>
      <c r="L66" s="198">
        <f>ROUND(N(data!BO66), 0)</f>
        <v>117978</v>
      </c>
      <c r="M66" s="198">
        <f>ROUND(N(data!BO67), 0)</f>
        <v>67025</v>
      </c>
      <c r="N66" s="198">
        <f>ROUND(N(data!BO68), 0)</f>
        <v>0</v>
      </c>
      <c r="O66" s="198">
        <f>ROUND(N(data!BO69), 0)</f>
        <v>50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50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7652</v>
      </c>
      <c r="AE66" s="198">
        <f>ROUND(N(data!BO89), 0)</f>
        <v>0</v>
      </c>
      <c r="AF66" s="198">
        <f>ROUND(N(data!BO87), 0)</f>
        <v>0</v>
      </c>
      <c r="AG66" s="198">
        <f>ROUND(N(data!BO90), 0)</f>
        <v>2355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164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11.05</v>
      </c>
      <c r="G67" s="198">
        <f>ROUND(N(data!BP61), 0)</f>
        <v>1433655</v>
      </c>
      <c r="H67" s="198">
        <f>ROUND(N(data!BP62), 0)</f>
        <v>399357</v>
      </c>
      <c r="I67" s="198">
        <f>ROUND(N(data!BP63), 0)</f>
        <v>0</v>
      </c>
      <c r="J67" s="198">
        <f>ROUND(N(data!BP64), 0)</f>
        <v>54055</v>
      </c>
      <c r="K67" s="198">
        <f>ROUND(N(data!BP65), 0)</f>
        <v>667</v>
      </c>
      <c r="L67" s="198">
        <f>ROUND(N(data!BP66), 0)</f>
        <v>3496829</v>
      </c>
      <c r="M67" s="198">
        <f>ROUND(N(data!BP67), 0)</f>
        <v>356330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14977</v>
      </c>
      <c r="AE67" s="198">
        <f>ROUND(N(data!BP89), 0)</f>
        <v>0</v>
      </c>
      <c r="AF67" s="198">
        <f>ROUND(N(data!BP87), 0)</f>
        <v>0</v>
      </c>
      <c r="AG67" s="198">
        <f>ROUND(N(data!BP90), 0)</f>
        <v>2797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164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4.25</v>
      </c>
      <c r="G68" s="198">
        <f>ROUND(N(data!BQ61), 0)</f>
        <v>576754</v>
      </c>
      <c r="H68" s="198">
        <f>ROUND(N(data!BQ62), 0)</f>
        <v>126657</v>
      </c>
      <c r="I68" s="198">
        <f>ROUND(N(data!BQ63), 0)</f>
        <v>0</v>
      </c>
      <c r="J68" s="198">
        <f>ROUND(N(data!BQ64), 0)</f>
        <v>961</v>
      </c>
      <c r="K68" s="198">
        <f>ROUND(N(data!BQ65), 0)</f>
        <v>0</v>
      </c>
      <c r="L68" s="198">
        <f>ROUND(N(data!BQ66), 0)</f>
        <v>178</v>
      </c>
      <c r="M68" s="198">
        <f>ROUND(N(data!BQ67), 0)</f>
        <v>2726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3089</v>
      </c>
      <c r="AE68" s="198">
        <f>ROUND(N(data!BQ89), 0)</f>
        <v>0</v>
      </c>
      <c r="AF68" s="198">
        <f>ROUND(N(data!BQ87), 0)</f>
        <v>0</v>
      </c>
      <c r="AG68" s="198">
        <f>ROUND(N(data!BQ90), 0)</f>
        <v>1677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164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30.06</v>
      </c>
      <c r="G69" s="198">
        <f>ROUND(N(data!BR61), 0)</f>
        <v>3528151</v>
      </c>
      <c r="H69" s="198">
        <f>ROUND(N(data!BR62), 0)</f>
        <v>15073218</v>
      </c>
      <c r="I69" s="198">
        <f>ROUND(N(data!BR63), 0)</f>
        <v>2172243</v>
      </c>
      <c r="J69" s="198">
        <f>ROUND(N(data!BR64), 0)</f>
        <v>50757</v>
      </c>
      <c r="K69" s="198">
        <f>ROUND(N(data!BR65), 0)</f>
        <v>0</v>
      </c>
      <c r="L69" s="198">
        <f>ROUND(N(data!BR66), 0)</f>
        <v>1058741</v>
      </c>
      <c r="M69" s="198">
        <f>ROUND(N(data!BR67), 0)</f>
        <v>189492</v>
      </c>
      <c r="N69" s="198">
        <f>ROUND(N(data!BR68), 0)</f>
        <v>350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15612</v>
      </c>
      <c r="AE69" s="198">
        <f>ROUND(N(data!BR89), 0)</f>
        <v>0</v>
      </c>
      <c r="AF69" s="198">
        <f>ROUND(N(data!BR87), 0)</f>
        <v>0</v>
      </c>
      <c r="AG69" s="198">
        <f>ROUND(N(data!BR90), 0)</f>
        <v>4919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164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4.74</v>
      </c>
      <c r="G70" s="198">
        <f>ROUND(N(data!BS61), 0)</f>
        <v>344471</v>
      </c>
      <c r="H70" s="198">
        <f>ROUND(N(data!BS62), 0)</f>
        <v>91389</v>
      </c>
      <c r="I70" s="198">
        <f>ROUND(N(data!BS63), 0)</f>
        <v>0</v>
      </c>
      <c r="J70" s="198">
        <f>ROUND(N(data!BS64), 0)</f>
        <v>308088</v>
      </c>
      <c r="K70" s="198">
        <f>ROUND(N(data!BS65), 0)</f>
        <v>633</v>
      </c>
      <c r="L70" s="198">
        <f>ROUND(N(data!BS66), 0)</f>
        <v>7202</v>
      </c>
      <c r="M70" s="198">
        <f>ROUND(N(data!BS67), 0)</f>
        <v>14596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363</v>
      </c>
      <c r="AE70" s="198">
        <f>ROUND(N(data!BS89), 0)</f>
        <v>0</v>
      </c>
      <c r="AF70" s="198">
        <f>ROUND(N(data!BS87), 0)</f>
        <v>0</v>
      </c>
      <c r="AG70" s="198">
        <f>ROUND(N(data!BS90), 0)</f>
        <v>4709</v>
      </c>
      <c r="AH70" s="198">
        <f>ROUND(N(data!BS91), 0)</f>
        <v>0</v>
      </c>
      <c r="AI70" s="198">
        <f>ROUND(N(data!BS92), 0)</f>
        <v>601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164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2.3199999999999998</v>
      </c>
      <c r="G71" s="198">
        <f>ROUND(N(data!BT61), 0)</f>
        <v>205158</v>
      </c>
      <c r="H71" s="198">
        <f>ROUND(N(data!BT62), 0)</f>
        <v>49892</v>
      </c>
      <c r="I71" s="198">
        <f>ROUND(N(data!BT63), 0)</f>
        <v>0</v>
      </c>
      <c r="J71" s="198">
        <f>ROUND(N(data!BT64), 0)</f>
        <v>234</v>
      </c>
      <c r="K71" s="198">
        <f>ROUND(N(data!BT65), 0)</f>
        <v>3854</v>
      </c>
      <c r="L71" s="198">
        <f>ROUND(N(data!BT66), 0)</f>
        <v>1837</v>
      </c>
      <c r="M71" s="198">
        <f>ROUND(N(data!BT67), 0)</f>
        <v>18775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606</v>
      </c>
      <c r="AE71" s="198">
        <f>ROUND(N(data!BT89), 0)</f>
        <v>0</v>
      </c>
      <c r="AF71" s="198">
        <f>ROUND(N(data!BT87), 0)</f>
        <v>0</v>
      </c>
      <c r="AG71" s="198">
        <f>ROUND(N(data!BT90), 0)</f>
        <v>947</v>
      </c>
      <c r="AH71" s="198">
        <f>ROUND(N(data!BT91), 0)</f>
        <v>0</v>
      </c>
      <c r="AI71" s="198">
        <f>ROUND(N(data!BT92), 0)</f>
        <v>121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164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285517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164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46.75</v>
      </c>
      <c r="G73" s="198">
        <f>ROUND(N(data!BV61), 0)</f>
        <v>3535097</v>
      </c>
      <c r="H73" s="198">
        <f>ROUND(N(data!BV62), 0)</f>
        <v>1170893</v>
      </c>
      <c r="I73" s="198">
        <f>ROUND(N(data!BV63), 0)</f>
        <v>0</v>
      </c>
      <c r="J73" s="198">
        <f>ROUND(N(data!BV64), 0)</f>
        <v>9763</v>
      </c>
      <c r="K73" s="198">
        <f>ROUND(N(data!BV65), 0)</f>
        <v>0</v>
      </c>
      <c r="L73" s="198">
        <f>ROUND(N(data!BV66), 0)</f>
        <v>1238956</v>
      </c>
      <c r="M73" s="198">
        <f>ROUND(N(data!BV67), 0)</f>
        <v>49603</v>
      </c>
      <c r="N73" s="198">
        <f>ROUND(N(data!BV68), 0)</f>
        <v>16537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5939</v>
      </c>
      <c r="AE73" s="198">
        <f>ROUND(N(data!BV89), 0)</f>
        <v>0</v>
      </c>
      <c r="AF73" s="198">
        <f>ROUND(N(data!BV87), 0)</f>
        <v>0</v>
      </c>
      <c r="AG73" s="198">
        <f>ROUND(N(data!BV90), 0)</f>
        <v>15511</v>
      </c>
      <c r="AH73" s="198">
        <f>ROUND(N(data!BV91), 0)</f>
        <v>0</v>
      </c>
      <c r="AI73" s="198">
        <f>ROUND(N(data!BV92), 0)</f>
        <v>1980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164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8.18</v>
      </c>
      <c r="G74" s="198">
        <f>ROUND(N(data!BW61), 0)</f>
        <v>4044246</v>
      </c>
      <c r="H74" s="198">
        <f>ROUND(N(data!BW62), 0)</f>
        <v>207364</v>
      </c>
      <c r="I74" s="198">
        <f>ROUND(N(data!BW63), 0)</f>
        <v>1757609</v>
      </c>
      <c r="J74" s="198">
        <f>ROUND(N(data!BW64), 0)</f>
        <v>935</v>
      </c>
      <c r="K74" s="198">
        <f>ROUND(N(data!BW65), 0)</f>
        <v>0</v>
      </c>
      <c r="L74" s="198">
        <f>ROUND(N(data!BW66), 0)</f>
        <v>165847</v>
      </c>
      <c r="M74" s="198">
        <f>ROUND(N(data!BW67), 0)</f>
        <v>16209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18305</v>
      </c>
      <c r="AE74" s="198">
        <f>ROUND(N(data!BW89), 0)</f>
        <v>0</v>
      </c>
      <c r="AF74" s="198">
        <f>ROUND(N(data!BW87), 0)</f>
        <v>0</v>
      </c>
      <c r="AG74" s="198">
        <f>ROUND(N(data!BW90), 0)</f>
        <v>2218</v>
      </c>
      <c r="AH74" s="198">
        <f>ROUND(N(data!BW91), 0)</f>
        <v>0</v>
      </c>
      <c r="AI74" s="198">
        <f>ROUND(N(data!BW92), 0)</f>
        <v>283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164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57.57</v>
      </c>
      <c r="G75" s="198">
        <f>ROUND(N(data!BX61), 0)</f>
        <v>7339039</v>
      </c>
      <c r="H75" s="198">
        <f>ROUND(N(data!BX62), 0)</f>
        <v>1546489</v>
      </c>
      <c r="I75" s="198">
        <f>ROUND(N(data!BX63), 0)</f>
        <v>2049975</v>
      </c>
      <c r="J75" s="198">
        <f>ROUND(N(data!BX64), 0)</f>
        <v>48000</v>
      </c>
      <c r="K75" s="198">
        <f>ROUND(N(data!BX65), 0)</f>
        <v>610</v>
      </c>
      <c r="L75" s="198">
        <f>ROUND(N(data!BX66), 0)</f>
        <v>936341</v>
      </c>
      <c r="M75" s="198">
        <f>ROUND(N(data!BX67), 0)</f>
        <v>63708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2185686</v>
      </c>
      <c r="AE75" s="198">
        <f>ROUND(N(data!BX89), 0)</f>
        <v>0</v>
      </c>
      <c r="AF75" s="198">
        <f>ROUND(N(data!BX87), 0)</f>
        <v>0</v>
      </c>
      <c r="AG75" s="198">
        <f>ROUND(N(data!BX90), 0)</f>
        <v>3258</v>
      </c>
      <c r="AH75" s="198">
        <f>ROUND(N(data!BX91), 0)</f>
        <v>0</v>
      </c>
      <c r="AI75" s="198">
        <f>ROUND(N(data!BX92), 0)</f>
        <v>416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164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13.07</v>
      </c>
      <c r="G76" s="198">
        <f>ROUND(N(data!BY61), 0)</f>
        <v>1799972</v>
      </c>
      <c r="H76" s="198">
        <f>ROUND(N(data!BY62), 0)</f>
        <v>453584</v>
      </c>
      <c r="I76" s="198">
        <f>ROUND(N(data!BY63), 0)</f>
        <v>103754</v>
      </c>
      <c r="J76" s="198">
        <f>ROUND(N(data!BY64), 0)</f>
        <v>20758</v>
      </c>
      <c r="K76" s="198">
        <f>ROUND(N(data!BY65), 0)</f>
        <v>113</v>
      </c>
      <c r="L76" s="198">
        <f>ROUND(N(data!BY66), 0)</f>
        <v>14862</v>
      </c>
      <c r="M76" s="198">
        <f>ROUND(N(data!BY67), 0)</f>
        <v>419427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43603</v>
      </c>
      <c r="AE76" s="198">
        <f>ROUND(N(data!BY89), 0)</f>
        <v>0</v>
      </c>
      <c r="AF76" s="198">
        <f>ROUND(N(data!BY87), 0)</f>
        <v>0</v>
      </c>
      <c r="AG76" s="198">
        <f>ROUND(N(data!BY90), 0)</f>
        <v>1835</v>
      </c>
      <c r="AH76" s="198">
        <f>ROUND(N(data!BY91), 0)</f>
        <v>0</v>
      </c>
      <c r="AI76" s="198">
        <f>ROUND(N(data!BY92), 0)</f>
        <v>234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164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54.67</v>
      </c>
      <c r="G77" s="198">
        <f>ROUND(N(data!BZ61), 0)</f>
        <v>5189109</v>
      </c>
      <c r="H77" s="198">
        <f>ROUND(N(data!BZ62), 0)</f>
        <v>1452651</v>
      </c>
      <c r="I77" s="198">
        <f>ROUND(N(data!BZ63), 0)</f>
        <v>0</v>
      </c>
      <c r="J77" s="198">
        <f>ROUND(N(data!BZ64), 0)</f>
        <v>5083</v>
      </c>
      <c r="K77" s="198">
        <f>ROUND(N(data!BZ65), 0)</f>
        <v>0</v>
      </c>
      <c r="L77" s="198">
        <f>ROUND(N(data!BZ66), 0)</f>
        <v>895</v>
      </c>
      <c r="M77" s="198">
        <f>ROUND(N(data!BZ67), 0)</f>
        <v>5277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1157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164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14.35</v>
      </c>
      <c r="G78" s="198">
        <f>ROUND(N(data!CA61), 0)</f>
        <v>1804182</v>
      </c>
      <c r="H78" s="198">
        <f>ROUND(N(data!CA62), 0)</f>
        <v>397839</v>
      </c>
      <c r="I78" s="198">
        <f>ROUND(N(data!CA63), 0)</f>
        <v>0</v>
      </c>
      <c r="J78" s="198">
        <f>ROUND(N(data!CA64), 0)</f>
        <v>317965</v>
      </c>
      <c r="K78" s="198">
        <f>ROUND(N(data!CA65), 0)</f>
        <v>0</v>
      </c>
      <c r="L78" s="198">
        <f>ROUND(N(data!CA66), 0)</f>
        <v>474320</v>
      </c>
      <c r="M78" s="198">
        <f>ROUND(N(data!CA67), 0)</f>
        <v>144467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235267</v>
      </c>
      <c r="AE78" s="198">
        <f>ROUND(N(data!CA89), 0)</f>
        <v>0</v>
      </c>
      <c r="AF78" s="198">
        <f>ROUND(N(data!CA87), 0)</f>
        <v>0</v>
      </c>
      <c r="AG78" s="198">
        <f>ROUND(N(data!CA90), 0)</f>
        <v>5571</v>
      </c>
      <c r="AH78" s="198">
        <f>ROUND(N(data!CA91), 0)</f>
        <v>0</v>
      </c>
      <c r="AI78" s="198">
        <f>ROUND(N(data!CA92), 0)</f>
        <v>711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164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64.94</v>
      </c>
      <c r="G79" s="198">
        <f>ROUND(N(data!CB61), 0)</f>
        <v>4848541</v>
      </c>
      <c r="H79" s="198">
        <f>ROUND(N(data!CB62), 0)</f>
        <v>1434752</v>
      </c>
      <c r="I79" s="198">
        <f>ROUND(N(data!CB63), 0)</f>
        <v>0</v>
      </c>
      <c r="J79" s="198">
        <f>ROUND(N(data!CB64), 0)</f>
        <v>36603</v>
      </c>
      <c r="K79" s="198">
        <f>ROUND(N(data!CB65), 0)</f>
        <v>2172</v>
      </c>
      <c r="L79" s="198">
        <f>ROUND(N(data!CB66), 0)</f>
        <v>191104</v>
      </c>
      <c r="M79" s="198">
        <f>ROUND(N(data!CB67), 0)</f>
        <v>132249</v>
      </c>
      <c r="N79" s="198">
        <f>ROUND(N(data!CB68), 0)</f>
        <v>62836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3050</v>
      </c>
      <c r="AE79" s="198">
        <f>ROUND(N(data!CB89), 0)</f>
        <v>0</v>
      </c>
      <c r="AF79" s="198">
        <f>ROUND(N(data!CB87), 0)</f>
        <v>0</v>
      </c>
      <c r="AG79" s="198">
        <f>ROUND(N(data!CB90), 0)</f>
        <v>4127</v>
      </c>
      <c r="AH79" s="198">
        <f>ROUND(N(data!CB91), 0)</f>
        <v>0</v>
      </c>
      <c r="AI79" s="198">
        <f>ROUND(N(data!CB92), 0)</f>
        <v>527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164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48.94</v>
      </c>
      <c r="G80" s="198">
        <f>ROUND(N(data!CC61), 0)</f>
        <v>11774762</v>
      </c>
      <c r="H80" s="198">
        <f>ROUND(N(data!CC62), 0)</f>
        <v>1277963</v>
      </c>
      <c r="I80" s="198">
        <f>ROUND(N(data!CC63), 0)</f>
        <v>597252</v>
      </c>
      <c r="J80" s="198">
        <f>ROUND(N(data!CC64), 0)</f>
        <v>-1475271</v>
      </c>
      <c r="K80" s="198">
        <f>ROUND(N(data!CC65), 0)</f>
        <v>441</v>
      </c>
      <c r="L80" s="198">
        <f>ROUND(N(data!CC66), 0)</f>
        <v>5251280</v>
      </c>
      <c r="M80" s="198">
        <f>ROUND(N(data!CC67), 0)</f>
        <v>128754</v>
      </c>
      <c r="N80" s="198">
        <f>ROUND(N(data!CC68), 0)</f>
        <v>0</v>
      </c>
      <c r="O80" s="198">
        <f>ROUND(N(data!CC69), 0)</f>
        <v>5916780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4299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5912481</v>
      </c>
      <c r="AB80" s="198">
        <f>ROUND(N(data!CC82), 0)</f>
        <v>0</v>
      </c>
      <c r="AC80" s="198">
        <f>ROUND(N(data!CC83), 0)</f>
        <v>0</v>
      </c>
      <c r="AD80" s="198">
        <f>ROUND(N(data!CC84), 0)</f>
        <v>-616440</v>
      </c>
      <c r="AE80" s="198">
        <f>ROUND(N(data!CC89), 0)</f>
        <v>0</v>
      </c>
      <c r="AF80" s="198">
        <f>ROUND(N(data!CC87), 0)</f>
        <v>0</v>
      </c>
      <c r="AG80" s="198">
        <f>ROUND(N(data!CC90), 0)</f>
        <v>6789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topLeftCell="A13" workbookViewId="0">
      <selection activeCell="C33" sqref="C33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EvergreenHealth Kirkland / King Country Public Hos #2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H-164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12040 NE 128th Street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12040 NE 128th Street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Kirkland, Washington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1382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sheetProtection algorithmName="SHA-512" hashValue="Q5RQtmUDG1ZR2LFsPAW6EzqOlFfUaf0pip0W4K7h8BGrcX9bJr3e1DCmmCtQdDghIXvk9V5Mk38dZmEOPeWu6A==" saltValue="jyFlRr+ws5vaGZW6TH0foA==" spinCount="100000" sheet="1" objects="1" scenarios="1"/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  <pageSetUpPr fitToPage="1"/>
  </sheetPr>
  <dimension ref="A2:M94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K32" sqref="K32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 t="str">
        <f>data!C97</f>
        <v>164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360</v>
      </c>
      <c r="C14" s="228" t="s">
        <v>360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27445890</v>
      </c>
      <c r="C15" s="228">
        <f>data!C85</f>
        <v>27118762.470000006</v>
      </c>
      <c r="D15" s="228">
        <f>ROUND(N('Prior Year'!C59), 0)</f>
        <v>5822</v>
      </c>
      <c r="E15" s="1">
        <f>data!C59</f>
        <v>5492</v>
      </c>
      <c r="F15" s="205">
        <f t="shared" ref="F15:F59" si="0">IF(B15=0,"",IF(D15=0,"",B15/D15))</f>
        <v>4714.168670559945</v>
      </c>
      <c r="G15" s="205">
        <f t="shared" ref="G15:G29" si="1">IF(C15=0,"",IF(E15=0,"",C15/E15))</f>
        <v>4937.8664366351068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14300906</v>
      </c>
      <c r="C16" s="228">
        <f>data!D85</f>
        <v>13662298.9</v>
      </c>
      <c r="D16" s="228">
        <f>ROUND(N('Prior Year'!D59), 0)</f>
        <v>11785</v>
      </c>
      <c r="E16" s="1">
        <f>data!D59</f>
        <v>10477</v>
      </c>
      <c r="F16" s="205">
        <f t="shared" si="0"/>
        <v>1213.4837505303351</v>
      </c>
      <c r="G16" s="205">
        <f t="shared" si="1"/>
        <v>1304.0277655817506</v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56017804</v>
      </c>
      <c r="C17" s="228">
        <f>data!E85</f>
        <v>54703869.029999986</v>
      </c>
      <c r="D17" s="228">
        <f>ROUND(N('Prior Year'!E59), 0)</f>
        <v>50188</v>
      </c>
      <c r="E17" s="1">
        <f>data!E59</f>
        <v>49862</v>
      </c>
      <c r="F17" s="205">
        <f t="shared" si="0"/>
        <v>1116.1593209532159</v>
      </c>
      <c r="G17" s="205">
        <f t="shared" si="1"/>
        <v>1097.1053914804859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3350513</v>
      </c>
      <c r="C19" s="228">
        <f>data!G85</f>
        <v>3458195.3700000006</v>
      </c>
      <c r="D19" s="228">
        <f>ROUND(N('Prior Year'!G59), 0)</f>
        <v>3877</v>
      </c>
      <c r="E19" s="1">
        <f>data!G59</f>
        <v>3878</v>
      </c>
      <c r="F19" s="205">
        <f t="shared" si="0"/>
        <v>864.20247614134644</v>
      </c>
      <c r="G19" s="205">
        <f t="shared" si="1"/>
        <v>891.74712996389906</v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0</v>
      </c>
      <c r="C20" s="228">
        <f>data!H85</f>
        <v>0</v>
      </c>
      <c r="D20" s="228">
        <f>ROUND(N('Prior Year'!H59), 0)</f>
        <v>0</v>
      </c>
      <c r="E20" s="1">
        <f>data!H59</f>
        <v>0</v>
      </c>
      <c r="F20" s="205" t="str">
        <f t="shared" si="0"/>
        <v/>
      </c>
      <c r="G20" s="205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3657</v>
      </c>
      <c r="C21" s="228">
        <f>data!I85</f>
        <v>-1000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7804371</v>
      </c>
      <c r="C25" s="228">
        <f>data!M85</f>
        <v>8594459.1400000043</v>
      </c>
      <c r="D25" s="228">
        <f>ROUND(N('Prior Year'!M59), 0)</f>
        <v>3782</v>
      </c>
      <c r="E25" s="1">
        <f>data!M59</f>
        <v>3603</v>
      </c>
      <c r="F25" s="205">
        <f t="shared" si="0"/>
        <v>2063.5565838180855</v>
      </c>
      <c r="G25" s="205">
        <f t="shared" si="1"/>
        <v>2385.361959478214</v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25027471</v>
      </c>
      <c r="C26" s="228">
        <f>data!N85</f>
        <v>29046533.210000005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41949992</v>
      </c>
      <c r="C27" s="228">
        <f>data!O85</f>
        <v>41866849.169999987</v>
      </c>
      <c r="D27" s="228">
        <f>ROUND(N('Prior Year'!O59), 0)</f>
        <v>4448</v>
      </c>
      <c r="E27" s="1">
        <f>data!O59</f>
        <v>4544</v>
      </c>
      <c r="F27" s="205">
        <f t="shared" si="0"/>
        <v>9431.2032374100727</v>
      </c>
      <c r="G27" s="205">
        <f t="shared" si="1"/>
        <v>9213.655187059856</v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66109352</v>
      </c>
      <c r="C28" s="228">
        <f>data!P85</f>
        <v>64375222.870000012</v>
      </c>
      <c r="D28" s="228">
        <f>ROUND(N('Prior Year'!P59), 0)</f>
        <v>845342</v>
      </c>
      <c r="E28" s="1">
        <f>data!P59</f>
        <v>808903</v>
      </c>
      <c r="F28" s="205">
        <f t="shared" si="0"/>
        <v>78.204267621861916</v>
      </c>
      <c r="G28" s="205">
        <f t="shared" si="1"/>
        <v>79.583365211898098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12341974</v>
      </c>
      <c r="C29" s="228">
        <f>data!Q85</f>
        <v>12101072.199999999</v>
      </c>
      <c r="D29" s="228">
        <f>ROUND(N('Prior Year'!Q59), 0)</f>
        <v>1746635</v>
      </c>
      <c r="E29" s="1">
        <f>data!Q59</f>
        <v>1693248</v>
      </c>
      <c r="F29" s="205">
        <f t="shared" si="0"/>
        <v>7.0661437564230649</v>
      </c>
      <c r="G29" s="205">
        <f t="shared" si="1"/>
        <v>7.1466626270930185</v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1783630</v>
      </c>
      <c r="C30" s="228">
        <f>data!R85</f>
        <v>2331333.4900000002</v>
      </c>
      <c r="D30" s="228">
        <f>ROUND(N('Prior Year'!R59), 0)</f>
        <v>1508745</v>
      </c>
      <c r="E30" s="1">
        <f>data!R59</f>
        <v>1630374</v>
      </c>
      <c r="F30" s="205">
        <f t="shared" si="0"/>
        <v>1.1821944728897196</v>
      </c>
      <c r="G30" s="205">
        <f>IFERROR(IF(C30=0,"",IF(E30=0,"",C30/E30)),"")</f>
        <v>1.4299378486163299</v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3683808</v>
      </c>
      <c r="C31" s="228">
        <f>data!S85</f>
        <v>4017048.29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0</v>
      </c>
      <c r="C32" s="228">
        <f>data!T85</f>
        <v>0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25458488</v>
      </c>
      <c r="C33" s="228">
        <f>data!U85</f>
        <v>34421318.629999995</v>
      </c>
      <c r="D33" s="228">
        <f>ROUND(N('Prior Year'!U59), 0)</f>
        <v>1129590</v>
      </c>
      <c r="E33" s="1">
        <f>data!U59</f>
        <v>2277784</v>
      </c>
      <c r="F33" s="205">
        <f t="shared" si="0"/>
        <v>22.537812834745349</v>
      </c>
      <c r="G33" s="205">
        <f t="shared" ref="G33:G69" si="4">IF(C33=0,"",IF(E33=0,"",C33/E33))</f>
        <v>15.111757142029269</v>
      </c>
      <c r="H33" s="6">
        <f t="shared" ref="H33:H39" si="5">IF(B33 = 0, "", IF(C33 = 0, "", IF(D33 = 0, "", IF(E33 = 0, "", IF(G33 / F33 - 1 &lt; -0.25, G33 / F33 - 1, IF(G33 / F33 - 1 &gt; 0.25, G33 / F33 - 1, ""))))))</f>
        <v>-0.32949318317470999</v>
      </c>
      <c r="I33" s="228" t="s">
        <v>1384</v>
      </c>
      <c r="M33" s="7"/>
    </row>
    <row r="34" spans="1:13" x14ac:dyDescent="0.25">
      <c r="A34" s="1" t="s">
        <v>751</v>
      </c>
      <c r="B34" s="228">
        <f>ROUND(N('Prior Year'!V85), 0)</f>
        <v>327170</v>
      </c>
      <c r="C34" s="228">
        <f>data!V85</f>
        <v>379420.30000000005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1496354</v>
      </c>
      <c r="C35" s="228">
        <f>data!W85</f>
        <v>2121081.83</v>
      </c>
      <c r="D35" s="228">
        <f>ROUND(N('Prior Year'!W59), 0)</f>
        <v>36087</v>
      </c>
      <c r="E35" s="1">
        <f>data!W59</f>
        <v>28888.35</v>
      </c>
      <c r="F35" s="205">
        <f t="shared" si="0"/>
        <v>41.465181367251368</v>
      </c>
      <c r="G35" s="205">
        <f t="shared" si="4"/>
        <v>73.423432975576659</v>
      </c>
      <c r="H35" s="6">
        <f t="shared" si="5"/>
        <v>0.77072499274211492</v>
      </c>
      <c r="I35" s="228" t="s">
        <v>1385</v>
      </c>
      <c r="M35" s="7"/>
    </row>
    <row r="36" spans="1:13" x14ac:dyDescent="0.25">
      <c r="A36" s="1" t="s">
        <v>753</v>
      </c>
      <c r="B36" s="228">
        <f>ROUND(N('Prior Year'!X85), 0)</f>
        <v>3387659</v>
      </c>
      <c r="C36" s="228">
        <f>data!X85</f>
        <v>4764502.1900000004</v>
      </c>
      <c r="D36" s="228">
        <f>ROUND(N('Prior Year'!X59), 0)</f>
        <v>227448</v>
      </c>
      <c r="E36" s="1">
        <f>data!X59</f>
        <v>212013.66</v>
      </c>
      <c r="F36" s="205">
        <f t="shared" si="0"/>
        <v>14.894213182793429</v>
      </c>
      <c r="G36" s="205">
        <f t="shared" si="4"/>
        <v>22.47261893408189</v>
      </c>
      <c r="H36" s="6">
        <f t="shared" si="5"/>
        <v>0.50881544787095101</v>
      </c>
      <c r="I36" s="228" t="s">
        <v>1383</v>
      </c>
      <c r="M36" s="7"/>
    </row>
    <row r="37" spans="1:13" x14ac:dyDescent="0.25">
      <c r="A37" s="1" t="s">
        <v>754</v>
      </c>
      <c r="B37" s="228">
        <f>ROUND(N('Prior Year'!Y85), 0)</f>
        <v>40871970</v>
      </c>
      <c r="C37" s="228">
        <f>data!Y85</f>
        <v>44567589.799999997</v>
      </c>
      <c r="D37" s="228">
        <f>ROUND(N('Prior Year'!Y59), 0)</f>
        <v>413281</v>
      </c>
      <c r="E37" s="1">
        <f>data!Y59</f>
        <v>410167.25</v>
      </c>
      <c r="F37" s="205">
        <f t="shared" si="0"/>
        <v>98.896319937282385</v>
      </c>
      <c r="G37" s="205">
        <f t="shared" si="4"/>
        <v>108.65711438443708</v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8128165</v>
      </c>
      <c r="C38" s="228">
        <f>data!Z85</f>
        <v>8839867.9900000002</v>
      </c>
      <c r="D38" s="228">
        <f>ROUND(N('Prior Year'!Z59), 0)</f>
        <v>64913</v>
      </c>
      <c r="E38" s="1">
        <f>data!Z59</f>
        <v>70120.87999999999</v>
      </c>
      <c r="F38" s="205">
        <f t="shared" si="0"/>
        <v>125.21628949517046</v>
      </c>
      <c r="G38" s="205">
        <f t="shared" si="4"/>
        <v>126.0661302311095</v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1209326</v>
      </c>
      <c r="C39" s="228">
        <f>data!AA85</f>
        <v>1442209.5399999998</v>
      </c>
      <c r="D39" s="228">
        <f>ROUND(N('Prior Year'!AA59), 0)</f>
        <v>17534</v>
      </c>
      <c r="E39" s="1">
        <f>data!AA59</f>
        <v>16790.48</v>
      </c>
      <c r="F39" s="205">
        <f t="shared" si="0"/>
        <v>68.970343332953121</v>
      </c>
      <c r="G39" s="205">
        <f t="shared" si="4"/>
        <v>85.894479490759039</v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32151299</v>
      </c>
      <c r="C40" s="228">
        <f>data!AB85</f>
        <v>34886639.479999997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4532261</v>
      </c>
      <c r="C41" s="228">
        <f>data!AC85</f>
        <v>5313760.2799999984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11391980</v>
      </c>
      <c r="C43" s="228">
        <f>data!AE85</f>
        <v>11545240.779999999</v>
      </c>
      <c r="D43" s="228">
        <f>ROUND(N('Prior Year'!AE59), 0)</f>
        <v>20092</v>
      </c>
      <c r="E43" s="1">
        <f>data!AE59</f>
        <v>13636</v>
      </c>
      <c r="F43" s="205">
        <f t="shared" si="0"/>
        <v>566.99084212621938</v>
      </c>
      <c r="G43" s="205">
        <f t="shared" si="4"/>
        <v>846.67356849515977</v>
      </c>
      <c r="H43" s="6">
        <f t="shared" si="6"/>
        <v>0.49327556212394597</v>
      </c>
      <c r="I43" s="228" t="s">
        <v>1386</v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21410983</v>
      </c>
      <c r="C45" s="228">
        <f>data!AG85</f>
        <v>21746822.009999998</v>
      </c>
      <c r="D45" s="228">
        <f>ROUND(N('Prior Year'!AG59), 0)</f>
        <v>120672</v>
      </c>
      <c r="E45" s="1">
        <f>data!AG59</f>
        <v>122728</v>
      </c>
      <c r="F45" s="205">
        <f t="shared" si="0"/>
        <v>177.43124337045876</v>
      </c>
      <c r="G45" s="205">
        <f t="shared" si="4"/>
        <v>177.19527744280032</v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119549609</v>
      </c>
      <c r="C48" s="228">
        <f>data!AJ85</f>
        <v>130588626.34999998</v>
      </c>
      <c r="D48" s="228">
        <f>ROUND(N('Prior Year'!AJ59), 0)</f>
        <v>328965</v>
      </c>
      <c r="E48" s="1">
        <f>data!AJ59</f>
        <v>287736</v>
      </c>
      <c r="F48" s="205">
        <f t="shared" si="0"/>
        <v>363.4113325125773</v>
      </c>
      <c r="G48" s="205">
        <f t="shared" si="4"/>
        <v>453.84875841048733</v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1649</v>
      </c>
      <c r="C49" s="228">
        <f>data!AK85</f>
        <v>756.32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100461129</v>
      </c>
      <c r="C54" s="228">
        <f>data!AP85</f>
        <v>103386272.11000001</v>
      </c>
      <c r="D54" s="228">
        <f>ROUND(N('Prior Year'!AP59), 0)</f>
        <v>423794</v>
      </c>
      <c r="E54" s="1">
        <f>data!AP59</f>
        <v>403281</v>
      </c>
      <c r="F54" s="205">
        <f t="shared" si="0"/>
        <v>237.05179639164311</v>
      </c>
      <c r="G54" s="205">
        <f t="shared" si="4"/>
        <v>256.36286388399162</v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82893899</v>
      </c>
      <c r="C56" s="228">
        <f>data!AR85</f>
        <v>82846794.940000013</v>
      </c>
      <c r="D56" s="228">
        <f>ROUND(N('Prior Year'!AR59), 0)</f>
        <v>336041</v>
      </c>
      <c r="E56" s="1">
        <f>data!AR59</f>
        <v>338462</v>
      </c>
      <c r="F56" s="205">
        <f t="shared" si="0"/>
        <v>246.67793215708798</v>
      </c>
      <c r="G56" s="205">
        <f t="shared" si="4"/>
        <v>244.77428763051691</v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4864122</v>
      </c>
      <c r="C60" s="228">
        <f>data!AV85</f>
        <v>23485137.029999994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71358</v>
      </c>
      <c r="C61" s="228">
        <f>data!AW85</f>
        <v>3069729.5100000002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2983511</v>
      </c>
      <c r="C62" s="228">
        <f>data!AX85</f>
        <v>2752211.86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0</v>
      </c>
      <c r="C63" s="228">
        <f>data!AY85</f>
        <v>0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5739180</v>
      </c>
      <c r="C64" s="228">
        <f>data!AZ85</f>
        <v>8815046.1400000006</v>
      </c>
      <c r="D64" s="228">
        <f>ROUND(N('Prior Year'!AZ59), 0)</f>
        <v>800216</v>
      </c>
      <c r="E64" s="1">
        <f>data!AZ59</f>
        <v>820142.15999999992</v>
      </c>
      <c r="F64" s="205">
        <f>IF(B64=0,"",IF(D64=0,"",B64/D64))</f>
        <v>7.1720385495916101</v>
      </c>
      <c r="G64" s="205">
        <f t="shared" si="4"/>
        <v>10.748192898655523</v>
      </c>
      <c r="H64" s="6">
        <f>IF(B64 = 0, "", IF(C64 = 0, "", IF(D64 = 0, "", IF(E64 = 0, "", IF(G64 / F64 - 1 &lt; -0.25, G64 / F64 - 1, IF(G64 / F64 - 1 &gt; 0.25, G64 / F64 - 1, ""))))))</f>
        <v>0.4986245297395322</v>
      </c>
      <c r="I64" s="228" t="s">
        <v>1387</v>
      </c>
      <c r="M64" s="7"/>
    </row>
    <row r="65" spans="1:13" x14ac:dyDescent="0.25">
      <c r="A65" s="1" t="s">
        <v>782</v>
      </c>
      <c r="B65" s="228">
        <f>ROUND(N('Prior Year'!BA85), 0)</f>
        <v>419312</v>
      </c>
      <c r="C65" s="228">
        <f>data!BA85</f>
        <v>372383.99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650847</v>
      </c>
      <c r="C66" s="228">
        <f>data!BB85</f>
        <v>658432.32000000007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545994</v>
      </c>
      <c r="C67" s="228">
        <f>data!BC85</f>
        <v>541477.21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4095074</v>
      </c>
      <c r="C68" s="228">
        <f>data!BD85</f>
        <v>3995713.4900000007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17332900</v>
      </c>
      <c r="C69" s="228">
        <f>data!BE85</f>
        <v>24286623.48</v>
      </c>
      <c r="D69" s="228">
        <f>ROUND(N('Prior Year'!BE59), 0)</f>
        <v>678599</v>
      </c>
      <c r="E69" s="1">
        <f>data!BE59</f>
        <v>642562</v>
      </c>
      <c r="F69" s="205">
        <f>IF(B69=0,"",IF(D69=0,"",B69/D69))</f>
        <v>25.542183233397044</v>
      </c>
      <c r="G69" s="205">
        <f t="shared" si="4"/>
        <v>37.79654489372232</v>
      </c>
      <c r="H69" s="6">
        <f>IF(B69 = 0, "", IF(C69 = 0, "", IF(D69 = 0, "", IF(E69 = 0, "", IF(G69 / F69 - 1 &lt; -0.25, G69 / F69 - 1, IF(G69 / F69 - 1 &gt; 0.25, G69 / F69 - 1, ""))))))</f>
        <v>0.47976954625798762</v>
      </c>
      <c r="I69" s="228" t="s">
        <v>1388</v>
      </c>
      <c r="M69" s="7"/>
    </row>
    <row r="70" spans="1:13" x14ac:dyDescent="0.25">
      <c r="A70" s="1" t="s">
        <v>787</v>
      </c>
      <c r="B70" s="228">
        <f>ROUND(N('Prior Year'!BF85), 0)</f>
        <v>7509612</v>
      </c>
      <c r="C70" s="228">
        <f>data!BF85</f>
        <v>8070813.7999999989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14445261</v>
      </c>
      <c r="C71" s="228">
        <f>data!BG85</f>
        <v>17303318.170000002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45576346</v>
      </c>
      <c r="C72" s="228">
        <f>data!BH85</f>
        <v>47239624.360000007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3918453</v>
      </c>
      <c r="C73" s="228">
        <f>data!BI85</f>
        <v>4758517.0299999984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2718561</v>
      </c>
      <c r="C74" s="228">
        <f>data!BJ85</f>
        <v>3126895.01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10342258</v>
      </c>
      <c r="C75" s="228">
        <f>data!BK85</f>
        <v>11838331.749999998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7906193</v>
      </c>
      <c r="C76" s="228">
        <f>data!BL85</f>
        <v>9711181.5900000017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6832442</v>
      </c>
      <c r="C77" s="228">
        <f>data!BM85</f>
        <v>7379367.9400000013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12132848</v>
      </c>
      <c r="C78" s="228">
        <f>data!BN85</f>
        <v>9118682.5399999991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2037913</v>
      </c>
      <c r="C79" s="228">
        <f>data!BO85</f>
        <v>2048100.2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6846940</v>
      </c>
      <c r="C80" s="228">
        <f>data!BP85</f>
        <v>5725915.21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697363</v>
      </c>
      <c r="C81" s="228">
        <f>data!BQ85</f>
        <v>704186.95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25610184</v>
      </c>
      <c r="C82" s="228">
        <f>data!BR85</f>
        <v>22057339.560000002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230125</v>
      </c>
      <c r="C83" s="228">
        <f>data!BS85</f>
        <v>766015.56999999972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185351</v>
      </c>
      <c r="C84" s="228">
        <f>data!BT85</f>
        <v>279143.82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279694</v>
      </c>
      <c r="C85" s="228">
        <f>data!BU85</f>
        <v>-285517.48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6358726</v>
      </c>
      <c r="C86" s="228">
        <f>data!BV85</f>
        <v>6014910.5299999993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5042351</v>
      </c>
      <c r="C87" s="228">
        <f>data!BW85</f>
        <v>6173905.25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10655791</v>
      </c>
      <c r="C88" s="228">
        <f>data!BX85</f>
        <v>9798475.8300000001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2687809</v>
      </c>
      <c r="C89" s="228">
        <f>data!BY85</f>
        <v>2768868.4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6014240</v>
      </c>
      <c r="C90" s="228">
        <f>data!BZ85</f>
        <v>6651858.3800000008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3403837</v>
      </c>
      <c r="C91" s="228">
        <f>data!CA85</f>
        <v>2903505.5700000003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8104824</v>
      </c>
      <c r="C92" s="228">
        <f>data!CB85</f>
        <v>6705207.2000000011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-2662356</v>
      </c>
      <c r="C93" s="228">
        <f>data!CC85</f>
        <v>24088402.369999997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30494872</v>
      </c>
      <c r="C94" s="228">
        <f>data!CD85</f>
        <v>5812630.1400000006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sheetProtection algorithmName="SHA-512" hashValue="NbeyByuuUAjZw/9PS5BUHtDzKUCD/01PlpDlDCd59Wa70G3RoJ89hqPZ35uORV3nd4pImh5GRLrXhWHsVNE4dQ==" saltValue="bw8Fof92pLy+qRTjYWCjiw==" spinCount="100000" sheet="1" objects="1" scenarios="1"/>
  <pageMargins left="0.2" right="0.2" top="0.75" bottom="0.75" header="0.3" footer="0.3"/>
  <pageSetup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12" workbookViewId="0">
      <selection activeCell="D35" sqref="D35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26982860.710000001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Yes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1" t="s">
        <v>1370</v>
      </c>
      <c r="B15" s="267"/>
      <c r="C15" s="267"/>
      <c r="D15" s="267">
        <v>13703041</v>
      </c>
    </row>
    <row r="16" spans="1:4" ht="15.75" x14ac:dyDescent="0.25">
      <c r="A16" s="1" t="s">
        <v>1374</v>
      </c>
      <c r="B16" s="267"/>
      <c r="C16" s="267"/>
      <c r="D16" s="267">
        <v>2129235</v>
      </c>
    </row>
    <row r="17" spans="1:4" ht="15.75" x14ac:dyDescent="0.25">
      <c r="A17" s="1" t="s">
        <v>1371</v>
      </c>
      <c r="B17" s="267"/>
      <c r="C17" s="267"/>
      <c r="D17" s="267">
        <v>3448948</v>
      </c>
    </row>
    <row r="18" spans="1:4" ht="15.75" x14ac:dyDescent="0.25">
      <c r="A18" s="1" t="s">
        <v>1372</v>
      </c>
      <c r="B18" s="267"/>
      <c r="C18" s="267"/>
      <c r="D18" s="267">
        <v>3719460</v>
      </c>
    </row>
    <row r="19" spans="1:4" ht="15.75" x14ac:dyDescent="0.25">
      <c r="A19" s="1" t="s">
        <v>1373</v>
      </c>
      <c r="B19" s="267"/>
      <c r="C19" s="267"/>
      <c r="D19" s="267">
        <f>+D11-D15-D16-D17-D18</f>
        <v>3982176.7100000009</v>
      </c>
    </row>
    <row r="20" spans="1:4" ht="15.75" x14ac:dyDescent="0.25">
      <c r="A20" s="1"/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12593802.199999999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1" t="s">
        <v>1375</v>
      </c>
      <c r="B29" s="267"/>
      <c r="C29" s="267"/>
      <c r="D29" s="267">
        <v>-5847025</v>
      </c>
    </row>
    <row r="30" spans="1:4" ht="15.75" x14ac:dyDescent="0.25">
      <c r="A30" s="1" t="s">
        <v>1381</v>
      </c>
      <c r="B30" s="267"/>
      <c r="C30" s="267"/>
      <c r="D30" s="267">
        <f>4687550.77+350+1778063.99+794305.19+12306.46</f>
        <v>7272576.4099999992</v>
      </c>
    </row>
    <row r="31" spans="1:4" ht="15.75" x14ac:dyDescent="0.25">
      <c r="A31" s="1" t="s">
        <v>1376</v>
      </c>
      <c r="B31" s="267"/>
      <c r="C31" s="267"/>
      <c r="D31" s="267">
        <v>1218640</v>
      </c>
    </row>
    <row r="32" spans="1:4" ht="15.75" x14ac:dyDescent="0.25">
      <c r="A32" s="1" t="s">
        <v>1377</v>
      </c>
      <c r="B32" s="267"/>
      <c r="C32" s="267"/>
      <c r="D32" s="267">
        <f>1082285+3459+677+193+317</f>
        <v>1086931</v>
      </c>
    </row>
    <row r="33" spans="1:4" ht="15.75" x14ac:dyDescent="0.25">
      <c r="A33" s="1" t="s">
        <v>1378</v>
      </c>
      <c r="B33" s="267"/>
      <c r="C33" s="267"/>
      <c r="D33" s="267">
        <v>2174402</v>
      </c>
    </row>
    <row r="34" spans="1:4" ht="15.75" x14ac:dyDescent="0.25">
      <c r="A34" s="1" t="s">
        <v>1379</v>
      </c>
      <c r="B34" s="267"/>
      <c r="C34" s="267"/>
      <c r="D34" s="267">
        <v>2311833</v>
      </c>
    </row>
    <row r="35" spans="1:4" ht="15.75" x14ac:dyDescent="0.25">
      <c r="A35" s="1" t="s">
        <v>1380</v>
      </c>
      <c r="B35" s="267"/>
      <c r="C35" s="267"/>
      <c r="D35" s="267">
        <v>2277338</v>
      </c>
    </row>
    <row r="36" spans="1:4" ht="15.75" x14ac:dyDescent="0.25">
      <c r="A36" s="267"/>
      <c r="B36" s="267"/>
      <c r="C36" s="267"/>
      <c r="D36" s="267"/>
    </row>
  </sheetData>
  <sheetProtection algorithmName="SHA-512" hashValue="7RqlDrEHy7mqccINhe0RclVQPn93BUG4dih5ZC0soBbwJOBcgcZctolBNuil4ygimX83iaeYvSVeiPzO9ZboSQ==" saltValue="kIbQ4Vr12qWcLlTA3LpG7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>
      <selection activeCell="G35" sqref="G3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824</v>
      </c>
    </row>
    <row r="2" spans="1:7" ht="20.100000000000001" customHeight="1" x14ac:dyDescent="0.25">
      <c r="A2" s="62" t="s">
        <v>825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H-164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EvergreenHealth Kirkland / King Country Public Hos #2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King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826</v>
      </c>
      <c r="C7" s="67"/>
      <c r="D7" s="64" t="str">
        <f>"  "&amp;data!C104</f>
        <v xml:space="preserve">  Dr. Ettore Palazzo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827</v>
      </c>
      <c r="C8" s="67"/>
      <c r="D8" s="64" t="str">
        <f>"  "&amp;data!C105</f>
        <v xml:space="preserve">  Bill Howe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828</v>
      </c>
      <c r="C9" s="67"/>
      <c r="D9" s="64" t="str">
        <f>"  "&amp;data!C106</f>
        <v xml:space="preserve">  Virgil Snyder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829</v>
      </c>
      <c r="C10" s="67"/>
      <c r="D10" s="64" t="str">
        <f>"  "&amp;data!C107</f>
        <v xml:space="preserve">  425-899-1000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830</v>
      </c>
      <c r="C11" s="67"/>
      <c r="D11" s="64" t="str">
        <f>"  "&amp;data!C108</f>
        <v xml:space="preserve">  425-899-1684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831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322</v>
      </c>
      <c r="B15" s="74"/>
      <c r="C15" s="75" t="s">
        <v>324</v>
      </c>
      <c r="D15" s="74"/>
      <c r="E15" s="75" t="s">
        <v>326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832</v>
      </c>
      <c r="E16" s="229" t="str">
        <f>IF(data!C120&gt;0," X","")</f>
        <v/>
      </c>
      <c r="F16" s="81" t="s">
        <v>327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328</v>
      </c>
      <c r="G17" s="67"/>
    </row>
    <row r="18" spans="1:7" ht="20.100000000000001" customHeight="1" x14ac:dyDescent="0.25">
      <c r="A18" s="63"/>
      <c r="B18" s="67" t="s">
        <v>833</v>
      </c>
      <c r="C18" s="67"/>
      <c r="D18" s="67"/>
      <c r="E18" s="229" t="str">
        <f>IF(data!C122&gt;0," X","")</f>
        <v/>
      </c>
      <c r="F18" s="81" t="s">
        <v>329</v>
      </c>
      <c r="G18" s="67"/>
    </row>
    <row r="19" spans="1:7" ht="20.100000000000001" customHeight="1" x14ac:dyDescent="0.25">
      <c r="A19" s="78" t="str">
        <f>IF(data!C115&gt;0," X","")</f>
        <v xml:space="preserve"> X</v>
      </c>
      <c r="B19" s="80" t="s">
        <v>834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835</v>
      </c>
      <c r="C22" s="64"/>
      <c r="D22" s="64"/>
      <c r="E22" s="64"/>
      <c r="F22" s="78" t="s">
        <v>332</v>
      </c>
      <c r="G22" s="79" t="s">
        <v>241</v>
      </c>
    </row>
    <row r="23" spans="1:7" ht="20.100000000000001" customHeight="1" x14ac:dyDescent="0.25">
      <c r="A23" s="63"/>
      <c r="B23" s="64" t="s">
        <v>836</v>
      </c>
      <c r="C23" s="64"/>
      <c r="D23" s="64"/>
      <c r="E23" s="64"/>
      <c r="F23" s="63">
        <f>data!C127</f>
        <v>17449</v>
      </c>
      <c r="G23" s="67">
        <f>data!D127</f>
        <v>76932</v>
      </c>
    </row>
    <row r="24" spans="1:7" ht="20.100000000000001" customHeight="1" x14ac:dyDescent="0.25">
      <c r="A24" s="63"/>
      <c r="B24" s="64" t="s">
        <v>837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838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336</v>
      </c>
      <c r="C26" s="64"/>
      <c r="D26" s="64"/>
      <c r="E26" s="64"/>
      <c r="F26" s="63">
        <f>data!C130</f>
        <v>4563</v>
      </c>
      <c r="G26" s="67">
        <f>data!D130</f>
        <v>6466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839</v>
      </c>
      <c r="C29" s="67"/>
      <c r="D29" s="79" t="s">
        <v>193</v>
      </c>
      <c r="E29" s="83" t="s">
        <v>839</v>
      </c>
      <c r="F29" s="67"/>
      <c r="G29" s="79" t="s">
        <v>193</v>
      </c>
    </row>
    <row r="30" spans="1:7" ht="20.100000000000001" customHeight="1" x14ac:dyDescent="0.25">
      <c r="A30" s="63"/>
      <c r="B30" s="64" t="s">
        <v>338</v>
      </c>
      <c r="C30" s="67"/>
      <c r="D30" s="67">
        <f>data!C132</f>
        <v>20</v>
      </c>
      <c r="E30" s="64" t="s">
        <v>344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840</v>
      </c>
      <c r="C31" s="67"/>
      <c r="D31" s="67">
        <f>data!C133</f>
        <v>31</v>
      </c>
      <c r="E31" s="64" t="s">
        <v>345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841</v>
      </c>
      <c r="C32" s="67"/>
      <c r="D32" s="67">
        <f>data!C134</f>
        <v>167</v>
      </c>
      <c r="E32" s="64" t="s">
        <v>842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843</v>
      </c>
      <c r="C33" s="67"/>
      <c r="D33" s="67">
        <f>data!C135</f>
        <v>8</v>
      </c>
      <c r="E33" s="64" t="s">
        <v>844</v>
      </c>
      <c r="F33" s="67"/>
      <c r="G33" s="67">
        <f>data!C142</f>
        <v>43</v>
      </c>
    </row>
    <row r="34" spans="1:7" ht="20.100000000000001" customHeight="1" x14ac:dyDescent="0.25">
      <c r="A34" s="63"/>
      <c r="B34" s="83" t="s">
        <v>845</v>
      </c>
      <c r="C34" s="67"/>
      <c r="D34" s="67">
        <f>data!C136</f>
        <v>71</v>
      </c>
      <c r="E34" s="64" t="s">
        <v>347</v>
      </c>
      <c r="F34" s="67"/>
      <c r="G34" s="67">
        <f>data!E143</f>
        <v>354</v>
      </c>
    </row>
    <row r="35" spans="1:7" ht="20.100000000000001" customHeight="1" x14ac:dyDescent="0.25">
      <c r="A35" s="63"/>
      <c r="B35" s="83" t="s">
        <v>846</v>
      </c>
      <c r="C35" s="67"/>
      <c r="D35" s="67">
        <f>data!C137</f>
        <v>14</v>
      </c>
      <c r="E35" s="64" t="s">
        <v>847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0</v>
      </c>
      <c r="E36" s="64" t="s">
        <v>348</v>
      </c>
      <c r="F36" s="67"/>
      <c r="G36" s="67">
        <f>data!C144</f>
        <v>354</v>
      </c>
    </row>
    <row r="37" spans="1:7" ht="20.100000000000001" customHeight="1" x14ac:dyDescent="0.25">
      <c r="A37" s="63"/>
      <c r="E37" s="64" t="s">
        <v>349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344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848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H14" sqref="H14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849</v>
      </c>
      <c r="G1" s="61" t="s">
        <v>850</v>
      </c>
    </row>
    <row r="2" spans="1:7" ht="20.100000000000001" customHeight="1" x14ac:dyDescent="0.25">
      <c r="A2" s="1" t="str">
        <f>"Hospital: "&amp;data!C98</f>
        <v>Hospital: EvergreenHealth Kirkland / King Country Public Hos #2</v>
      </c>
      <c r="G2" s="4" t="s">
        <v>851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852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853</v>
      </c>
      <c r="C5" s="74"/>
      <c r="D5" s="74"/>
      <c r="E5" s="125" t="s">
        <v>359</v>
      </c>
      <c r="F5" s="74"/>
      <c r="G5" s="74"/>
    </row>
    <row r="6" spans="1:7" ht="20.100000000000001" customHeight="1" x14ac:dyDescent="0.25">
      <c r="A6" s="126" t="s">
        <v>854</v>
      </c>
      <c r="B6" s="79" t="s">
        <v>332</v>
      </c>
      <c r="C6" s="79" t="s">
        <v>855</v>
      </c>
      <c r="D6" s="79" t="s">
        <v>355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353</v>
      </c>
      <c r="B7" s="127">
        <f>data!B154</f>
        <v>7344</v>
      </c>
      <c r="C7" s="127">
        <f>data!B155</f>
        <v>47352</v>
      </c>
      <c r="D7" s="127">
        <f>data!B156</f>
        <v>0</v>
      </c>
      <c r="E7" s="127">
        <f>data!B157</f>
        <v>582401481</v>
      </c>
      <c r="F7" s="127">
        <f>data!B158</f>
        <v>723941129</v>
      </c>
      <c r="G7" s="127">
        <f>data!B157+data!B158</f>
        <v>1306342610</v>
      </c>
    </row>
    <row r="8" spans="1:7" ht="20.100000000000001" customHeight="1" x14ac:dyDescent="0.25">
      <c r="A8" s="63" t="s">
        <v>354</v>
      </c>
      <c r="B8" s="127">
        <f>data!C154</f>
        <v>2579</v>
      </c>
      <c r="C8" s="127">
        <f>data!C155</f>
        <v>11228</v>
      </c>
      <c r="D8" s="127">
        <f>data!C156</f>
        <v>0</v>
      </c>
      <c r="E8" s="127">
        <f>data!C157</f>
        <v>122839953</v>
      </c>
      <c r="F8" s="127">
        <f>data!C158</f>
        <v>129159670</v>
      </c>
      <c r="G8" s="127">
        <f>data!C157+data!C158</f>
        <v>251999623</v>
      </c>
    </row>
    <row r="9" spans="1:7" ht="20.100000000000001" customHeight="1" x14ac:dyDescent="0.25">
      <c r="A9" s="63" t="s">
        <v>856</v>
      </c>
      <c r="B9" s="127">
        <f>data!D154</f>
        <v>7526</v>
      </c>
      <c r="C9" s="127">
        <f>data!D155</f>
        <v>18352</v>
      </c>
      <c r="D9" s="127">
        <f>data!D156</f>
        <v>0</v>
      </c>
      <c r="E9" s="127">
        <f>data!D157</f>
        <v>387920311</v>
      </c>
      <c r="F9" s="127">
        <f>data!D158</f>
        <v>805934443</v>
      </c>
      <c r="G9" s="127">
        <f>data!D157+data!D158</f>
        <v>1193854754</v>
      </c>
    </row>
    <row r="10" spans="1:7" ht="20.100000000000001" customHeight="1" x14ac:dyDescent="0.25">
      <c r="A10" s="78" t="s">
        <v>229</v>
      </c>
      <c r="B10" s="127">
        <f>data!E154</f>
        <v>17449</v>
      </c>
      <c r="C10" s="127">
        <f>data!E155</f>
        <v>76932</v>
      </c>
      <c r="D10" s="127">
        <f>data!E156</f>
        <v>0</v>
      </c>
      <c r="E10" s="127">
        <f>data!E157</f>
        <v>1093161745</v>
      </c>
      <c r="F10" s="127">
        <f>data!E158</f>
        <v>1659035242</v>
      </c>
      <c r="G10" s="127">
        <f>E10+F10</f>
        <v>2752196987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857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853</v>
      </c>
      <c r="C14" s="133"/>
      <c r="D14" s="133"/>
      <c r="E14" s="133" t="s">
        <v>359</v>
      </c>
      <c r="F14" s="133"/>
      <c r="G14" s="133"/>
    </row>
    <row r="15" spans="1:7" ht="20.100000000000001" customHeight="1" x14ac:dyDescent="0.25">
      <c r="A15" s="126" t="s">
        <v>854</v>
      </c>
      <c r="B15" s="79" t="s">
        <v>332</v>
      </c>
      <c r="C15" s="79" t="s">
        <v>855</v>
      </c>
      <c r="D15" s="79" t="s">
        <v>355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353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354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856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858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853</v>
      </c>
      <c r="C23" s="74"/>
      <c r="D23" s="74"/>
      <c r="E23" s="74" t="s">
        <v>359</v>
      </c>
      <c r="F23" s="74"/>
      <c r="G23" s="74"/>
    </row>
    <row r="24" spans="1:7" ht="20.100000000000001" customHeight="1" x14ac:dyDescent="0.25">
      <c r="A24" s="126" t="s">
        <v>854</v>
      </c>
      <c r="B24" s="79" t="s">
        <v>332</v>
      </c>
      <c r="C24" s="79" t="s">
        <v>855</v>
      </c>
      <c r="D24" s="79" t="s">
        <v>355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353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354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856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859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860</v>
      </c>
      <c r="C32" s="139">
        <f>data!B173</f>
        <v>9552469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861</v>
      </c>
      <c r="C33" s="135">
        <f>data!C173</f>
        <v>22897960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4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362</v>
      </c>
      <c r="B1" s="62"/>
      <c r="C1" s="61" t="s">
        <v>862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EvergreenHealth Kirkland / King Country Public Hos #2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363</v>
      </c>
      <c r="C5" s="123"/>
    </row>
    <row r="6" spans="1:3" ht="20.100000000000001" customHeight="1" x14ac:dyDescent="0.25">
      <c r="A6" s="143">
        <v>2</v>
      </c>
      <c r="B6" s="64" t="s">
        <v>863</v>
      </c>
      <c r="C6" s="63">
        <f>data!C181</f>
        <v>35956067.710000001</v>
      </c>
    </row>
    <row r="7" spans="1:3" ht="20.100000000000001" customHeight="1" x14ac:dyDescent="0.25">
      <c r="A7" s="144">
        <v>3</v>
      </c>
      <c r="B7" s="83" t="s">
        <v>365</v>
      </c>
      <c r="C7" s="63">
        <f>data!C182</f>
        <v>1110176.68</v>
      </c>
    </row>
    <row r="8" spans="1:3" ht="20.100000000000001" customHeight="1" x14ac:dyDescent="0.25">
      <c r="A8" s="144">
        <v>4</v>
      </c>
      <c r="B8" s="64" t="s">
        <v>366</v>
      </c>
      <c r="C8" s="63">
        <f>data!C183</f>
        <v>4302973.16</v>
      </c>
    </row>
    <row r="9" spans="1:3" ht="20.100000000000001" customHeight="1" x14ac:dyDescent="0.25">
      <c r="A9" s="144">
        <v>5</v>
      </c>
      <c r="B9" s="64" t="s">
        <v>367</v>
      </c>
      <c r="C9" s="63">
        <f>data!C184</f>
        <v>63567682.490000002</v>
      </c>
    </row>
    <row r="10" spans="1:3" ht="20.100000000000001" customHeight="1" x14ac:dyDescent="0.25">
      <c r="A10" s="144">
        <v>6</v>
      </c>
      <c r="B10" s="64" t="s">
        <v>368</v>
      </c>
      <c r="C10" s="63">
        <f>data!C185</f>
        <v>281813.58</v>
      </c>
    </row>
    <row r="11" spans="1:3" ht="20.100000000000001" customHeight="1" x14ac:dyDescent="0.25">
      <c r="A11" s="144">
        <v>7</v>
      </c>
      <c r="B11" s="64" t="s">
        <v>369</v>
      </c>
      <c r="C11" s="63">
        <f>data!C186</f>
        <v>25786849.190000001</v>
      </c>
    </row>
    <row r="12" spans="1:3" ht="20.100000000000001" customHeight="1" x14ac:dyDescent="0.25">
      <c r="A12" s="144">
        <v>8</v>
      </c>
      <c r="B12" s="64" t="s">
        <v>370</v>
      </c>
      <c r="C12" s="63">
        <f>data!C187</f>
        <v>4037233.87</v>
      </c>
    </row>
    <row r="13" spans="1:3" ht="20.100000000000001" customHeight="1" x14ac:dyDescent="0.25">
      <c r="A13" s="144">
        <v>9</v>
      </c>
      <c r="B13" s="64" t="s">
        <v>370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864</v>
      </c>
      <c r="C14" s="63">
        <f>data!D189</f>
        <v>135042796.67999998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371</v>
      </c>
      <c r="C17" s="77"/>
    </row>
    <row r="18" spans="1:3" ht="20.100000000000001" customHeight="1" x14ac:dyDescent="0.25">
      <c r="A18" s="63">
        <v>12</v>
      </c>
      <c r="B18" s="64" t="s">
        <v>865</v>
      </c>
      <c r="C18" s="63">
        <f>data!C191</f>
        <v>4687901</v>
      </c>
    </row>
    <row r="19" spans="1:3" ht="20.100000000000001" customHeight="1" x14ac:dyDescent="0.25">
      <c r="A19" s="63">
        <v>13</v>
      </c>
      <c r="B19" s="64" t="s">
        <v>866</v>
      </c>
      <c r="C19" s="63">
        <f>data!C192</f>
        <v>2584676</v>
      </c>
    </row>
    <row r="20" spans="1:3" ht="20.100000000000001" customHeight="1" x14ac:dyDescent="0.25">
      <c r="A20" s="63">
        <v>14</v>
      </c>
      <c r="B20" s="64" t="s">
        <v>867</v>
      </c>
      <c r="C20" s="63">
        <f>data!D193</f>
        <v>7272577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374</v>
      </c>
      <c r="C23" s="123"/>
    </row>
    <row r="24" spans="1:3" ht="20.100000000000001" customHeight="1" x14ac:dyDescent="0.25">
      <c r="A24" s="63">
        <v>16</v>
      </c>
      <c r="B24" s="75" t="s">
        <v>868</v>
      </c>
      <c r="C24" s="148"/>
    </row>
    <row r="25" spans="1:3" ht="20.100000000000001" customHeight="1" x14ac:dyDescent="0.25">
      <c r="A25" s="63">
        <v>17</v>
      </c>
      <c r="B25" s="64" t="s">
        <v>869</v>
      </c>
      <c r="C25" s="63">
        <f>data!C195</f>
        <v>3719568</v>
      </c>
    </row>
    <row r="26" spans="1:3" ht="20.100000000000001" customHeight="1" x14ac:dyDescent="0.25">
      <c r="A26" s="63">
        <v>18</v>
      </c>
      <c r="B26" s="64" t="s">
        <v>376</v>
      </c>
      <c r="C26" s="63">
        <f>data!C196</f>
        <v>2097411</v>
      </c>
    </row>
    <row r="27" spans="1:3" ht="20.100000000000001" customHeight="1" x14ac:dyDescent="0.25">
      <c r="A27" s="63">
        <v>19</v>
      </c>
      <c r="B27" s="64" t="s">
        <v>870</v>
      </c>
      <c r="C27" s="63">
        <f>data!D197</f>
        <v>5816979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871</v>
      </c>
      <c r="C30" s="133"/>
    </row>
    <row r="31" spans="1:3" ht="20.100000000000001" customHeight="1" x14ac:dyDescent="0.25">
      <c r="A31" s="63">
        <v>21</v>
      </c>
      <c r="B31" s="64" t="s">
        <v>378</v>
      </c>
      <c r="C31" s="63">
        <f>data!C199</f>
        <v>494152</v>
      </c>
    </row>
    <row r="32" spans="1:3" ht="20.100000000000001" customHeight="1" x14ac:dyDescent="0.25">
      <c r="A32" s="63">
        <v>22</v>
      </c>
      <c r="B32" s="64" t="s">
        <v>872</v>
      </c>
      <c r="C32" s="63">
        <f>data!C200</f>
        <v>8131155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873</v>
      </c>
      <c r="C34" s="63">
        <f>data!D202</f>
        <v>8625307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380</v>
      </c>
      <c r="C37" s="123"/>
    </row>
    <row r="38" spans="1:3" ht="20.100000000000001" customHeight="1" x14ac:dyDescent="0.25">
      <c r="A38" s="63">
        <v>26</v>
      </c>
      <c r="B38" s="64" t="s">
        <v>874</v>
      </c>
      <c r="C38" s="63">
        <f>data!C204</f>
        <v>17887782</v>
      </c>
    </row>
    <row r="39" spans="1:3" ht="20.100000000000001" customHeight="1" x14ac:dyDescent="0.25">
      <c r="A39" s="63">
        <v>27</v>
      </c>
      <c r="B39" s="64" t="s">
        <v>382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875</v>
      </c>
      <c r="C40" s="63">
        <f>data!D206</f>
        <v>17887782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383</v>
      </c>
      <c r="B1" s="62"/>
      <c r="C1" s="62"/>
      <c r="D1" s="62"/>
      <c r="E1" s="62"/>
      <c r="F1" s="61" t="s">
        <v>876</v>
      </c>
    </row>
    <row r="3" spans="1:6" ht="20.100000000000001" customHeight="1" x14ac:dyDescent="0.25">
      <c r="A3" s="120" t="str">
        <f>"Hospital: "&amp;data!C98</f>
        <v>Hospital: EvergreenHealth Kirkland / King Country Public Hos #2</v>
      </c>
      <c r="F3" s="142" t="str">
        <f>"FYE: "&amp;data!C96</f>
        <v>FYE: 12/31/2024</v>
      </c>
    </row>
    <row r="4" spans="1:6" ht="20.100000000000001" customHeight="1" x14ac:dyDescent="0.25">
      <c r="A4" s="148" t="s">
        <v>384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877</v>
      </c>
      <c r="D5" s="151"/>
      <c r="E5" s="151"/>
      <c r="F5" s="151" t="s">
        <v>878</v>
      </c>
    </row>
    <row r="6" spans="1:6" ht="20.100000000000001" customHeight="1" x14ac:dyDescent="0.25">
      <c r="A6" s="152"/>
      <c r="B6" s="70"/>
      <c r="C6" s="153" t="s">
        <v>879</v>
      </c>
      <c r="D6" s="153" t="s">
        <v>386</v>
      </c>
      <c r="E6" s="153" t="s">
        <v>880</v>
      </c>
      <c r="F6" s="153" t="s">
        <v>879</v>
      </c>
    </row>
    <row r="7" spans="1:6" ht="20.100000000000001" customHeight="1" x14ac:dyDescent="0.25">
      <c r="A7" s="63">
        <v>1</v>
      </c>
      <c r="B7" s="67" t="s">
        <v>389</v>
      </c>
      <c r="C7" s="67">
        <f>data!B211</f>
        <v>4913659.68</v>
      </c>
      <c r="D7" s="67">
        <f>data!C211</f>
        <v>0</v>
      </c>
      <c r="E7" s="67">
        <f>data!D211</f>
        <v>0</v>
      </c>
      <c r="F7" s="67">
        <f>data!E211</f>
        <v>4913659.68</v>
      </c>
    </row>
    <row r="8" spans="1:6" ht="20.100000000000001" customHeight="1" x14ac:dyDescent="0.25">
      <c r="A8" s="63">
        <v>2</v>
      </c>
      <c r="B8" s="67" t="s">
        <v>390</v>
      </c>
      <c r="C8" s="67">
        <f>data!B212</f>
        <v>12938483.369999999</v>
      </c>
      <c r="D8" s="67">
        <f>data!C212</f>
        <v>69527.61</v>
      </c>
      <c r="E8" s="67">
        <f>data!D212</f>
        <v>814.03</v>
      </c>
      <c r="F8" s="67">
        <f>data!E212</f>
        <v>13007196.949999999</v>
      </c>
    </row>
    <row r="9" spans="1:6" ht="20.100000000000001" customHeight="1" x14ac:dyDescent="0.25">
      <c r="A9" s="63">
        <v>3</v>
      </c>
      <c r="B9" s="67" t="s">
        <v>391</v>
      </c>
      <c r="C9" s="67">
        <f>data!B213</f>
        <v>380315538.63999999</v>
      </c>
      <c r="D9" s="67">
        <f>data!C213</f>
        <v>652765.54</v>
      </c>
      <c r="E9" s="67">
        <f>data!D213</f>
        <v>2142.9499999999998</v>
      </c>
      <c r="F9" s="67">
        <f>data!E213</f>
        <v>380966161.23000002</v>
      </c>
    </row>
    <row r="10" spans="1:6" ht="20.100000000000001" customHeight="1" x14ac:dyDescent="0.25">
      <c r="A10" s="63">
        <v>4</v>
      </c>
      <c r="B10" s="67" t="s">
        <v>881</v>
      </c>
      <c r="C10" s="67">
        <f>data!B214</f>
        <v>142228525.56999999</v>
      </c>
      <c r="D10" s="67">
        <f>data!C214</f>
        <v>227638.71</v>
      </c>
      <c r="E10" s="67">
        <f>data!D214</f>
        <v>2374.7800000000002</v>
      </c>
      <c r="F10" s="67">
        <f>data!E214</f>
        <v>142453789.5</v>
      </c>
    </row>
    <row r="11" spans="1:6" ht="20.100000000000001" customHeight="1" x14ac:dyDescent="0.25">
      <c r="A11" s="63">
        <v>5</v>
      </c>
      <c r="B11" s="67" t="s">
        <v>882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883</v>
      </c>
      <c r="C12" s="67">
        <f>data!B216</f>
        <v>349524624.52999997</v>
      </c>
      <c r="D12" s="67">
        <f>data!C216</f>
        <v>9064938.1099999994</v>
      </c>
      <c r="E12" s="67">
        <f>data!D216</f>
        <v>39333814.450000003</v>
      </c>
      <c r="F12" s="67">
        <f>data!E216</f>
        <v>319255748.19</v>
      </c>
    </row>
    <row r="13" spans="1:6" ht="20.100000000000001" customHeight="1" x14ac:dyDescent="0.25">
      <c r="A13" s="63">
        <v>7</v>
      </c>
      <c r="B13" s="67" t="s">
        <v>884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46157405.25</v>
      </c>
      <c r="D14" s="67">
        <f>data!C218</f>
        <v>34059.160000000003</v>
      </c>
      <c r="E14" s="67">
        <f>data!D218</f>
        <v>0</v>
      </c>
      <c r="F14" s="67">
        <f>data!E218</f>
        <v>46191464.409999996</v>
      </c>
    </row>
    <row r="15" spans="1:6" ht="20.100000000000001" customHeight="1" x14ac:dyDescent="0.25">
      <c r="A15" s="63">
        <v>9</v>
      </c>
      <c r="B15" s="67" t="s">
        <v>885</v>
      </c>
      <c r="C15" s="67">
        <f>data!B219</f>
        <v>6090321.0899999999</v>
      </c>
      <c r="D15" s="67">
        <f>data!C219</f>
        <v>11797636.279999999</v>
      </c>
      <c r="E15" s="67">
        <f>data!D219</f>
        <v>10048929</v>
      </c>
      <c r="F15" s="67">
        <f>data!E219</f>
        <v>7839028.3699999973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942168558.13</v>
      </c>
      <c r="D16" s="67">
        <f>data!C220</f>
        <v>21846565.409999996</v>
      </c>
      <c r="E16" s="67">
        <f>data!D220</f>
        <v>49388075.210000001</v>
      </c>
      <c r="F16" s="67">
        <f>data!E220</f>
        <v>914627048.32999992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877</v>
      </c>
      <c r="D21" s="4" t="s">
        <v>229</v>
      </c>
      <c r="E21" s="153"/>
      <c r="F21" s="153" t="s">
        <v>878</v>
      </c>
    </row>
    <row r="22" spans="1:6" ht="20.100000000000001" customHeight="1" x14ac:dyDescent="0.25">
      <c r="A22" s="154"/>
      <c r="B22" s="146"/>
      <c r="C22" s="153" t="s">
        <v>879</v>
      </c>
      <c r="D22" s="153" t="s">
        <v>886</v>
      </c>
      <c r="E22" s="153" t="s">
        <v>880</v>
      </c>
      <c r="F22" s="153" t="s">
        <v>879</v>
      </c>
    </row>
    <row r="23" spans="1:6" ht="20.100000000000001" customHeight="1" x14ac:dyDescent="0.25">
      <c r="A23" s="63">
        <v>11</v>
      </c>
      <c r="B23" s="155" t="s">
        <v>389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390</v>
      </c>
      <c r="C24" s="67">
        <f>data!B225</f>
        <v>12092374.119999999</v>
      </c>
      <c r="D24" s="67">
        <f>data!C225</f>
        <v>234500.81</v>
      </c>
      <c r="E24" s="67">
        <f>data!D225</f>
        <v>814.03</v>
      </c>
      <c r="F24" s="67">
        <f>data!E225</f>
        <v>12326060.9</v>
      </c>
    </row>
    <row r="25" spans="1:6" ht="20.100000000000001" customHeight="1" x14ac:dyDescent="0.25">
      <c r="A25" s="63">
        <v>13</v>
      </c>
      <c r="B25" s="67" t="s">
        <v>391</v>
      </c>
      <c r="C25" s="67">
        <f>data!B226</f>
        <v>211301611.59999999</v>
      </c>
      <c r="D25" s="67">
        <f>data!C226</f>
        <v>13220680.68</v>
      </c>
      <c r="E25" s="67">
        <f>data!D226</f>
        <v>2142.9499999999998</v>
      </c>
      <c r="F25" s="67">
        <f>data!E226</f>
        <v>224520149.33000001</v>
      </c>
    </row>
    <row r="26" spans="1:6" ht="20.100000000000001" customHeight="1" x14ac:dyDescent="0.25">
      <c r="A26" s="63">
        <v>14</v>
      </c>
      <c r="B26" s="67" t="s">
        <v>881</v>
      </c>
      <c r="C26" s="67">
        <f>data!B227</f>
        <v>108062963.3</v>
      </c>
      <c r="D26" s="67">
        <f>data!C227</f>
        <v>4672037.54</v>
      </c>
      <c r="E26" s="67">
        <f>data!D227</f>
        <v>2374.7800000000002</v>
      </c>
      <c r="F26" s="67">
        <f>data!E227</f>
        <v>112732626.06</v>
      </c>
    </row>
    <row r="27" spans="1:6" ht="20.100000000000001" customHeight="1" x14ac:dyDescent="0.25">
      <c r="A27" s="63">
        <v>15</v>
      </c>
      <c r="B27" s="67" t="s">
        <v>882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883</v>
      </c>
      <c r="C28" s="67">
        <f>data!B229</f>
        <v>239960671.03999999</v>
      </c>
      <c r="D28" s="67">
        <f>data!C229</f>
        <v>21499836.48</v>
      </c>
      <c r="E28" s="67">
        <f>data!D229</f>
        <v>39333814.445</v>
      </c>
      <c r="F28" s="67">
        <f>data!E229</f>
        <v>222126693.07499999</v>
      </c>
    </row>
    <row r="29" spans="1:6" ht="20.100000000000001" customHeight="1" x14ac:dyDescent="0.25">
      <c r="A29" s="63">
        <v>17</v>
      </c>
      <c r="B29" s="67" t="s">
        <v>884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31063385</v>
      </c>
      <c r="D30" s="67">
        <f>data!C231</f>
        <v>3053078.23</v>
      </c>
      <c r="E30" s="67">
        <f>data!D231</f>
        <v>0</v>
      </c>
      <c r="F30" s="67">
        <f>data!E231</f>
        <v>34116463.229999997</v>
      </c>
    </row>
    <row r="31" spans="1:6" ht="20.100000000000001" customHeight="1" x14ac:dyDescent="0.25">
      <c r="A31" s="63">
        <v>19</v>
      </c>
      <c r="B31" s="67" t="s">
        <v>885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602481005.05999994</v>
      </c>
      <c r="D32" s="67">
        <f>data!C233</f>
        <v>42680133.740000002</v>
      </c>
      <c r="E32" s="67">
        <f>data!D233</f>
        <v>39339146.204999998</v>
      </c>
      <c r="F32" s="67">
        <f>data!E233</f>
        <v>605821992.59500003</v>
      </c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D27" sqref="D27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887</v>
      </c>
      <c r="B1" s="62"/>
      <c r="C1" s="62"/>
      <c r="D1" s="61" t="s">
        <v>888</v>
      </c>
    </row>
    <row r="2" spans="1:4" ht="20.100000000000001" customHeight="1" x14ac:dyDescent="0.25">
      <c r="A2" s="120" t="str">
        <f>"Hospital: "&amp;data!C98</f>
        <v>Hospital: EvergreenHealth Kirkland / King Country Public Hos #2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889</v>
      </c>
      <c r="C4" s="156" t="s">
        <v>890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28960010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353</v>
      </c>
      <c r="D7" s="67">
        <f>data!C239</f>
        <v>913114017</v>
      </c>
    </row>
    <row r="8" spans="1:4" ht="20.100000000000001" customHeight="1" x14ac:dyDescent="0.25">
      <c r="A8" s="63">
        <v>4</v>
      </c>
      <c r="B8" s="158">
        <v>5820</v>
      </c>
      <c r="C8" s="67" t="s">
        <v>354</v>
      </c>
      <c r="D8" s="67">
        <f>data!C240</f>
        <v>195782279</v>
      </c>
    </row>
    <row r="9" spans="1:4" ht="20.100000000000001" customHeight="1" x14ac:dyDescent="0.25">
      <c r="A9" s="63">
        <v>5</v>
      </c>
      <c r="B9" s="158">
        <v>5830</v>
      </c>
      <c r="C9" s="67" t="s">
        <v>366</v>
      </c>
      <c r="D9" s="67">
        <f>data!C241</f>
        <v>10298087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16544547</v>
      </c>
    </row>
    <row r="11" spans="1:4" ht="20.100000000000001" customHeight="1" x14ac:dyDescent="0.25">
      <c r="A11" s="63">
        <v>7</v>
      </c>
      <c r="B11" s="158">
        <v>5850</v>
      </c>
      <c r="C11" s="67" t="s">
        <v>891</v>
      </c>
      <c r="D11" s="67">
        <f>data!C243</f>
        <v>591237600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1304938</v>
      </c>
    </row>
    <row r="13" spans="1:4" ht="20.100000000000001" customHeight="1" x14ac:dyDescent="0.25">
      <c r="A13" s="63">
        <v>9</v>
      </c>
      <c r="B13" s="67"/>
      <c r="C13" s="67" t="s">
        <v>892</v>
      </c>
      <c r="D13" s="67">
        <f>data!D245</f>
        <v>1728281468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893</v>
      </c>
      <c r="D16" s="63">
        <f>data!C247</f>
        <v>4222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5818513</v>
      </c>
    </row>
    <row r="19" spans="1:4" ht="20.100000000000001" customHeight="1" x14ac:dyDescent="0.25">
      <c r="A19" s="161">
        <v>15</v>
      </c>
      <c r="B19" s="158">
        <v>5910</v>
      </c>
      <c r="C19" s="80" t="s">
        <v>894</v>
      </c>
      <c r="D19" s="67">
        <f>data!C250</f>
        <v>7907556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895</v>
      </c>
      <c r="D22" s="67">
        <f>data!D252</f>
        <v>13726069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12860071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896</v>
      </c>
      <c r="D26" s="67">
        <f>data!C255</f>
        <v>9626064</v>
      </c>
    </row>
    <row r="27" spans="1:4" ht="20.100000000000001" customHeight="1" x14ac:dyDescent="0.25">
      <c r="A27" s="144">
        <v>23</v>
      </c>
      <c r="B27" s="163" t="s">
        <v>897</v>
      </c>
      <c r="C27" s="79"/>
      <c r="D27" s="67">
        <f>data!D258</f>
        <v>1793453682</v>
      </c>
    </row>
    <row r="28" spans="1:4" ht="20.100000000000001" customHeight="1" x14ac:dyDescent="0.25">
      <c r="A28" s="72">
        <v>24</v>
      </c>
      <c r="B28" s="138" t="s">
        <v>898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1520fa42-cf58-4c22-8b93-58cf1d3bd1cb}" enabled="1" method="Standard" siteId="{11d0e217-264e-400a-8ba0-57dcc127d72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data!Print_Area</vt:lpstr>
      <vt:lpstr>FS!Print_Area</vt:lpstr>
      <vt:lpstr>INFO_PG1!Print_Area</vt:lpstr>
      <vt:lpstr>INFO_PG2!Print_Area</vt:lpstr>
      <vt:lpstr>'Responses-1'!Print_Area</vt:lpstr>
      <vt:lpstr>SS2_3_5_6!Print_Area</vt:lpstr>
      <vt:lpstr>'SS4'!Print_Area</vt:lpstr>
      <vt:lpstr>'SS8'!Print_Area</vt:lpstr>
      <vt:lpstr>data!Print_Titles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2025-06-20T21:35:16Z</cp:lastPrinted>
  <dcterms:created xsi:type="dcterms:W3CDTF">1999-06-02T22:01:56Z</dcterms:created>
  <dcterms:modified xsi:type="dcterms:W3CDTF">2025-07-29T20:44:31Z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